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tarra\Downloads\"/>
    </mc:Choice>
  </mc:AlternateContent>
  <xr:revisionPtr revIDLastSave="0" documentId="13_ncr:1_{E7DDC4B4-6D68-4865-A024-925804490895}" xr6:coauthVersionLast="47" xr6:coauthVersionMax="47" xr10:uidLastSave="{00000000-0000-0000-0000-000000000000}"/>
  <bookViews>
    <workbookView xWindow="-108" yWindow="-108" windowWidth="23256" windowHeight="12456" xr2:uid="{00000000-000D-0000-FFFF-FFFF00000000}"/>
  </bookViews>
  <sheets>
    <sheet name="PROPUESTA ECONOMICA" sheetId="1" r:id="rId1"/>
    <sheet name="Hoja1" sheetId="6" r:id="rId2"/>
    <sheet name="MATRIZ BORRADOR" sheetId="5" state="hidden" r:id="rId3"/>
    <sheet name="PUERTAS ABIERTAS" sheetId="2" state="hidden" r:id="rId4"/>
    <sheet name="NAVIDAD" sheetId="3" state="hidden" r:id="rId5"/>
    <sheet name="REYES" sheetId="4" state="hidden" r:id="rId6"/>
  </sheets>
  <definedNames>
    <definedName name="_xlnm._FilterDatabase" localSheetId="0" hidden="1">'PROPUESTA ECONOMICA'!#REF!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08" i="1" l="1"/>
  <c r="L40" i="1"/>
  <c r="L39" i="1"/>
  <c r="L76" i="1"/>
  <c r="K75" i="1"/>
  <c r="K74" i="1"/>
  <c r="K73" i="1"/>
  <c r="K72" i="1"/>
  <c r="K71" i="1"/>
  <c r="K70" i="1"/>
  <c r="K69" i="1"/>
  <c r="K68" i="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39" i="1"/>
  <c r="K36" i="1"/>
  <c r="K35" i="1"/>
  <c r="K34" i="1"/>
  <c r="K33" i="1"/>
  <c r="K32" i="1"/>
  <c r="K30" i="1"/>
  <c r="K29" i="1"/>
  <c r="K28" i="1"/>
  <c r="K27" i="1"/>
  <c r="K26" i="1"/>
  <c r="K25" i="1"/>
  <c r="K24" i="1"/>
  <c r="K23" i="1"/>
  <c r="K22" i="1"/>
  <c r="K21" i="1"/>
  <c r="K20" i="1"/>
  <c r="K19" i="1"/>
  <c r="L19" i="1"/>
  <c r="I16" i="1"/>
  <c r="K13" i="1"/>
  <c r="K12" i="1"/>
  <c r="K11" i="1"/>
  <c r="K10" i="1"/>
  <c r="L10" i="1"/>
  <c r="L6" i="1"/>
  <c r="L3" i="1"/>
  <c r="L106" i="1"/>
  <c r="L105" i="1"/>
  <c r="L68" i="1"/>
  <c r="L73" i="1"/>
  <c r="L72" i="1"/>
  <c r="L69" i="1"/>
  <c r="L65" i="1"/>
  <c r="L64" i="1"/>
  <c r="L63" i="1"/>
  <c r="L62" i="1"/>
  <c r="L61" i="1"/>
  <c r="L60" i="1"/>
  <c r="L59" i="1"/>
  <c r="L58" i="1"/>
  <c r="L57" i="1"/>
  <c r="L56" i="1"/>
  <c r="L55" i="1"/>
  <c r="L54" i="1"/>
  <c r="L53" i="1"/>
  <c r="L52" i="1"/>
  <c r="L51" i="1"/>
  <c r="L50" i="1"/>
  <c r="L49" i="1"/>
  <c r="L48" i="1"/>
  <c r="L46" i="1"/>
  <c r="L44" i="1"/>
  <c r="L43" i="1"/>
  <c r="L41" i="1"/>
  <c r="L34" i="1"/>
  <c r="L33" i="1"/>
  <c r="L32" i="1"/>
  <c r="L30" i="1"/>
  <c r="L28" i="1"/>
  <c r="L25" i="1"/>
  <c r="L24" i="1"/>
  <c r="L23" i="1"/>
  <c r="L21" i="1"/>
  <c r="L20" i="1"/>
  <c r="L71" i="1"/>
  <c r="L75" i="1"/>
  <c r="L74" i="1"/>
  <c r="L11" i="1"/>
  <c r="L12" i="1"/>
  <c r="L13" i="1"/>
  <c r="L5" i="1"/>
  <c r="L4" i="1"/>
  <c r="G85" i="1"/>
  <c r="L85" i="1" s="1"/>
  <c r="G84" i="1"/>
  <c r="L84" i="1" s="1"/>
  <c r="G83" i="1"/>
  <c r="L83" i="1" s="1"/>
  <c r="L42" i="1"/>
  <c r="L45" i="1"/>
  <c r="L47" i="1"/>
  <c r="L66" i="1"/>
  <c r="L67" i="1"/>
  <c r="L70" i="1"/>
  <c r="L22" i="1"/>
  <c r="L26" i="1"/>
  <c r="L27" i="1"/>
  <c r="L29" i="1"/>
  <c r="L35" i="1"/>
  <c r="L36" i="1"/>
  <c r="L107" i="1"/>
  <c r="L104" i="1"/>
  <c r="L103" i="1"/>
  <c r="L102" i="1"/>
  <c r="L101" i="1"/>
  <c r="L100" i="1"/>
  <c r="L99" i="1"/>
  <c r="L98" i="1"/>
  <c r="L97" i="1"/>
  <c r="L96" i="1"/>
  <c r="L95" i="1"/>
  <c r="L94" i="1"/>
  <c r="L93" i="1"/>
  <c r="L92" i="1"/>
  <c r="L91" i="1"/>
  <c r="L90" i="1"/>
  <c r="L89" i="1"/>
  <c r="L88" i="1"/>
  <c r="L87" i="1"/>
  <c r="L86" i="1"/>
  <c r="L82" i="1"/>
  <c r="L81" i="1"/>
  <c r="L80" i="1"/>
  <c r="L79" i="1"/>
  <c r="L78" i="1"/>
  <c r="L77" i="1"/>
  <c r="L15" i="1"/>
  <c r="L14" i="1"/>
  <c r="F3" i="6" l="1"/>
  <c r="F4" i="6"/>
  <c r="F5" i="6"/>
  <c r="F2" i="6"/>
  <c r="F6" i="6" s="1"/>
  <c r="F7" i="6" s="1"/>
  <c r="I109" i="1" l="1"/>
  <c r="H74" i="5"/>
  <c r="H126" i="5" l="1"/>
  <c r="H358" i="5" l="1"/>
  <c r="H356" i="5"/>
  <c r="H354" i="5"/>
  <c r="H352" i="5"/>
  <c r="H350" i="5"/>
  <c r="H348" i="5"/>
  <c r="H346" i="5"/>
  <c r="H344" i="5"/>
  <c r="H342" i="5"/>
  <c r="H340" i="5"/>
  <c r="H338" i="5"/>
  <c r="H336" i="5"/>
  <c r="H334" i="5"/>
  <c r="H332" i="5"/>
  <c r="H330" i="5"/>
  <c r="H328" i="5"/>
  <c r="H326" i="5"/>
  <c r="H324" i="5"/>
  <c r="H322" i="5"/>
  <c r="H320" i="5"/>
  <c r="H318" i="5"/>
  <c r="H316" i="5"/>
  <c r="H314" i="5"/>
  <c r="H312" i="5"/>
  <c r="H212" i="5"/>
  <c r="H306" i="5"/>
  <c r="H304" i="5"/>
  <c r="H302" i="5"/>
  <c r="H300" i="5"/>
  <c r="H298" i="5"/>
  <c r="H296" i="5"/>
  <c r="H294" i="5"/>
  <c r="H292" i="5"/>
  <c r="H290" i="5"/>
  <c r="H288" i="5"/>
  <c r="H286" i="5"/>
  <c r="H284" i="5"/>
  <c r="H282" i="5"/>
  <c r="H280" i="5"/>
  <c r="H278" i="5"/>
  <c r="H276" i="5"/>
  <c r="H274" i="5"/>
  <c r="H272" i="5"/>
  <c r="H270" i="5"/>
  <c r="H268" i="5"/>
  <c r="H266" i="5"/>
  <c r="H264" i="5"/>
  <c r="H262" i="5"/>
  <c r="H260" i="5"/>
  <c r="H258" i="5"/>
  <c r="H256" i="5"/>
  <c r="H254" i="5"/>
  <c r="H252" i="5"/>
  <c r="H250" i="5"/>
  <c r="H248" i="5"/>
  <c r="H246" i="5"/>
  <c r="H244" i="5"/>
  <c r="H242" i="5"/>
  <c r="H240" i="5"/>
  <c r="H238" i="5"/>
  <c r="H236" i="5"/>
  <c r="H234" i="5"/>
  <c r="H232" i="5"/>
  <c r="H230" i="5"/>
  <c r="H228" i="5"/>
  <c r="H226" i="5"/>
  <c r="H224" i="5"/>
  <c r="H222" i="5"/>
  <c r="H220" i="5"/>
  <c r="H218" i="5"/>
  <c r="H216" i="5"/>
  <c r="H214" i="5"/>
  <c r="H210" i="5"/>
  <c r="H208" i="5"/>
  <c r="H206" i="5"/>
  <c r="H204" i="5"/>
  <c r="H202" i="5"/>
  <c r="H200" i="5"/>
  <c r="H198" i="5"/>
  <c r="H196" i="5"/>
  <c r="H194" i="5"/>
  <c r="H192" i="5"/>
  <c r="H190" i="5"/>
  <c r="H362" i="5" l="1"/>
  <c r="H184" i="5"/>
  <c r="H182" i="5"/>
  <c r="H174" i="5"/>
  <c r="H164" i="5"/>
  <c r="H180" i="5"/>
  <c r="H178" i="5"/>
  <c r="H176" i="5"/>
  <c r="H172" i="5"/>
  <c r="H170" i="5"/>
  <c r="H168" i="5"/>
  <c r="H166" i="5"/>
  <c r="H162" i="5"/>
  <c r="H160" i="5"/>
  <c r="H158" i="5"/>
  <c r="H156" i="5"/>
  <c r="H154" i="5"/>
  <c r="H152" i="5"/>
  <c r="H150" i="5"/>
  <c r="H148" i="5"/>
  <c r="H140" i="5"/>
  <c r="H136" i="5"/>
  <c r="H138" i="5"/>
  <c r="H134" i="5"/>
  <c r="H132" i="5"/>
  <c r="H128" i="5"/>
  <c r="H124" i="5"/>
  <c r="H146" i="5"/>
  <c r="H144" i="5"/>
  <c r="H142" i="5"/>
  <c r="H130" i="5"/>
  <c r="H122" i="5"/>
  <c r="H120" i="5"/>
  <c r="H118" i="5"/>
  <c r="H90" i="5"/>
  <c r="H116" i="5"/>
  <c r="H114" i="5"/>
  <c r="H112" i="5"/>
  <c r="H110" i="5"/>
  <c r="H108" i="5"/>
  <c r="H106" i="5"/>
  <c r="H104" i="5"/>
  <c r="H102" i="5"/>
  <c r="H100" i="5"/>
  <c r="H98" i="5"/>
  <c r="H96" i="5"/>
  <c r="H94" i="5"/>
  <c r="H92" i="5"/>
  <c r="H88" i="5"/>
  <c r="H86" i="5"/>
  <c r="H84" i="5"/>
  <c r="H82" i="5"/>
  <c r="H80" i="5"/>
  <c r="H78" i="5"/>
  <c r="H76" i="5"/>
  <c r="H72" i="5"/>
  <c r="H70" i="5"/>
  <c r="H68" i="5"/>
  <c r="H66" i="5"/>
  <c r="H64" i="5"/>
  <c r="H186" i="5" l="1"/>
  <c r="H308" i="5"/>
  <c r="H58" i="5"/>
  <c r="H56" i="5"/>
  <c r="H54" i="5"/>
  <c r="H52" i="5"/>
  <c r="H50" i="5"/>
  <c r="H48" i="5"/>
  <c r="H46" i="5"/>
  <c r="H44" i="5"/>
  <c r="H42" i="5"/>
  <c r="H36" i="5"/>
  <c r="H34" i="5"/>
  <c r="H32" i="5"/>
  <c r="H30" i="5"/>
  <c r="H28" i="5"/>
  <c r="H26" i="5"/>
  <c r="H24" i="5"/>
  <c r="H18" i="5"/>
  <c r="H16" i="5"/>
  <c r="H14" i="5"/>
  <c r="H12" i="5"/>
  <c r="H10" i="5"/>
  <c r="H8" i="5"/>
  <c r="H6" i="5"/>
  <c r="H4" i="5"/>
  <c r="H60" i="5" l="1"/>
  <c r="H38" i="5"/>
  <c r="H20" i="5"/>
</calcChain>
</file>

<file path=xl/sharedStrings.xml><?xml version="1.0" encoding="utf-8"?>
<sst xmlns="http://schemas.openxmlformats.org/spreadsheetml/2006/main" count="945" uniqueCount="474">
  <si>
    <t>CONVOCATORIA</t>
  </si>
  <si>
    <t xml:space="preserve">Afiches: Diseño, impresión y distribución de cincuenta (50) afiches, tamaño ½ pliego, papel propalcote de 115 gramos, policromía. </t>
  </si>
  <si>
    <t>Unidad</t>
  </si>
  <si>
    <t xml:space="preserve">PRESENTACIONES ARTÍSTICAS </t>
  </si>
  <si>
    <r>
      <t>Comparsas. Presentaciones de comparsas de la localidad integradas por grupos entre 15 y 20 artistas que realicen una puesta en escena con movimientos itinerantes. Las comparsas  serán poblacionales.  Teniendo en cuenta los resultados del proceso en el año anteior se funcionaran: Adulto mayor - Mujer y adolecencia - infancia, quedan disponibles un cupo para afros, indigenas y una de la comunidad. 
Nota:al valor de este ITEMs se le debe realizar los descuentos de ley.</t>
    </r>
    <r>
      <rPr>
        <sz val="8"/>
        <color rgb="FFFF0000"/>
        <rFont val="Times New Roman"/>
        <family val="1"/>
      </rPr>
      <t xml:space="preserve"> Luego de los descuentos el valor es Inmodificable</t>
    </r>
  </si>
  <si>
    <t>Comparsa</t>
  </si>
  <si>
    <t>REFRIGERIO</t>
  </si>
  <si>
    <t>Refrigerio. Fruta, jugo, pastel de pollo o carne, debidamente empacado en bolsa de papel, una bebida (yogurt, kumis, jugo o avena) de 200 ml, una fruta de cosecha y una chocolatina o un dulce (energizante).
Nota: El Contratista deberá primero garantizar la entrega de refrigerios a las comparsas, despues de esto al personal del Distrito que apoya el evento.</t>
  </si>
  <si>
    <t xml:space="preserve">Unidades </t>
  </si>
  <si>
    <t>PLAN DE EMERGENCIA Y CONTINGENCIA</t>
  </si>
  <si>
    <t xml:space="preserve">Brigada de incendios  </t>
  </si>
  <si>
    <t>Logística. Siete  (7) operadores logísticos.
Nota: El operador asumirá los gastos viáticos del personal logístico.</t>
  </si>
  <si>
    <t xml:space="preserve">TAM Transporte Ambulancia Medicalizada para el evento ( según el articulo 476 del estatuto tributario los servioc preventivos estan exlcuidos del IVA) </t>
  </si>
  <si>
    <t>Hidratación. Botella con agua de 300 cc de una marca reconocida en el mercado</t>
  </si>
  <si>
    <t>Brigadas contra incendios, cada brigada debe estar compuesta por mínimo 2 personas de la Unidad Administrativa Especial Cuerpo Oficial de Bomberos en el evento un extintor por brigada.             
Nota: El operador asumirá los gastos viáticos del personal logístico.</t>
  </si>
  <si>
    <t>Logística. Un (1) coordinador logístico.                      
Nota: El operador asumirá los gastos viáticos del personal logístico.</t>
  </si>
  <si>
    <t xml:space="preserve">FESTIVAL PUERTAS ABIERTAS </t>
  </si>
  <si>
    <t xml:space="preserve">PLAN DE EMERGENCIA Y CONTINGENCIA (PEC) PARA LAS 3 OBRAS DE TEATROS CALLEJERAS LOCALES Y UTILIZACIÓN DEL TEATRO MEDIA TORTA  </t>
  </si>
  <si>
    <t>Brigadas contra incendios, cada brigada debe estar compuesta por mínimo 2 personas de la Unidad Administrativa Especial Cuerpo Oficial de Bomberos en el evento un extintor por brigada dispuestos para las funciones de teatro de calle, que se desarrollaran en el marco de la inauguracion y cierre del festival.</t>
  </si>
  <si>
    <t>Brigadas Médicas, para el teatro en calle, cada brigada debe estar compuesta por mínimo 2 personas socorristas con su instrumental.
El operador debe cubrir los gastos de manutención del personal del PEC</t>
  </si>
  <si>
    <t xml:space="preserve">TEATRO CALLEJERO </t>
  </si>
  <si>
    <t>El operador suministrara un total de dos (2) obras de teatro callejeros, las cuales se presentarán en dos (2) espacios de la localidad escogidos en el comité técnico.
Nota:al valor de este ITEMs se le debe realizar los descuentos de ley. Luego de los descuentos el valor es Inmodificable</t>
  </si>
  <si>
    <t>Obra de Teatro</t>
  </si>
  <si>
    <t xml:space="preserve">OBRAS DE TEATRO EN SALA </t>
  </si>
  <si>
    <t>Obra Teatral</t>
  </si>
  <si>
    <t xml:space="preserve">REFRIGERIO </t>
  </si>
  <si>
    <t>Volantes: Diseño, impresión y distribución de quinientos (500) volantes, tamaño media carta, en papel propalcote de 115 gramos, policromía.con colilla para boleteria.</t>
  </si>
  <si>
    <t>Volantes: Diseño, impresión y distribución de  mil (1.000) volantes, tamaño media carta, en papel propalcote de 115 gramos, policromía.</t>
  </si>
  <si>
    <t xml:space="preserve">Unidad </t>
  </si>
  <si>
    <t xml:space="preserve">ARTISTAS </t>
  </si>
  <si>
    <t xml:space="preserve">Muestras artísticas DE GRUPOS, ORGANIZACIONES O COLECTIVOS Y/O ARTISTAS LOCALES AFICIONADOS DE MÚSICA y DANZA por 15 minutos que estén interesados en realizar intervenciones artísticas en la Fiesta de Navidad.
Nota al valor de este ITEMs se le debe realizar los descuentos de ley. Luego de los descuentos el valor es Inmodificable </t>
  </si>
  <si>
    <t>Artísta local</t>
  </si>
  <si>
    <t>Gorros navideños</t>
  </si>
  <si>
    <t xml:space="preserve">Globos de helio Globos con helio para cada niño con figuras navideñas. sempertex tamaño estándar con cinta curli con una duración de mínimo 8 horas garantizadas  </t>
  </si>
  <si>
    <t xml:space="preserve">COMIDA RÁPIDA </t>
  </si>
  <si>
    <t xml:space="preserve">Pizza porción trianguar de 15 cm, con una gasesosa pequeña o jugo en caja 200 cc y gelatina sin sabor con trozos de colores </t>
  </si>
  <si>
    <t>Porción personal</t>
  </si>
  <si>
    <t>REGALOS</t>
  </si>
  <si>
    <t>Brigadas contra incendios, cada brigada debe estar compuesta por mínimo 2 personas de la Unidad Administrativa Especial Cuerpo Oficial de Bomberos en el evento un extintor por brigada</t>
  </si>
  <si>
    <t>Regalos Navideños para Ochocientos (800) niños de la localidad los cuales se entregarán por doscientos (200) en cada casa comunitaria</t>
  </si>
  <si>
    <t>PUBLICIDAD</t>
  </si>
  <si>
    <t>Pendones: Diseño, impresión y ubicación de dos (2) pendones publicitarios laterales en el lugar donde se realizará la Fiesta de Reyes Magos y Epifanía, con una dimensión de 4 metros por 2 metro (Lona Banner con impresión digital, full color) estos pendones se instalarán en la tarima principal del evento.</t>
  </si>
  <si>
    <t>Unidad lateral</t>
  </si>
  <si>
    <t>El operador debe suministrar el personal de seguridad, anclaje y seguridad para los participantes de la Vara de premio Infantil. Establecidos en las cotizaciones realizadas</t>
  </si>
  <si>
    <t xml:space="preserve">Brigadas contra incendios, cada brigada debe estar compuesta por mínimo 2 personas de la Unidad Administrativa Especial Cuerpo Oficial de Bomberos en el evento un extintor por brigada </t>
  </si>
  <si>
    <t xml:space="preserve">Servicio de Transporte Asistencial Medicalizado TAM por 13 horas </t>
  </si>
  <si>
    <t>Logística trece (13) coordinadores, El operador asumirá los gastos viáticos del personal logístico.</t>
  </si>
  <si>
    <t xml:space="preserve">Logística ciento treinta y cuatro (134) operadores logísticos, El operador asumirá los gastos viáticos del personal logístico con mínimo seis (6) megáfonos y 30 radio comunicadores   </t>
  </si>
  <si>
    <t xml:space="preserve">Logística ocho operadores logísticos, nocturnos </t>
  </si>
  <si>
    <t xml:space="preserve">Punto de salud MEC con ocho (8) socorristas, (1) Medico por cada puesto. El operador garantiza la dotación de cada puesto MEC mínimo de 12 horas </t>
  </si>
  <si>
    <t xml:space="preserve">ALQUILER TARIMA Y CUBIERTA DE TARIMA </t>
  </si>
  <si>
    <t xml:space="preserve">Nota: El Contratista deberá garantizar el transporte, instalación, y desinstalación de la tarima </t>
  </si>
  <si>
    <t xml:space="preserve">ALQUILER SONIDO </t>
  </si>
  <si>
    <t>Un sistema profesional linearray aéreo de una marca reconocida a nivel mundial que garantice el total y óptimo cubrimiento en el escenario de la fiesta de reyes con 35.000 watts 1 consolas digitales de 32 ch mínimo + snake con 3 fan outs + sistema de monitoreo y seis (6) monitores en tarima. + Back Line + estructura para el colgado del sistema (sistema y consolas deben ser de una marca reconocida a nivel mundial, de primera categoría, y el sistema debe garantizar total cubrimiento a una distancia de 30 metros. DE 120 DB SPL</t>
  </si>
  <si>
    <t>Día</t>
  </si>
  <si>
    <t>Bases y cableado necesario para los micrófonos  así como tres cajas directas así como cableadas de línea en excelente estado.</t>
  </si>
  <si>
    <t>ALQUILER LUCES</t>
  </si>
  <si>
    <t xml:space="preserve">Alquiler de un equipo de luces que incluya mínimo 6 cabezas móviles 750, 18 parleds, 1 strober, 1 minibruto, 1 cámara de humo, 1 consola digital, 1 puente (truss).  
Nota: El Contratista deberá garantizar el transporte, instalación, custodia, el técnico que las opere y la desinstalación de las luces requeridas para la realización de la Fiesta de Reyes. </t>
  </si>
  <si>
    <t>Valor de alquiler total de Evento por tres (3) días</t>
  </si>
  <si>
    <t>ALQUILER PLANTAS ELÉCTRICAS</t>
  </si>
  <si>
    <t>Alquiler de tres (3) plantas eléctricas de 75 KVA insonoras y móviles con capacidad de trabajo de mínimo 15 horas diarias que garanticen el correcto funcionamiento del evento.Nota: El Contratista deberá garantizar el transporte, Cableado, protectores de cables a piso, instalación, custodia, el Técnico Electricista que opere las plantas y garanticen la utilización de las mismas hacia los espacios a donde va dirigida la corriente durante los tres días de la celebración de la Fiesta de Reyes.</t>
  </si>
  <si>
    <t>ALQUILER CARPAS</t>
  </si>
  <si>
    <t xml:space="preserve">Alquiler de carpas de 3 x 3 metros con Laterales e iluminación interna en el momento de la instalación
Nota: El contratista deberá garantizar transporte, instalación, marcación con numeración  y desinstalación de las mismas </t>
  </si>
  <si>
    <t>Alquiler de carpas de 2 x 2 metros con Laterales e iluminación interna en el momento de la instalación 
Nota: El contratista deberá garantizar transporte, instalación, marcación con numeración  y desinstalación de las mismas</t>
  </si>
  <si>
    <t>ALQUILER MESAS</t>
  </si>
  <si>
    <t xml:space="preserve">Alquiler de mesas plásticas, tipo tablón de 2.00 mt x 85 cm
Nota: El contratista deberá garantizar transporte, instalación, marcación con numeración  y desinstalación de las mismas
</t>
  </si>
  <si>
    <t>REFRIGERIOS</t>
  </si>
  <si>
    <t>HIDRATACIÓN</t>
  </si>
  <si>
    <t>Bolsas con agua de 300 cc de una marca reconocida en el mercado</t>
  </si>
  <si>
    <t>ALMUERZOS</t>
  </si>
  <si>
    <t xml:space="preserve">KITS PARA LAS REQUISAS POR PARTE DE LA POLICÍA </t>
  </si>
  <si>
    <t xml:space="preserve">ALQUILER BAÑOS </t>
  </si>
  <si>
    <t xml:space="preserve">Alquiler de baños portátiles para la ejecución de los tres días de la Fiesta de Reyes Magos y Epifanía, los cuales contarán con la persona de mantenimiento y servicio respectivo.
Nota: El contratista deberá garantizar transporte, instalación, custodia y desinstalación de los mismos.
Es obligación del operador realizar el Aseo de los baños al término de las actividades diarias. (Por la noche). El operador tiene que presentar certificado de disposición y tratamiento en planta 
</t>
  </si>
  <si>
    <t xml:space="preserve">ALQUILER VALLAS DE CERRAMIENTO </t>
  </si>
  <si>
    <t>Alquiler de vallas de contención para delimitar las diferentes zonas dentro de la Fiesta de Reyes Magos y Epifanía.
Nota: El contratista deberá garantizar transporte, instalación, custodia y desinstalación de las mismas</t>
  </si>
  <si>
    <t xml:space="preserve">ALQUILER VALLAS DE CONTENCIÓN </t>
  </si>
  <si>
    <t>Alquiler de vallas de contención Alquiler de vallas – tipo muro de contención para delimitar el espacio del escenario principal en la Fiesta de Reyes Magos y Epifanía. y evitar que los espectadores crucen el área delimitada 
Nota: El contratista deberá garantizar transporte, instalación, custodia y desinstalación de las mismas</t>
  </si>
  <si>
    <t>TEATRO1</t>
  </si>
  <si>
    <t>Presentación grupo teatral dramatizado de la llegada de los Reyes Magos en el Acto Sacramental
Nota:al valor de este ITEMs se le debe realizar los descuentos de ley. Luego de los descuentos el valor es Inmodificable</t>
  </si>
  <si>
    <t xml:space="preserve">IDENTIFICACIÓN DE LOS COMERCIANTES </t>
  </si>
  <si>
    <t>Escarapela con las siguientes características: Tamaño: 5.4 cm. x 8.6 cm en papel, con cubierta plástica. La escarapela deberá contener el nombre del comerciante, así como de sus DOS (2) ayudantes. El producto autorizado a comercializar, el número de carpa asignada y fotografías en cada una de las escarapelas</t>
  </si>
  <si>
    <t xml:space="preserve">KITS DE MANIPULACIÓN DE ALIMENTOS </t>
  </si>
  <si>
    <t xml:space="preserve">PRESENTACIONES ARTÍSTICAS LOCALES </t>
  </si>
  <si>
    <t xml:space="preserve">Presentaciones artísticas PRESENTACIONES DE GRUPOS, ORGANIZACIONES O COLECTIVOS Y/O ARTISTAS LOCALES AFICIONADOS DE MÚSICA y DANZA que estén interesados en realizar muestras o intervenciones artísticas en la Fiesta de Reyes Magos y Epifanía.
Nota:al valor de este ITEMs se le debe realizar los descuentos de ley. Luego de los descuentos el valor es Inmodificable
</t>
  </si>
  <si>
    <t>Artista local</t>
  </si>
  <si>
    <t xml:space="preserve">PRESENTACIÓN ARTISTICA DISTRITAL </t>
  </si>
  <si>
    <t>Presentaciones Musical CON RECONOCIMIENTO EN EL ÁMBITO NACIONAL Y CON EXPERIENCIA MÍNIMA DE DOS AÑOS en escenarios Distritales Certificados.
Nota: al valor de este ITEMs se le debe realizar los descuentos de ley. Luego de los descuentos el valor es Inmodificable</t>
  </si>
  <si>
    <t>Artistas distritales</t>
  </si>
  <si>
    <t xml:space="preserve">PRESENTACIÓN NACIONAL </t>
  </si>
  <si>
    <t>Artistas y/o agrupaciones artísticas con reconocimiento en el ámbito nacional e internacional mediático y con experiencia mínima de cinco años en escenarios Nacionales y/o internacionales. Certificados. El operador debe ´presentar mínimo tres (3) hojas de vida de artistas y sus propuestas de los cuales la administración escogerá la mejor propuesta.
Nota: al valor de este ITEMs se le debe realizar los descuentos de ley. Luego de los descuentos el valor es Inmodificable</t>
  </si>
  <si>
    <t>SAYCO</t>
  </si>
  <si>
    <t xml:space="preserve">El Contratista deberá realizar el pago de los derechos de Autores y Compositores - SAYCO, para los días del evento de la siguiente forma. Un valor de 929.678 correspondiente al salario mínimo más IVA por cada quinientas personas  </t>
  </si>
  <si>
    <t xml:space="preserve">X 3000 personas </t>
  </si>
  <si>
    <t xml:space="preserve">Aforo histórico de evento  primer día </t>
  </si>
  <si>
    <t>X 5.000 personas</t>
  </si>
  <si>
    <t xml:space="preserve">Aforo histórico de evento segundo día </t>
  </si>
  <si>
    <t xml:space="preserve">X 7.000 personas </t>
  </si>
  <si>
    <t xml:space="preserve">Aforo histórico de evento tercer día </t>
  </si>
  <si>
    <t xml:space="preserve">Casos Excepcionales de música imprescindible sin cobro de entrada </t>
  </si>
  <si>
    <t xml:space="preserve">Música imprescindible para eventos tipo baile en las capitales 20% de un salario mínimo más iva </t>
  </si>
  <si>
    <t xml:space="preserve">Música imprescindible es aquella es aquella que es materia prima para bailes y fiestas fono grabadas </t>
  </si>
  <si>
    <t>ACIMPRO</t>
  </si>
  <si>
    <t xml:space="preserve">ACIMPRO El Contratista deberá  pagar los derechos por Intérpretes y Productores Fonográficos – ACINPRO, Pago de evento  sin cobrar entrada  </t>
  </si>
  <si>
    <t>Para aforo del primer día según historial de aforo De 1501 a 3.000</t>
  </si>
  <si>
    <t xml:space="preserve">Tres (3) Salarios mínimos legales vigentes </t>
  </si>
  <si>
    <t>Para aforo del Segundo día según historial de aforo De 3001 a 5.000</t>
  </si>
  <si>
    <t>Cuatro (4) Salarios mínimos legales vigentes</t>
  </si>
  <si>
    <t>Para aforo del tercer día según historial de aforo de 501 a 7500</t>
  </si>
  <si>
    <t>Cinco (5) Salarios mínimos legales vigentes</t>
  </si>
  <si>
    <t>ALQUILER MURO DE ESCALAR INFLABLE  FIESTAS DE REYECITOS</t>
  </si>
  <si>
    <t>El operador suministrara un muro de escalar inflable como vara de premios de 4mt de ancho por 4mt de largo y 6mt de alto que pueda ser escalado por 2 niños a la vez para niños de más de cinco (5) hasta doce. Como simulación del juego tradicional de  la  vara  de  premios  para  menores
Nota: El operador debe suministrar el personal de seguridad, anclaje y seguridad para los participantes de la Vara de premio Infantil. Establecidos en las cotizaciones realizadas.</t>
  </si>
  <si>
    <t xml:space="preserve">ALQUILER PANTALLAS LED </t>
  </si>
  <si>
    <t>Proyección en vivo de los conciertos en 2 puntos del evento, en pantallas Led de tres (3) metros por dos (2) metros, con mínimo 3 cámaras  y equipos auxiliares necesarios para una óptima reproducción de  conciertos en exteriores brillo de más de 7500 NITS 1R1G1B y una vista de ángulo de 140 grados para una adecuada visualización de día en altura. Incluido transporte Montaje, Manejo de la proyección y desmontaje.</t>
  </si>
  <si>
    <t xml:space="preserve">ALQUILER MESAS DE RANA </t>
  </si>
  <si>
    <t>Alquiler de mesas para el juego tradicional de la Rana</t>
  </si>
  <si>
    <t xml:space="preserve">ALQUILER MESAS DE MINI TEJO </t>
  </si>
  <si>
    <t>Alquiler de mesas para el juego tradicional de Mini Tejo</t>
  </si>
  <si>
    <t xml:space="preserve">TROMPOS </t>
  </si>
  <si>
    <t>Suministro de una docena de trompos para el campeonato de trompos tradicional de la fiesta de reyes</t>
  </si>
  <si>
    <t xml:space="preserve">El show debe realizarse con un ritmo constante, teniendo en cuenta combinaciones de colores preferiblemente fluorescentes o radiantes como el violeta, el limón, aguamarina, rosa, fucsia blanco y dorado. Realizando diferentes efectos como el crossete, espiral, anillos, crisantemos que se entremezclen, incluyendo tortas de pólvora como, la marina de guerra, argentina, jurassic park, Explorer tours, éxito de primavera, Mario Bross etc, guerra de misiles de luces etc todo lo que garantice un espectáculo por seis minutos de duración y aproximadamente 750 disparos teniendo en cuenta que se debe contemplar: Permisos de operación logística.
El valor de los recursos para el show de pirotecnia contiene :
 Equipo logístico experto en detonación de juegos artificiales de alto impacto 
Transporte con salvo conducto de los productos 
Detonación por medio de dispositivos inalámbricos 
Todos los permisos exigidos por la ley para la realización de eventos pirotécnicos.
Asesoría permanente desde el inicio de la negociación hasta la presentación del show pirotécnico.  
 Extintores de agua a presión 
Consolas electrónicas y control de detonación. 
Estopines electrónicos 
Más limpieza de residuos </t>
  </si>
  <si>
    <t xml:space="preserve">VIGILANCIA CON CANINOS </t>
  </si>
  <si>
    <t xml:space="preserve">El operador debe garantizar la vigilancia con caninos 4 noches desde un día antes del evento cuando se realice entrega de carpas </t>
  </si>
  <si>
    <t xml:space="preserve">16 Vigilantes con Caninos. Cuatro (4) por noche </t>
  </si>
  <si>
    <t xml:space="preserve">PRESENTADOR ANIMADOR </t>
  </si>
  <si>
    <t>Un Presentador animador profesional en locución con 5 años de experiencia en eventos masivos</t>
  </si>
  <si>
    <t>MANILLAS PARA LA IDENTIFICACIÓN DE LAS PERSONAS QUE VIVEN EN EL BARRIO EGIPTO</t>
  </si>
  <si>
    <t xml:space="preserve">COSTALES </t>
  </si>
  <si>
    <t xml:space="preserve">Costales de fique para la carrera de encostalados </t>
  </si>
  <si>
    <t xml:space="preserve">PERSONAL QUE TRABAJARÁ TRANSVERSAL A TODAS LAS FIESTAS </t>
  </si>
  <si>
    <t xml:space="preserve">Profesional Universitario en artes escénicas o áreas relacionadas con mínimo tres (3) años de experiencia general y experiencia especifica en coordinación y/o formación de grupos artísticos de comparsas y teatros. En mínimo dos (2) proyectos. Esta experiencia se pide ya que se busca fortalecer las presentaciones de los grupos artísticos de la localidad.
Enfocado a mejorar las presentaciones a realizar en los eventos, y de esta forma directamente mejorar la calidad cultural de la localidad, apoyar al seguimiento del proyecto. Facilitar la labor de las relaciones con las comunidades artísticas. Brindando su conocimiento a las personas que harán parte de la escuela de arte
</t>
  </si>
  <si>
    <t>Meses</t>
  </si>
  <si>
    <t>5 meses por el 50% del tiempo</t>
  </si>
  <si>
    <t>Profesional Universitario en artes escénicas o áreas relacionadas con mínimo tres (3) años de experiencia general y experiencia especifica en coordinación y/o formación de grupos artísticos de comparsas y teatros. En mínimo dos (2) proyectos. Esta experiencia se pide ya que se busca fortalecer las presentaciones de los grupos artísticos de la localidad.
Enfocado a mejorar las presentaciones a realizar en los eventos, y de esta forma directamente mejorar la calidad cultural de la localidad, apoyar al seguimiento del proyecto. Facilitar la labor de las relaciones con las comunidades artísticas. Brindando su conocimiento a las personas que harán parte de la escuela de arte</t>
  </si>
  <si>
    <t>FIESTA DE REYES</t>
  </si>
  <si>
    <t xml:space="preserve">Afiches: Diseño, impresión y distribución de cien (100) afiches, tamaño ½ pliego, papel propalcote de 115 gramos, policromía. </t>
  </si>
  <si>
    <t>21 x día</t>
  </si>
  <si>
    <t>3 transportes x  3 días</t>
  </si>
  <si>
    <t>60 coordinadores para el evento 20 x día</t>
  </si>
  <si>
    <t>402 operarios para el evento 134 x día</t>
  </si>
  <si>
    <t>32 operarios para el evento 8 x día</t>
  </si>
  <si>
    <t>9 MEC para todo el evento 3 x día</t>
  </si>
  <si>
    <r>
      <rPr>
        <b/>
        <sz val="8"/>
        <color theme="1"/>
        <rFont val="Times New Roman"/>
        <family val="1"/>
      </rPr>
      <t>TARIMA 1</t>
    </r>
    <r>
      <rPr>
        <sz val="8"/>
        <color theme="1"/>
        <rFont val="Times New Roman"/>
        <family val="1"/>
      </rPr>
      <t xml:space="preserve">2 x 12 mts mínimo adicional a estas dimensiones un (1) áreas de trabajo de 7,20 x 4,80 mts y una pared de viento en la parte posterior del escenario (las áreas de trabajo deben estar cubiertas en su totalidad, esto quiere decir que deben tener techo, y laterales por todos los costados, y una vista total hacia la tarima). (la tarima y las áreas de trabajo deberán ser especializadas para la presentación de conciertos, en estructura modular y se deberá indicar la carga soportada por módulos y la carga total soportada teniendo en cuenta que se le adicionarán estructuras escenografías, equipos de backline. para lo anterior se deberá incluir para la tarima propuesta (1) un plano vista superior indicando sistema de armado, modulación y puntos de carga en kilogramos. la tarima deberá contar con superficies totalmente llanas y los módulos deberán encajar unos con otros y estar en perfectas condiciones en todas sus uniones, sin huecos, deberá tener escaleras de acceso de acuerdo a la propuesta de diseño y deberá tener faldón negro que la cubra en el frente) </t>
    </r>
  </si>
  <si>
    <r>
      <t xml:space="preserve">CUBIERTA </t>
    </r>
    <r>
      <rPr>
        <sz val="8"/>
        <color theme="1"/>
        <rFont val="Times New Roman"/>
        <family val="1"/>
      </rPr>
      <t>12 x 12 mts mínimo con cámara negra en tela (no polisombra) en el interior, y cobertura impermeable negra en la parte externa de toda la estructura de ser necesaria para su instalación y que garantice la seguridad del montaje y del equipo humano. (El techo deberá ser especializado para la presentación de conciertos en estructura modular ground support o en scaffold y deberá estar en capacidad de soportar el peso de los equipos que se incluyan en la propuesta). Se deberán anexar planos generales de montaje. El techo deberá estar convenientemente protegido contra posibles descargas eléctricas, que puedan afectar a las personas que trabajen dentro ó alrededor del escenario. El techo deberá estar anclado técnicamente y deberán incluirse las guayas, tensores y demás herramientas para esta función.</t>
    </r>
  </si>
  <si>
    <t xml:space="preserve"> Tarima</t>
  </si>
  <si>
    <t>1 x 3 dias del evento</t>
  </si>
  <si>
    <t>Cubierta</t>
  </si>
  <si>
    <r>
      <rPr>
        <b/>
        <sz val="8"/>
        <rFont val="Times New Roman"/>
        <family val="1"/>
      </rPr>
      <t>  Diez (10) </t>
    </r>
    <r>
      <rPr>
        <sz val="8"/>
        <rFont val="Times New Roman"/>
        <family val="1"/>
      </rPr>
      <t xml:space="preserve">micrófonos profesionales para percusión de calidad profesional reconocida a nivel mundial, optimizado para aplicaciones con cajas, timbales batería, tambores  con las siguientes especificaciones.
  Respuesta en frecuencias: 60 Hz-20 kHz
   Sensibilidad-52 dBV/Pa (2.51 mV/Pa)
   Tipo de transductor: Dinámico
</t>
    </r>
  </si>
  <si>
    <r>
      <rPr>
        <b/>
        <sz val="8"/>
        <rFont val="Times New Roman"/>
        <family val="1"/>
      </rPr>
      <t>  Cinco (5) </t>
    </r>
    <r>
      <rPr>
        <sz val="8"/>
        <rFont val="Times New Roman"/>
        <family val="1"/>
      </rPr>
      <t>micrófonos profesionales optimizado para la captación del sonido de instrumentos de viento con la siguientes especificaciones
         Condensado
         Respuesta en frecuencias: 60 Hz -20 kHz
         Sensibilidad -52 dBV/Pa (2.51 mV/Pa)</t>
    </r>
  </si>
  <si>
    <r>
      <t> </t>
    </r>
    <r>
      <rPr>
        <b/>
        <i/>
        <sz val="8"/>
        <rFont val="Times New Roman"/>
        <family val="1"/>
      </rPr>
      <t>Nota: </t>
    </r>
    <r>
      <rPr>
        <i/>
        <sz val="8"/>
        <rFont val="Times New Roman"/>
        <family val="1"/>
      </rPr>
      <t>El transporte estará a cargo del Contratista, así como de la instalación, custodia, el técnico que opere el sonido durante los tres días de la celebración y desinstalación del sonido.</t>
    </r>
  </si>
  <si>
    <r>
      <t>MICROFONERÍA
   </t>
    </r>
    <r>
      <rPr>
        <b/>
        <sz val="8"/>
        <rFont val="Times New Roman"/>
        <family val="1"/>
      </rPr>
      <t>Cinco (5)</t>
    </r>
    <r>
      <rPr>
        <sz val="8"/>
        <rFont val="Times New Roman"/>
        <family val="1"/>
      </rPr>
      <t xml:space="preserve"> micrófonos profesionales para voz líder inalámbricos y cinco tipo vincha de reconocimiento mundial con las siguientes especificaciones:
         Tipo de transductor: Dinámico
         Respuesta en frecuencia: 50 Hz - 16 kHz
         Sensibilidad (1 kHz): -51,5 dBV/Pa / 2,6 mV/Pa
         Respuesta en frecuencia personalizada para las voces, con una intensificación del rango medio y supresión de los graves para controlar el efecto de proximidad                    Patrón supercardioide uniforme para una alta ganancia antes de la realimentación y un gran rechazo de los sonidos fuera del eje                                        Imán de neodimio para una alta relación señal-ruido de salida sistema anti-golpes neumático que minimiza la transmisión de ruidos mecánicos y vibraciones
</t>
    </r>
  </si>
  <si>
    <t>x 3 dias</t>
  </si>
  <si>
    <t>9
 3 x día</t>
  </si>
  <si>
    <t>270 
90 x día</t>
  </si>
  <si>
    <t>180 
 60 x día</t>
  </si>
  <si>
    <t>1.080
360 x día</t>
  </si>
  <si>
    <t xml:space="preserve">Mascarilla tapaboca para requisas en los puntos de entrada al lugar. </t>
  </si>
  <si>
    <t>Guantes para las requisas en los puntos de entrada al lugar</t>
  </si>
  <si>
    <t xml:space="preserve">Gorro desechable de manipulación de alimento </t>
  </si>
  <si>
    <t>Unidades</t>
  </si>
  <si>
    <t>1620
 3 x carpa x 3 dias</t>
  </si>
  <si>
    <t>Guantes para la manipulación de alimentos.</t>
  </si>
  <si>
    <t>3240
6 x Carpa x 3 dias</t>
  </si>
  <si>
    <t>1620
540 x 3 dias</t>
  </si>
  <si>
    <t>150
50 x 3 dias</t>
  </si>
  <si>
    <t>78
26 x 3 días</t>
  </si>
  <si>
    <t>1.080
360 x 3 días</t>
  </si>
  <si>
    <t>900 
 300 x 3 días</t>
  </si>
  <si>
    <t>Poncho desechable para la lluvia  (Capa impermeable para la lluvia en materia polietileno)</t>
  </si>
  <si>
    <t>Mascarilla tapaboca para manipulación de alimentos</t>
  </si>
  <si>
    <t>Peto con las siguientes características: Peto Desechable, Polipropileno, Peso Tela
Los Kits son para las carpas que van a realizar ventas de comida. Tres (3) por carpa. por 3 días de eventos, “ los kits los debe armados y entregados por el operador “</t>
  </si>
  <si>
    <t>Artista Nacional</t>
  </si>
  <si>
    <t xml:space="preserve">1 x 4 Horas de uso </t>
  </si>
  <si>
    <t>15
5 x 3 dias</t>
  </si>
  <si>
    <t xml:space="preserve">SHOW DE DRONES  </t>
  </si>
  <si>
    <t xml:space="preserve"> SHOWS </t>
  </si>
  <si>
    <t>ITEM</t>
  </si>
  <si>
    <t>COMPONENTE O ACTIVIDAD</t>
  </si>
  <si>
    <t>DESCRIPCION</t>
  </si>
  <si>
    <t>CANTIDAD</t>
  </si>
  <si>
    <t xml:space="preserve">UNIDAD DE MEDIDA </t>
  </si>
  <si>
    <t xml:space="preserve">VALOR UNITARIO  </t>
  </si>
  <si>
    <t>VALOR TOTAL (INCLUIDO IVA)</t>
  </si>
  <si>
    <t>Refrigerio. Fruta, jugo, pastel de pollo o carne, debidamente empacado en bolsa de papel, una bebida (yogurt, kumis, jugo o avena) de 200 ml, una fruta de cosecha y una chocolatina o un dulce (energizante).
Nota: El Contratista deberá primero garantizar la entrega de refrigerios a las comparsas, despues de esto al personal del Distrito que apoya el evento.</t>
  </si>
  <si>
    <t>COMPONENTES O ACTIVIDADES</t>
  </si>
  <si>
    <t>DESCRIPCIÓN</t>
  </si>
  <si>
    <t>UNIDAD DE MEDIDA</t>
  </si>
  <si>
    <t xml:space="preserve">Coordinador General (1) </t>
  </si>
  <si>
    <t xml:space="preserve">Profesional en nucleos basicos de Educacion Fisica, Cultura Fisica, Recreacion y Deporte, Administracion Deportiva con minimo 12 meses de expreiencia certificable </t>
  </si>
  <si>
    <t xml:space="preserve">meses </t>
  </si>
  <si>
    <t>Apoyo Tecnico  (1)</t>
  </si>
  <si>
    <t>Titulo de formacion tecnica o tecnologica de carreras tecnicas o profesionales con nucleos basicos de Educacion Fisica, Cultura Fisica, Recreacion y Deporte, Administracion Deportiva con experiencia minima de 36 meses, en apoyo logisto con actividades tales como: La realizacion de eventos deportivos y recreativos en espacio publico y actividades administrativas: tales como gestion de formatos y consolidacion de documentacion necesaria para el desarrollo de las actividades propuestas y la presentacion de informes.</t>
  </si>
  <si>
    <t xml:space="preserve">Instructor </t>
  </si>
  <si>
    <t>Dias</t>
  </si>
  <si>
    <t>Logistico</t>
  </si>
  <si>
    <t>Operadores            logísticos            capacitados, debidamente    identificados    y    dotados    con elementos  de  protección  individual,  linterna  y
sistemas de comunicación con titulo bachiller 12 meses de experiencia certificada una jornada.</t>
  </si>
  <si>
    <t>Jornada</t>
  </si>
  <si>
    <t xml:space="preserve">Comentarista Deportivo </t>
  </si>
  <si>
    <t xml:space="preserve"> Comentarista deportivo para la Carrera Atlética. Titulo profesional en comunicación social y carreras afines  con 24 meses de experiencia.</t>
  </si>
  <si>
    <t>Jueces de llegada y salida</t>
  </si>
  <si>
    <t xml:space="preserve">Jueces que deben estar avalados por la Liga de
Atletismo de Bogotá. Con titulo tecnico o tecnologo con 12 meses de experiencia certificada. Una jornada </t>
  </si>
  <si>
    <t>Dia</t>
  </si>
  <si>
    <t>Pendón</t>
  </si>
  <si>
    <t>Pendón 2*1,50 mts, impresión banner digital full
color horizontal. (Con logos institucionales aprobados por la oficina de prensa del FDLC).</t>
  </si>
  <si>
    <t>Soporte de araña 2*1,50 mts  vertical con. (Con logos institucionales aprobados por la oficina de prensa del FDLC).</t>
  </si>
  <si>
    <t>Pendon</t>
  </si>
  <si>
    <t>Afiches</t>
  </si>
  <si>
    <t>Afiches tamaño 1/2 de pliego 4x0 propalcote full
color, 115 gramos. (Con logos institucionales aprobados por la oficina de prensa del FDLC).</t>
  </si>
  <si>
    <t xml:space="preserve">Poliza del evento </t>
  </si>
  <si>
    <t>Poliza del evento</t>
  </si>
  <si>
    <t>Podium</t>
  </si>
  <si>
    <t>Alquiler Primer, segundo , tercer y cuarto lugar. Alquiler  (faldon horizontal con logos institucionales institucionales aprobados por la oficina de prensa FDLC)</t>
  </si>
  <si>
    <t xml:space="preserve">Podium </t>
  </si>
  <si>
    <t>Sonido</t>
  </si>
  <si>
    <t>Sonido 6000 a 10000 watts: sistema  line array, consola mínimo de 32 canales digital para PA y consola     de     monitoreo     de     36     canales, reproductor  de  cd  doble  bandeja,  mp3,  puerto USB, cableado de señal, acometidas eléctricas, kit  de   6  micrófonos   alámbricos   de   mano,  3 micrófonos inalámbricos de mano, 2 micrófonos de  solapa,  2  micrófonos  de  diadema, ingeniero de sonido y todos los elementos requeridos para
su operación. (por hora)</t>
  </si>
  <si>
    <t xml:space="preserve">Sonido 10 horas </t>
  </si>
  <si>
    <t>Baños</t>
  </si>
  <si>
    <t xml:space="preserve">Alquiler de baños portátiles para la ejecución del evento, los cuales contarán con una persona de mantenimiento y servicio respectivo.
Nota: El contratista deberá garantizar transporte, instalación, custodia y desinstalación de los mismos.
El operador debera presentar certificado de disposición y tratamiento de los residuos en planta  </t>
  </si>
  <si>
    <t xml:space="preserve">Alquiler   baños   portátiles   para   personas   en condición      de      discapacidad. Para la ejecución del evento, los cuales contarán con una persona de mantenimiento y servicio respectivo.
Nota: El contratista deberá garantizar transporte, instalación, custodia y desinstalación de los mismos.
El operador debera presentar certificado de disposición y tratamiento de los residuos en planta  </t>
  </si>
  <si>
    <t>Planta Electrica</t>
  </si>
  <si>
    <t>Alquiler 3 Planta  eléctrica  de  75  kva  insonora  con cable
extensión encauchetada, con combustible</t>
  </si>
  <si>
    <t xml:space="preserve">Planta lectrica 10 horas </t>
  </si>
  <si>
    <t xml:space="preserve">Arco inflable </t>
  </si>
  <si>
    <t>Alquiler arcos Inflable 6mt x 2.5mt para eventos deportivos y competencias. Fácil instalación. Salida y llegada. (Con logos institucionales aprobados por la oficina de prensa del FDLC).</t>
  </si>
  <si>
    <t>Vallas</t>
  </si>
  <si>
    <t>Alquiler de vallas  – tipo muro de contención para delimitar el espacio de las intersecciones de la carrera atletica, con el finde evitar que los espectadores crucen el área delimitada  las MEDIDAS DE LAS VALLAS SON  2,00 m  X  1,40 m</t>
  </si>
  <si>
    <t>Ambulancia (dos unidades)</t>
  </si>
  <si>
    <t>MEC</t>
  </si>
  <si>
    <t>Modulo de Estabilización y Clasificación para  el desarrollo de la carrera, incluye un medico y cinco
auxiliares de enfermería</t>
  </si>
  <si>
    <t>Modolus 10 horas</t>
  </si>
  <si>
    <t>Gorra</t>
  </si>
  <si>
    <t>Gorra tipo depoetiva con malla y con velcro. (con los institucionales y nombre de la carrerra atletica aprobado por la oficina de prensa del FDLC).</t>
  </si>
  <si>
    <t>Números</t>
  </si>
  <si>
    <t>Numero de 21 x 16 cms impresos full color por cara   principal   sobre   papel   tyvek   de   55   gr, numerado,   perforado   para   ganchos   con   4
ganchos instalados en 1 de las esquinas. (Con logos institucionales aprobados por la oficina de prensa del FDLC).</t>
  </si>
  <si>
    <t>Formulario</t>
  </si>
  <si>
    <t xml:space="preserve">Formularios  de inscripción  copia papel bond 75
gr. (con los logos institucionales y nombre de la carrera atletica aprobados por la ofcina de prensa del FDLC) </t>
  </si>
  <si>
    <t>Camiseta</t>
  </si>
  <si>
    <t>Camiseta deportiva en tela de tipo t-shirts paulista o vanisado, color blanco y con logos institucionales aprobados por la ofcina de prensa FDLC, terminados en fileteado, cuello acrílico. Deben tener el nombre del proyecto en las dos  caras.</t>
  </si>
  <si>
    <t>Botella</t>
  </si>
  <si>
    <t>Botella  flexible  medidas  27x12  cms  .  Marcada
con logos institucionales a tres tinta aprobados por la oficina de prensa del FDLC .</t>
  </si>
  <si>
    <t>PLAN DE CONTIGENCIA, para espacio abierto de  acuerdo  a  Decreto  Distrital  599  de  2013. Aforo   1.500   personas.   Incluye    registro   de clasificacion   de   complejidad,(Media   )   segun mòdulo   SUGA;   Registro   y   elaboraciòn   del documento    PEC    (Plan    de    Emergencia    y contingencia),    emisiòn    de    autorizacion    del evento  mediante  Acto  Administrativo,  recursos logísticos   (VAS)   y,   operador   de   salud   APA, operador   de   plan   de   salud   de   acuerdo   la magnitud  del  evento  (Incluye  MEC,  TAB),  una brigada  contra  incendio,  botiquin  de  primeros auxilios,  material  de  señalizaciòn  y  separaciòn (Colombinas,    rompetrafico,    cinta    perimetral, segun  la  distribuciòn  del  escenario,  vallas  de acuerdo  a  la cantidad  definida en  visita técnica previa  )  y  poliza  de  seguro  para  el  lugar  del
evento.</t>
  </si>
  <si>
    <t>Global</t>
  </si>
  <si>
    <t>Brigada</t>
  </si>
  <si>
    <t>Brigada  de  salud  compuesta  por  dos  auxiliares de    enfermería    debidamente    calificados    y
uniformados, por jornada de 12 horas.</t>
  </si>
  <si>
    <t>Entrega  de  bonos  para  los  ganadores  de  la Carrera  atlética  de  acuerdo  a  las  categorías.
establecidas en el anexo técnico.  Nota: El valor es inmodificable.</t>
  </si>
  <si>
    <t>Medalla primer puesto</t>
  </si>
  <si>
    <t>Medalla segundo puesto</t>
  </si>
  <si>
    <t>Medalla tercer puesto</t>
  </si>
  <si>
    <t>Medalla cuarto puesto</t>
  </si>
  <si>
    <t>Hidratacion</t>
  </si>
  <si>
    <t>Hidratación. Botella pet con agua de 300 cc de una marca reconocida en el mercado</t>
  </si>
  <si>
    <t>TOTAL</t>
  </si>
  <si>
    <t>FIESTA DE BOGOTA</t>
  </si>
  <si>
    <t xml:space="preserve">VOLANTES </t>
  </si>
  <si>
    <t>AFICHES</t>
  </si>
  <si>
    <t>VIDEO PUBLICITARIO</t>
  </si>
  <si>
    <t>ESTIMULO</t>
  </si>
  <si>
    <t>ALQUILER SONIDO</t>
  </si>
  <si>
    <t>ALQUILER TARIMA</t>
  </si>
  <si>
    <t>ARTISTAS LOCALES</t>
  </si>
  <si>
    <t>ARTISTAS DISTRITALES</t>
  </si>
  <si>
    <t>ARTISTA NACIONAL</t>
  </si>
  <si>
    <t>VALLAS DE CERRAMIENTO</t>
  </si>
  <si>
    <t>MURO DE CONTENCION</t>
  </si>
  <si>
    <t>PLANTA ELECTRICA</t>
  </si>
  <si>
    <t>BAÑOS MOVILES</t>
  </si>
  <si>
    <t>GUANTES</t>
  </si>
  <si>
    <t>TAPABOCAS</t>
  </si>
  <si>
    <t>PETOS (DELANTAL DESECHABLE)</t>
  </si>
  <si>
    <t>COFIAS</t>
  </si>
  <si>
    <t xml:space="preserve">MAPA INTERACTIVO </t>
  </si>
  <si>
    <t xml:space="preserve">PAUTA RADIAL </t>
  </si>
  <si>
    <t>Volantes: Diseño, impresión y distribución de quinientos (1000) volantes, tamaño media carta, en papel propalcote de 115 gramos, policromía.con colilla para boleteria.</t>
  </si>
  <si>
    <t xml:space="preserve"> tipo muro de contención para delimitar el espacio del escenario principal en la Fiesta de Reyes Magos y Epifanía. y evitar que los espectadores crucen el área delimitada 
Nota: El contratista deberá garantizar transporte, instalación, custodia y desinstalación de las mismas</t>
  </si>
  <si>
    <t>Alquiler 2 Planta  eléctrica  de  75  kva  insonora  con cable
extensión encauchetada, con combustible</t>
  </si>
  <si>
    <t>Un sistema profesional linearray aéreo de una marca reconocida a nivel mundial que garantice el total y óptimo cubrimiento en el escenario de la fiesta con 35.000 watts 1 consolas digitales de 32 ch mínimo + snake con 3 fan outs + sistema de monitoreo y seis (6) monitores en tarima. + Back Line + estructura para el colgado del sistema (sistema y consolas deben ser de una marca reconocida a nivel mundial, de primera categoría, y el sistema debe garantizar total cubrimiento a una distancia de 30 metros. DE 120 DB SPL</t>
  </si>
  <si>
    <r>
      <rPr>
        <b/>
        <sz val="8"/>
        <color theme="1"/>
        <rFont val="Times New Roman"/>
        <family val="1"/>
      </rPr>
      <t>TARIMA 1</t>
    </r>
    <r>
      <rPr>
        <sz val="8"/>
        <color theme="1"/>
        <rFont val="Times New Roman"/>
        <family val="1"/>
      </rPr>
      <t>2 x 12 mts mínimo adicional a estas dimensiones un (1) áreas de trabajo de 7,20 x 4,80 mts y una pared de viento en la parte posterior del escenario (las áreas de trabajo deben estar cubiertas en su totalidad, esto quiere decir que deben tener techo, y laterales por todos los costados, y una vista total hacia la tarima). (la tarima y las áreas de trabajo deberán ser especializadas para la presentación de conciertos, en estructura modular y se deberá indicar la carga soportada por módulos y la carga total soportada teniendo en cuenta que se le adicionarán estructuras escenografías, equipos de backline. para lo anterior se deberá incluir para la tarima propuesta (1) un plano vista superior indicando sistema de armado, modulación y puntos de carga en kilogramos. la tarima deberá contar con superficies totalmente llanas y los módulos deberán encajar unos con otros y estar en perfectas condiciones en todas sus uniones, sin huecos, deberá tener escaleras de acceso de acuerdo a la propuesta de diseño y deberá tener faldón negro que la cubra en el frente) CUBIERTA 12 x 12 mts mínimo con cámara negra en tela (no polisombra) en el interior, y cobertura impermeable negra en la parte externa de toda la estructura de ser necesaria para su instalación y que garantice la seguridad del montaje y del equipo humano. (El techo deberá ser especializado para la presentación de conciertos en estructura modular ground support o en scaffold y deberá estar en capacidad de soportar el peso de los equipos que se incluyan en la propuesta). Se deberán anexar planos generales de montaje. El techo deberá estar convenientemente protegido contra posibles descargas eléctricas, que puedan afectar a las personas que trabajen dentro ó alrededor del escenario. El techo deberá estar anclado técnicamente y deberán incluirse las guayas, tensores y demás herramientas para esta función.</t>
    </r>
  </si>
  <si>
    <t>Artistas</t>
  </si>
  <si>
    <t>Artista</t>
  </si>
  <si>
    <t>Tapabocas</t>
  </si>
  <si>
    <t>FIESTA PUERTAS ABIERTAS</t>
  </si>
  <si>
    <t>TOTAL FIESTA BOGOTA</t>
  </si>
  <si>
    <t>TOTAL FIESTA PUERTAS ABIERTAS</t>
  </si>
  <si>
    <t>DECORACION NAVIDEÑA</t>
  </si>
  <si>
    <t>FIESTA  NAVIDAD</t>
  </si>
  <si>
    <t>TOTAL FIESTA NAVIDAD</t>
  </si>
  <si>
    <t>FIESTA  DE REYES</t>
  </si>
  <si>
    <t>TOTAL FIESTA REYES</t>
  </si>
  <si>
    <t>FIESTA  DE CARRERA ATLETICA</t>
  </si>
  <si>
    <t>FIESTA  DE CANDEFEST</t>
  </si>
  <si>
    <t>TOTAL FIESTA CANDEFES</t>
  </si>
  <si>
    <r>
      <t>MICROFONERÍa   </t>
    </r>
    <r>
      <rPr>
        <b/>
        <sz val="8"/>
        <rFont val="Times New Roman"/>
        <family val="1"/>
      </rPr>
      <t>Cinco (5)</t>
    </r>
    <r>
      <rPr>
        <sz val="8"/>
        <rFont val="Times New Roman"/>
        <family val="1"/>
      </rPr>
      <t> micrófonos profesionales para voz líder inalámbricos y cinco tipo vincha de reconocimiento mundial con las siguientes especificaciones:
   Tipo de transductor: Dinámico
   Respuesta en frecuencia: 50 Hz - 16 kHz
 Sensibilidad (1 kHz): -51,5 dBV/Pa / 2,6 mV/Pa
  Respuesta en frecuencia personalizada para las voces, con una intensificación del rango medio y supresión de los graves para controlar el efecto de proximidad    Patrón supercardioide uniforme para una alta ganancia antes de la realimentación y un gran rechazo de los sonidos fuera del eje     Imán de neodimio para una alta relación señal-ruido de salida sistema anti-golpes neumático que minimiza la transmisión de ruidos mecánicos y vibraciones</t>
    </r>
  </si>
  <si>
    <t>Tecnico o Tecnologo en nucleos basicos de Educacion Fisica, Cultura Fisica, Recreacion y Deporte, Entrenamiento Personal, Instructor de Aeróbicos, Instructor de Condición Física,con experiencia minima de 24 meses certificables  relacionada en trabajo de equipo, Tecnico o Tecnologo en nucleos basicos de Educacion Fisica, Cultura Fisica, Recreacion y Deportede Condición Física con Grupos (Masculino y Femenino.</t>
  </si>
  <si>
    <t>poliza de responsabilidad civil extracontractual para el desarrollo de evntos y actividades artisticas y culturales</t>
  </si>
  <si>
    <t>Ambulancia    medicalizada    y    habilitada    por Secretaria  Distrital  de  Salud  que  cumpla  con todos los requisitos de ley para esta clasificación
Que   cuente   con   conductor   de   ambulancia capacitado,  auxiliar de  enfermería  medico  y los equipos necesarios por 12 horas.
(En el perímetro urbano)</t>
  </si>
  <si>
    <t>2 unidades por 12 horas</t>
  </si>
  <si>
    <t xml:space="preserve">PLAN DE CONTIGENCIA </t>
  </si>
  <si>
    <t xml:space="preserve">Premiación (Bonos)
 primer  puesto mayores femenina </t>
  </si>
  <si>
    <t>Premiación (Bonos)segundo puesto mayores femenina</t>
  </si>
  <si>
    <t xml:space="preserve">Premiación (Bonos) tercer puesto mayores femenina </t>
  </si>
  <si>
    <t xml:space="preserve">Premiación (Bonos) cuarto puesto mayores femenina </t>
  </si>
  <si>
    <t xml:space="preserve">Premiación (Bonos)primer  puesto mayores masculino  </t>
  </si>
  <si>
    <t xml:space="preserve">Premiación (Bonos) segundo   puesto mayores masculino  </t>
  </si>
  <si>
    <t xml:space="preserve">Premiación (Bonos)tercer  puesto mayores masculino  </t>
  </si>
  <si>
    <t xml:space="preserve">Premiación (Bonos)cuarto  puesto mayores masculino  </t>
  </si>
  <si>
    <t xml:space="preserve">Premiación (Bonos)primer  puesto juveniles  masculino  </t>
  </si>
  <si>
    <t xml:space="preserve">Premiación (Bonossegundo   puesto juveniles  masculino  </t>
  </si>
  <si>
    <t xml:space="preserve">Premiación (Bonos)tercer  puesto juveniles masculino  </t>
  </si>
  <si>
    <t xml:space="preserve">Premiación (Bonos)cuarto  puesto juveniles masculino  </t>
  </si>
  <si>
    <t xml:space="preserve">Premiación (Bonos)
 primer  puesto juveniles femenina </t>
  </si>
  <si>
    <t>Premiación (Bonos)segundo puesto juveniles femenina</t>
  </si>
  <si>
    <t xml:space="preserve">Premiación (Bonos) tercer puesto juveniles femenina </t>
  </si>
  <si>
    <t xml:space="preserve">Premiación (Bonos) cuarto puesto juveniles femenina </t>
  </si>
  <si>
    <t xml:space="preserve">Trofeos campeon oro  </t>
  </si>
  <si>
    <t>Trofeo primer lugar,  femenino y masculino mayores.  torneo metálica  de  50  Cms  base de pasta y placa sublimada con los logos institucuinales aprobados por la oficina de prensa del FDLC. 
Nota: establecidas en el anexo técnico.</t>
  </si>
  <si>
    <t>Trofeo campeón,  femenino y masculino juvenil torneo metálica  de  50  Cms  base de pasta y placa sublimada con los logos institucuinales aprobados por la oficina de prensa del FDLC. 
Nota: establecidas en el anexo técnico.</t>
  </si>
  <si>
    <t xml:space="preserve">Trofeo sub campeon plata </t>
  </si>
  <si>
    <t>Trofeo sub campeón,  femenino y masculino mayores  torneo metálica  de  50  Cms  base de pasta y placa sublimada con los logos institucuinales aprobados por la oficina de prensa del FDLC. 
Nota: establecidas en el anexo técnico.</t>
  </si>
  <si>
    <t>Trofeo sub campeón,  femenino y masculino juvenil torneo metálica  de  50  Cms  base de pasta y placa sublimada con los logos institucuinales aprobados por la oficina de prensa del FDLC. 
Nota: establecidas en el anexo técnico.</t>
  </si>
  <si>
    <t>Trofeo tercer puesto bronce</t>
  </si>
  <si>
    <t>Trofeo tercer puesto,  femenino y masculino mayores  torneo metálica  de  50  Cms  base de pasta y placa sublimada con los logos institucuinales aprobados por la oficina de prensa del FDLC. 
Nota: establecidas en el anexo técnico.</t>
  </si>
  <si>
    <t>Trofeo tercer puesto,  femenino y masculino juvenil torneo metálica  de  50  Cms  base de pasta y placa sublimada con los logos institucuinales aprobados por la oficina de prensa del FDLC. 
Nota: establecidas en el anexo técnico.</t>
  </si>
  <si>
    <t xml:space="preserve">Trofeo cuarto puesto bronce </t>
  </si>
  <si>
    <t>Trofeo cuarto puesto,  femenino y masculino mayores  torneo metálica  de  50  Cms  base de pasta y placa sublimada con los logos institucuinales aprobados por la oficina de prensa del FDLC. 
Nota: establecidas en el anexo técnico.</t>
  </si>
  <si>
    <t>Trofeo cuarto puesto,  femenino y masculino juvenil torneo metálica  de  50  Cms  base de pasta y placa sublimada con los logos institucuinales aprobados por la oficina de prensa del FDLC. 
Nota: establecidas en el anexo técnico.</t>
  </si>
  <si>
    <t>Medallas metalicas femenino - masculino mayores tipo oro con logos institucionales. Nota: establecidas en el anexo técnico. (Con logos institucionales aprobados por la oficina de prensa del FDLC).</t>
  </si>
  <si>
    <t>Medallas metalicas femenino - masculino juveniles tipo oro con logos institucionales. Nota: establecidas en el anexo técnico. (Con logos institucionales aprobados por la oficina de prensa del FDLC).</t>
  </si>
  <si>
    <t>TOTAL CARRERA ATLETICA</t>
  </si>
  <si>
    <t>El operador suministrara un total de ocho (8) obras de teatro, las cuales se presentarán en las salas concertadas y en las instalaciones de los teatros independientes, las obras de teatro serán realizadas por artistas de la localidad.
POR PERTENECER A UN REGIMEN TRIBUTARIO ESPEVCIAL NO SE REALIZA RETENCION EN LA FUENTE SON ENTIDADES SIN ANIMO DE LUCRO (ARTICULO 14 DECRETO 4400 DE DICIEMBRE 2004
Nota:al valor de este ITEMs se le debe realizar los descuentos de ley. Luego de los descuentos el valor es Inmodificable</t>
  </si>
  <si>
    <t>CURSO MARKETING 
DIGITAL</t>
  </si>
  <si>
    <t>ESTUMULO</t>
  </si>
  <si>
    <t xml:space="preserve"> Festones/ Pasacalles/Banderines</t>
  </si>
  <si>
    <t xml:space="preserve">impacto publicitarios en emisoras radiales reconocidas a nivel nacional, donde cada impacto debe tener una duracion superior a 15 segundos </t>
  </si>
  <si>
    <t>dos videos publicirtarios de 30 segundos cada uno en donde se plasme la convocatoria y realizacion del evento candefest</t>
  </si>
  <si>
    <t>fortalecimiento en las capacidades a emprendedores para la comercialización de sus productos a través del Marketing digital, en donde se realizaron talleres con el fin de explicar a los emprendedores y fortalecer sus conocimientos y capacidades en temas asociados con los fundamentos de redes sociales, sus aplicaciones, estrategias orientadas a la comercialización digital y estrategia paga. De igual manera, realizar asesorías personalizadas en donde se trabajaron 3 temáticas principales: imagen corporativa, creación y potencialización de redes sociales y foto producto y socialización de página web</t>
  </si>
  <si>
    <t>Incentivo económico representado en bonos para ser redimidos en materias 
primas para establecimientos de comercio</t>
  </si>
  <si>
    <t xml:space="preserve"> Incentivo económico representado en bonos para ser redimidos en materias primas para  las carpas </t>
  </si>
  <si>
    <t xml:space="preserve">Banderines triangulaes o festones tipo feria de 2 metros 
 ( material en tela,con colores institucionales y el titulo del evento) </t>
  </si>
  <si>
    <t>Peto con las siguientes características: Peto Desechable, Polipropileno, Peso Tela
Los Kits son para las carpas que van a realizar ventas de comida. Tres (3) por carpa. por 3 días de eventos, “ los kits los debe armados y entregados por el operador “ 540 x 3 dias</t>
  </si>
  <si>
    <t>Gorro desechable de manipulación de alimento  540 x 3 dias</t>
  </si>
  <si>
    <t>Mapa interactivo de la Localidad donde se identifiquen los comercios participantes del Cande Fest, una reseña histórica de su producto, 
como lo son: cerveza artesanal, chicha, hostales, puntos Gastronómicos, entre otros)</t>
  </si>
  <si>
    <t xml:space="preserve"> 10
Impactos Diarios</t>
  </si>
  <si>
    <t>2 videso</t>
  </si>
  <si>
    <t xml:space="preserve">CUPOS </t>
  </si>
  <si>
    <t>BONOS</t>
  </si>
  <si>
    <t>ESTIMULOS</t>
  </si>
  <si>
    <t>Refrigerio. Fruta, jugo, pastel de pollo o carne, debidamente empacado en bolsa de papel, una bebida (yogurt, kumis, jugo o avena) de 200 ml, una fruta de cosecha y una chocolatina o un dulce (energizante) 
Nota: El Contratista deberá entregar refrigerios en la mañana y en la tarde, al personal que participará en el Puesto de Mando Unificado – PMU de la Fiesta de Reyes Magos y Epifanía; el operador entregara los refrigerios en un vehiculo para transporte de alimentos segun resolucion del ministerio de transporte.</t>
  </si>
  <si>
    <t>Almuerzos. Proteína (Carne, pollo o Cerdo) +Sopa o Crema+ Vegetales + arroz + Acompañamiento + jugo + postre.
El Contratista deberá entregar almuerzos a todo el personal que participará en el Puesto de Mando Unificado – PMU de la Fiesta de Reyes Magos y Epifanía; el operador entregara los refrigerios en un vehiculo para transporte de alimentos segun resolucion del ministerio de transporte.</t>
  </si>
  <si>
    <t>1.000
 450 x 3 días</t>
  </si>
  <si>
    <t>Manillas Tivek papel siliconado para identificar a las personas que viven en el barrio Egipto que son población flotante, y no llegan a la fiesta 25.000 manillas de color rojo para el control de aforo y 3.000 manillas de un color diferente al rojo para los recidentes del barrio egipto.</t>
  </si>
  <si>
    <t>Dos (02) maestros de ceremonia (hombre y mujer) o presentador o animador, distribución que realizara el contratista.</t>
  </si>
  <si>
    <t xml:space="preserve">Punto de salud MEC con ocho (8) auxiliares de enfermeria, (1) Medico por cada puesto. El operador garantiza la dotación de cada puesto MEC mínimo de 12 horas </t>
  </si>
  <si>
    <t>Par de Guantes para la manipulación de alimentos.</t>
  </si>
  <si>
    <t xml:space="preserve">Transporte, reparto y recogida material del PMT . El contratista deberá tener en cuenta las  especificaciones de transporte de  material y carga que se establecen en la localidad.  El valor  NO es por trayecto, corresponde al valor del alquiler del vehículo para el desarrollo de la FIESTA. 
2 dos camiones para el desarrollo de la actividad </t>
  </si>
  <si>
    <t>Malla (2 x 2 MT Metalica con polisombra ) Cantidad por metro Nota: El contratista debe garantizar el transporte, llevada, recogida y demás elementos que se necesiten para la instalación de la misma.  
60 para todo el evento</t>
  </si>
  <si>
    <t>Sillas</t>
  </si>
  <si>
    <t xml:space="preserve"> Jurados  PROFESIONAL EN MÚSICA Y DANZA </t>
  </si>
  <si>
    <t xml:space="preserve"> Jurados  PROFESIONAL EN MÚSICA Y DANZA con experiencia  de 4 años certificada, con un perfil multidisciplinar.   </t>
  </si>
  <si>
    <t xml:space="preserve">Arbitraje </t>
  </si>
  <si>
    <t xml:space="preserve">Arbitraje torneo de  banquitas por dos días, POR LA CANTIDAD DE TORNEO QUE SE DESARROLLEN EN LOS MISMOS </t>
  </si>
  <si>
    <t>ESPECIFICACIÓN 
CANTIDADES</t>
  </si>
  <si>
    <t>N/A</t>
  </si>
  <si>
    <t>Nota 1: Las Bases y cableado necesario para los micrófonos  así como tres cajas directas así como cableadas de línea  deben estar incluidas y en excelente estado.</t>
  </si>
  <si>
    <t> Nota 2: El transporte estará a cargo del Contratista, así como de la instalación, custodia, el técnico que opere el sonido durante los tres días de la celebración y desinstalación del sonido.</t>
  </si>
  <si>
    <t xml:space="preserve">Alquiler de baños portátiles para la ejecución de los tres días de la Fiesta de Reyes Magos y Epifanía, los cuales contarán con la persona de mantenimiento y servicio respectivo.
Nota: El contratista deberá garantizar transporte, instalación, custodia y desinstalación de los mismos.
Es obligación del operador realizar el Aseo de los baños al término de las actividades diarias. (Por la noche). El operador tiene que presentar certificado de disposición y tratamiento en planta </t>
  </si>
  <si>
    <r>
      <t xml:space="preserve">Alquiler de vallas de contención para delimitar las diferentes zonas dentro de la Fiesta de Reyes Magos y Epifanía.
</t>
    </r>
    <r>
      <rPr>
        <b/>
        <sz val="8"/>
        <color theme="1"/>
        <rFont val="Times New Roman"/>
        <family val="1"/>
      </rPr>
      <t>Nota: El contratista deberá garantizar transporte, instalación, custodia y desinstalación de las mismas</t>
    </r>
  </si>
  <si>
    <r>
      <t xml:space="preserve">Alquiler de vallas de contención Alquiler de vallas – tipo muro de contención para delimitar el espacio del escenario principal en la Fiesta de Reyes Magos y Epifanía. y evitar que los espectadores crucen el área delimitada 
</t>
    </r>
    <r>
      <rPr>
        <b/>
        <sz val="8"/>
        <color theme="1"/>
        <rFont val="Times New Roman"/>
        <family val="1"/>
      </rPr>
      <t>Nota: El contratista deberá garantizar transporte, instalación, custodia y desinstalación de las mismas</t>
    </r>
  </si>
  <si>
    <t>Proyección en vivo
5 diarias</t>
  </si>
  <si>
    <t>2 Maestros de Ceremonia por Dia</t>
  </si>
  <si>
    <t xml:space="preserve">VALOR UNITARIO IVA INCLUIDO  </t>
  </si>
  <si>
    <r>
      <rPr>
        <b/>
        <sz val="8"/>
        <rFont val="Times New Roman"/>
        <family val="1"/>
      </rPr>
      <t>  Diez (10) </t>
    </r>
    <r>
      <rPr>
        <sz val="8"/>
        <rFont val="Times New Roman"/>
        <family val="1"/>
      </rPr>
      <t>micrófonos profesionales para percusión de calidad profesional reconocida a nivel mundial, optimizado para aplicaciones con cajas, timbales batería, tambores  con las siguientes especificaciones.
  Respuesta en frecuencias: 60 Hz-20 kHz
   Sensibilidad-52 dBV/Pa (2.51 mV/Pa)
   Tipo de transductor: Dinámico</t>
    </r>
  </si>
  <si>
    <t xml:space="preserve">TOTALES FESTIVAL PUERTAS ABIERTAS </t>
  </si>
  <si>
    <t>TOTALES FIESTA DE REYES</t>
  </si>
  <si>
    <r>
      <rPr>
        <b/>
        <sz val="8"/>
        <color theme="1"/>
        <rFont val="Times New Roman"/>
        <family val="1"/>
      </rPr>
      <t>TARIMA 6</t>
    </r>
    <r>
      <rPr>
        <sz val="8"/>
        <color theme="1"/>
        <rFont val="Times New Roman"/>
        <family val="1"/>
      </rPr>
      <t xml:space="preserve"> x 6 mts mínimo adicional a estas dimensiones un (1) áreas de trabajo de 7,20 x 4,80 mts y una pared de viento en la parte posterior del escenario (las áreas de trabajo deben estar cubiertas en su totalidad, esto quiere decir que deben tener techo, y laterales por todos los costados, y una vista total hacia la tarima). (la tarima y las áreas de trabajo deberán ser especializadas para la presentación de conciertos, en estructura modular y se deberá indicar la carga soportada por módulos y la carga total soportada teniendo en cuenta que se le adicionarán estructuras escenografías, equipos de backline. para lo anterior se deberá incluir para la tarima propuesta (1) un plano vista superior indicando sistema de armado, modulación y puntos de carga en kilogramos. la tarima deberá contar con superficies totalmente llanas y los módulos deberán encajar unos con otros y estar en perfectas condiciones en todas sus uniones, sin huecos, deberá tener escaleras de acceso de acuerdo a la propuesta de diseño y deberá tener faldón negro que la cubra en el frente) </t>
    </r>
  </si>
  <si>
    <r>
      <t>CUBIERTA 6</t>
    </r>
    <r>
      <rPr>
        <sz val="8"/>
        <color theme="1"/>
        <rFont val="Times New Roman"/>
        <family val="1"/>
      </rPr>
      <t xml:space="preserve"> x 6 mts mínimo con cámara negra en tela (no polisombra) en el interior, y cobertura impermeable negra en la parte externa de toda la estructura de ser necesaria para su instalación y que garantice la seguridad del montaje y del equipo humano. (El techo deberá ser especializado para la presentación de conciertos en estructura modular ground support o en scaffold y deberá estar en capacidad de soportar el peso de los equipos que se incluyan en la propuesta). Se deberán anexar planos generales de montaje. El techo deberá estar convenientemente protegido contra posibles descargas eléctricas, que puedan afectar a las personas que trabajen dentro ó alrededor del escenario. El techo deberá estar anclado técnicamente y deberán incluirse las guayas, tensores y demás herramientas para esta función.</t>
    </r>
  </si>
  <si>
    <r>
      <t xml:space="preserve">Refrigerio. pastel de pollo o carne, debidamente empacado en bolsa de papel, una bebida (yogurt, kumis, jugo o avena) de 200 ml, una fruta de cosecha y una chocolatina
</t>
    </r>
    <r>
      <rPr>
        <b/>
        <sz val="8"/>
        <color rgb="FFFF0000"/>
        <rFont val="Times New Roman"/>
        <family val="1"/>
      </rPr>
      <t>Nota: El Contratista deberá primero garantizar la entrega de refrigerios a las comparsas, despues de esto al personal del Distrito que apoya el evento.</t>
    </r>
  </si>
  <si>
    <t>PUBLICIDAD CONCOVATORIA</t>
  </si>
  <si>
    <t>PMT</t>
  </si>
  <si>
    <t>Cinta de prevención de 90 metros
30 cintas para todo el evento</t>
  </si>
  <si>
    <t>Un sistema profesional linearray aéreo de una marca reconocida a nivel mundial que garantice el total y óptimo cubrimiento en el escenario de la fiesta de reyes con 50.000 watts 1 consolas digitales de 32 ch mínimo + snake con 3 fan outs + sistema de monitoreo y seis (6) monitores en tarima. + Back Line + estructura para el colgado del sistema (sistema y consolas deben ser de una marca reconocida a nivel mundial, de primera categoría, y el sistema debe garantizar total cubrimiento a una distancia de 30 metros. DE 120 DB SPL</t>
  </si>
  <si>
    <t>Un sistema profesional linearray aéreo de una marca reconocida a nivel mundial que garantice el total y óptimo cubrimiento en el escenario de la fiesta de reyes con 15.000 watts 1 consolas digitales de 32 ch mínimo + snake con 3 fan outs + sistema de monitoreo y cuatro (4) monitores en tarima. + Back Line + estructura para el colgado del sistema (sistema y consolas deben ser de una marca reconocida a nivel mundial, de primera categoría, y el sistema debe garantizar total cubrimiento a una distancia de  30 metros.</t>
  </si>
  <si>
    <t>Alquiler de cuatro (4) plantas eléctricas de 75 KVA insonoras y móviles con capacidad de trabajo de mínimo 15 horas diarias que garanticen el correcto funcionamiento del evento.Nota: El Contratista deberá garantizar el transporte, Cableado, protectores de cables a piso, instalación, custodia, el Técnico Electricista que opere las plantas y garanticen la utilización de las mismas hacia los espacios a donde va dirigida la corriente durante los tres días de la celebración de la Fiesta de Reyes.</t>
  </si>
  <si>
    <t>MOBILIARIO CAMERINOS</t>
  </si>
  <si>
    <t>El cual debe incluir dos sofás de tres puestos por camerino, 2 puf de 1 puesto cada uno por camerino, una mesa auxiliar por camerino, un calentador de piso por camerino, un espejo de cuerpo entero por camerino y un perchero por camerino.</t>
  </si>
  <si>
    <t>Alquiler de carpas de 2 x 2 metros con Laterales e iluminación interna en el momento de la instalación 
Nota: El contratista deberá garantizar transporte, instalación, marcación con numeración  y desinstalación de las mismas y se incluyen 10 carpas para PMU y demas</t>
  </si>
  <si>
    <t>Bolsas con agua de 300 ml de una marca reconocida en el mercado</t>
  </si>
  <si>
    <t xml:space="preserve">Barricadas Nota: Se deja el valor unitario por barricada teniendo en cuenta la información suministrada en el estudio de mercado 
</t>
  </si>
  <si>
    <t xml:space="preserve">Kits  de  aproximación compuestos  mínimo por: Dos conos y una barricada los cuales se  ubicaran según la necesidad manifestada por la secretaria de movilidad.
 </t>
  </si>
  <si>
    <t xml:space="preserve">SILLAS PLASTICAS TIPO RIMAX, PARA LA ORGANIZACIÓN INTERNA DEL EVENTO COMO: Plan de Mando Unificado PMU: Carpas de organización
</t>
  </si>
  <si>
    <t>Logística diez (10) coordinadores, El operador asumirá los gastos viáticos del personal logístico.</t>
  </si>
  <si>
    <t xml:space="preserve">Logística ciento treinta (130) auxiliares logísticos, El operador asumirá los gastos viáticos del personal logístico con mínimo seis (6) megáfonos y 30 radio comunicadores   </t>
  </si>
  <si>
    <t xml:space="preserve">Logística ocho (8) auxiliares logísticos, nocturnos </t>
  </si>
  <si>
    <t>Un (1) Jefe de Emergencia</t>
  </si>
  <si>
    <t>16 
Item Aclaratorio</t>
  </si>
  <si>
    <t>21
Item Aclaratorio</t>
  </si>
  <si>
    <t>22
Item Aclaratorio</t>
  </si>
  <si>
    <t>mec</t>
  </si>
  <si>
    <t>servicio</t>
  </si>
  <si>
    <t>cantidad</t>
  </si>
  <si>
    <t>horas</t>
  </si>
  <si>
    <t>valor unidad</t>
  </si>
  <si>
    <t>valor total</t>
  </si>
  <si>
    <t>aux</t>
  </si>
  <si>
    <t>medica</t>
  </si>
  <si>
    <t>tam</t>
  </si>
  <si>
    <t>dias</t>
  </si>
  <si>
    <t>PEOPLE SEGURITY SAS</t>
  </si>
  <si>
    <t>PROMEDIO</t>
  </si>
  <si>
    <r>
      <rPr>
        <b/>
        <sz val="8"/>
        <color rgb="FF00B050"/>
        <rFont val="Times New Roman"/>
        <family val="1"/>
      </rPr>
      <t>El operador suministrara un total de dos (2) obras de teatro callejeros, las cuales se presentarán en dos (2) espacios de la localidad escogidos en el comité técnico.</t>
    </r>
    <r>
      <rPr>
        <sz val="8"/>
        <color rgb="FF00B050"/>
        <rFont val="Times New Roman"/>
        <family val="1"/>
      </rPr>
      <t xml:space="preserve">
</t>
    </r>
    <r>
      <rPr>
        <b/>
        <sz val="8"/>
        <color rgb="FFFF0000"/>
        <rFont val="Times New Roman"/>
        <family val="1"/>
      </rPr>
      <t>Nota:el valor de este ITEM incluye en los valores unitario y total los precios asociados a IVA</t>
    </r>
  </si>
  <si>
    <r>
      <t xml:space="preserve">Presentaciones artísticas PRESENTACIONES DE GRUPOS, ORGANIZACIONES O COLECTIVOS Y/O ARTISTAS LOCALES AFICIONADOS DE MÚSICA y DANZA que estén interesados en realizar muestras o intervenciones artísticas en la Fiesta de Reyes Magos y Epifanía.
</t>
    </r>
    <r>
      <rPr>
        <b/>
        <sz val="8"/>
        <color rgb="FFFF0000"/>
        <rFont val="Times New Roman"/>
        <family val="1"/>
      </rPr>
      <t>Nota:el valor de este ITEM incluye en los valores unitario y total los precios asociados a IVA</t>
    </r>
  </si>
  <si>
    <r>
      <t xml:space="preserve">Presentaciones Musical CON RECONOCIMIENTO EN EL ÁMBITO NACIONAL Y CON EXPERIENCIA MÍNIMA DE DOS AÑOS en escenarios Distritales Certificados.
</t>
    </r>
    <r>
      <rPr>
        <b/>
        <sz val="8"/>
        <color rgb="FFFF0000"/>
        <rFont val="Times New Roman"/>
        <family val="1"/>
      </rPr>
      <t>Nota:el valor de este ITEM incluye en los valores unitario y total los precios asociados a IVA</t>
    </r>
  </si>
  <si>
    <r>
      <t xml:space="preserve">Artistas y/o agrupaciones artísticas con reconocimiento en el ámbito nacional e internacional mediático y con experiencia mínima de cinco años en escenarios Nacionales y/o internacionales. Certificados. El operador debe ´presentar mínimo tres (3) hojas de vida de artistas y sus propuestas de los cuales la administración escogerá la mejor propuesta.
</t>
    </r>
    <r>
      <rPr>
        <b/>
        <sz val="8"/>
        <color rgb="FFFF0000"/>
        <rFont val="Times New Roman"/>
        <family val="1"/>
      </rPr>
      <t>Nota:el valor de este ITEM incluye en los valores unitario y total los precios asociados a IVA</t>
    </r>
  </si>
  <si>
    <r>
      <t xml:space="preserve">El Contratista deberá realizar el pago de los derechos de Autores y Compositores - SAYCO, para los días del evento de la siguiente forma. Un valor de 929.678 correspondiente al salario mínimo más IVA por cada quinientas personas  
</t>
    </r>
    <r>
      <rPr>
        <b/>
        <sz val="8"/>
        <color rgb="FFFF0000"/>
        <rFont val="Times New Roman"/>
        <family val="1"/>
      </rPr>
      <t xml:space="preserve">
Nota:el valor de este ITEM incluye en los valores unitario y total los precios asociados a IVA</t>
    </r>
  </si>
  <si>
    <t xml:space="preserve">Aforo histórico de evento primer día </t>
  </si>
  <si>
    <r>
      <t xml:space="preserve">Casos Excepcionales de música imprescindible sin cobro de entrada 
</t>
    </r>
    <r>
      <rPr>
        <b/>
        <sz val="8"/>
        <color rgb="FFFF0000"/>
        <rFont val="Times New Roman"/>
        <family val="1"/>
      </rPr>
      <t>Nota:el valor de este ITEM incluye en los valores unitario y total los precios asociados a IVA</t>
    </r>
  </si>
  <si>
    <r>
      <t xml:space="preserve">ACIMPRO El Contratista deberá  pagar los derechos por Intérpretes y Productores Fonográficos – ACINPRO, Pago de evento  sin cobrar entrada  
</t>
    </r>
    <r>
      <rPr>
        <b/>
        <sz val="8"/>
        <color rgb="FFFF0000"/>
        <rFont val="Times New Roman"/>
        <family val="1"/>
      </rPr>
      <t>Nota:el valor de este ITEM incluye en los valores unitario y total los precios asociados a IVA</t>
    </r>
  </si>
  <si>
    <r>
      <t xml:space="preserve">Los bonos a entregar deberán corresponder a un almacén de cadena reconocido en el mercado, y debe cumplir con todas las especificaciones legales para tal fin. Son tres bonos: 
Primer puesto. Bono de 120 mil pesos.
</t>
    </r>
    <r>
      <rPr>
        <b/>
        <sz val="8"/>
        <color rgb="FFFF0000"/>
        <rFont val="Times New Roman"/>
        <family val="1"/>
      </rPr>
      <t>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</si>
  <si>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t>Precio inmodificable</t>
  </si>
  <si>
    <t>BONOS PARA EL JUEGO TRADICIONAL DE TROMPO</t>
  </si>
  <si>
    <r>
      <t>Los bonos a entregar deberán corresponder a un almacén de cadena reconocido en el mercado, y debe cumplir con todas las especificaciones legales para tal fin. Son tres bonos: 
Primer puesto. Bono de 60 mil pesos.</t>
    </r>
    <r>
      <rPr>
        <b/>
        <sz val="8"/>
        <color rgb="FFFF0000"/>
        <rFont val="Times New Roman"/>
        <family val="1"/>
      </rPr>
      <t xml:space="preserve">
Nota:el valor de este ITEM incluye en los valores unitario y total los precios asociados a IVA
Precio inmodificable</t>
    </r>
  </si>
  <si>
    <r>
      <t xml:space="preserve">Segundo puesto. Bono de 40 mil pesos
</t>
    </r>
    <r>
      <rPr>
        <b/>
        <sz val="8"/>
        <color rgb="FFFF0000"/>
        <rFont val="Times New Roman"/>
        <family val="1"/>
      </rPr>
      <t>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</si>
  <si>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r>
      <t>Tercer puesto. Bono de 30 mil pesos</t>
    </r>
    <r>
      <rPr>
        <b/>
        <sz val="8"/>
        <color rgb="FFFF0000"/>
        <rFont val="Times New Roman"/>
        <family val="1"/>
      </rPr>
      <t xml:space="preserve">
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</si>
  <si>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t>BONOS PARA EL JUEGO TRADICIONAL DE MINI TEJO</t>
  </si>
  <si>
    <r>
      <t xml:space="preserve">Los bonos a entregar deberán corresponder a un almacén de cadena reconocido en el mercado, y debe cumplir con todas las especificaciones legales para tal fin. Son tres bonos: 
Primer puesto. Bono de 100 mil pesos.
</t>
    </r>
    <r>
      <rPr>
        <b/>
        <sz val="8"/>
        <color rgb="FFFF0000"/>
        <rFont val="Times New Roman"/>
        <family val="1"/>
      </rPr>
      <t>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</si>
  <si>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r>
      <t xml:space="preserve">Segundo puesto. Bono de 70mil pesos
</t>
    </r>
    <r>
      <rPr>
        <b/>
        <sz val="8"/>
        <color rgb="FFFF0000"/>
        <rFont val="Times New Roman"/>
        <family val="1"/>
      </rPr>
      <t>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</si>
  <si>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r>
      <t>Tercer puesto. Bono de 50 mil pesos</t>
    </r>
    <r>
      <rPr>
        <b/>
        <sz val="8"/>
        <color rgb="FFFF0000"/>
        <rFont val="Times New Roman"/>
        <family val="1"/>
      </rPr>
      <t xml:space="preserve">
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</si>
  <si>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t>BONOS PARA EL JUEGO TRADICIONAL DE LA RANA</t>
  </si>
  <si>
    <r>
      <t xml:space="preserve">Los bonos a entregar deberán corresponder a un almacén de cadena reconocido en el mercado, y debe cumplir con todas las especificaciones legales para tal fin. Son tres bonos: 
Primer puesto. Bono de 80 mil pesos.
</t>
    </r>
    <r>
      <rPr>
        <b/>
        <sz val="8"/>
        <color rgb="FFFF0000"/>
        <rFont val="Times New Roman"/>
        <family val="1"/>
      </rPr>
      <t>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</si>
  <si>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r>
      <t xml:space="preserve">Segundo puesto. Bono de 60 mil pesos
</t>
    </r>
    <r>
      <rPr>
        <b/>
        <sz val="8"/>
        <color rgb="FFFF0000"/>
        <rFont val="Times New Roman"/>
        <family val="1"/>
      </rPr>
      <t>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</si>
  <si>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r>
      <t xml:space="preserve">Tercer puesto. Bono de 40 mil pesos
</t>
    </r>
    <r>
      <rPr>
        <b/>
        <sz val="8"/>
        <color rgb="FFFF0000"/>
        <rFont val="Times New Roman"/>
        <family val="1"/>
      </rPr>
      <t>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</si>
  <si>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t>BONOS PARA EL CAMPEONATO RELÁMPAGO DE BANQUITAS FEMENINO</t>
  </si>
  <si>
    <r>
      <t xml:space="preserve">Segundo puesto. Bono de 100mil pesos
</t>
    </r>
    <r>
      <rPr>
        <b/>
        <sz val="8"/>
        <color rgb="FFFF0000"/>
        <rFont val="Times New Roman"/>
        <family val="1"/>
      </rPr>
      <t>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</si>
  <si>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r>
      <t xml:space="preserve">Tercer puesto. Bono de 70mil pesos
</t>
    </r>
    <r>
      <rPr>
        <b/>
        <sz val="8"/>
        <color rgb="FFFF0000"/>
        <rFont val="Times New Roman"/>
        <family val="1"/>
      </rPr>
      <t>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</si>
  <si>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t>BONOS PARA EL CAMPEONATO RELÁMPAGO DE BANQUITAS MASCULINO</t>
  </si>
  <si>
    <t xml:space="preserve">BONOS PARA EL JUEGO TRADICIONAL DE ENCOSTALADOS </t>
  </si>
  <si>
    <r>
      <t xml:space="preserve">Tercer puesto. Bono de 50mil pesos
</t>
    </r>
    <r>
      <rPr>
        <b/>
        <sz val="8"/>
        <color rgb="FFFF0000"/>
        <rFont val="Times New Roman"/>
        <family val="1"/>
      </rPr>
      <t>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</si>
  <si>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t xml:space="preserve">BONOS PARA LA CELEBRACION REYECITOS </t>
  </si>
  <si>
    <r>
      <t xml:space="preserve">Los bonos a entregar deberán corresponder a un almacén de cadena reconocido en el mercado, y debe cumplir con todas las especificaciones legales para tal fin. Son diez (10) bonos por un valor de 50.000 
</t>
    </r>
    <r>
      <rPr>
        <b/>
        <sz val="8"/>
        <color rgb="FFFF0000"/>
        <rFont val="Times New Roman"/>
        <family val="1"/>
      </rPr>
      <t>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</si>
  <si>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t>Polizas del evento</t>
  </si>
  <si>
    <r>
      <t xml:space="preserve">poliza de responsabiludad civil extracontractual para el desarrollo de evntos y actividades artisticas y culturales
</t>
    </r>
    <r>
      <rPr>
        <b/>
        <sz val="8"/>
        <color rgb="FFFF0000"/>
        <rFont val="Times New Roman"/>
        <family val="1"/>
      </rPr>
      <t>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</si>
  <si>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t>CIDOR CONSULTING ALLIANCE SAS</t>
  </si>
  <si>
    <t xml:space="preserve">VALOR PROMEDIO IVA INCLUIDO  </t>
  </si>
  <si>
    <t xml:space="preserve">Brigadas contra incendios, cada brigada debe estar compuesta por mínimo 2 personas de la Unidad Administrativa Especial Cuerpo Oficial de Bomberos en el evento un extintor por brigada, </t>
  </si>
  <si>
    <t>Duracion del evento</t>
  </si>
  <si>
    <t>Duracion del evento y un dia mas</t>
  </si>
  <si>
    <t>TOTAL COMPONENTE FIESTAS FDLC 2024</t>
  </si>
  <si>
    <t>Maestro Ceremonia</t>
  </si>
  <si>
    <r>
      <t xml:space="preserve">El operador suministrara un total de ocho (8) obras de teatro, las cuales se presentarán en las salas concertadas y en las instalaciones de los teatros independientes, las obras de teatro serán realizadas por artistas de la localidad.
POR PERTENECER A UN REGIMEN TRIBUTARIO ESPECIAL NO SE REALIZA RETENCION EN LA FUENTE SON ENTIDADES SIN ANIMO DE LUCRO (ARTICULO 14 DECRETO 4400 DE DICIEMBRE 2004
Nota:al valor de este ITEMs se le debe realizar los descuentos de ley. Luego de los descuentos el valor es Inmodificable
</t>
    </r>
    <r>
      <rPr>
        <b/>
        <sz val="8"/>
        <color rgb="FFFF0000"/>
        <rFont val="Times New Roman"/>
        <family val="1"/>
      </rPr>
      <t>Nota:el valor de este ITEM incluye en los valores unitario y total los precios asociados a IVA</t>
    </r>
  </si>
  <si>
    <t xml:space="preserve">Panel Luminoso Nota: Se deja el valor unitario por panel contemplado para la realización total del evento,  teniendo en cuenta la información suministrada en el estudio de mercado 
</t>
  </si>
  <si>
    <t xml:space="preserve">Delineador Tubular : Nota: Se deja el valor unitario por panel contemplado por la duracion del evento el cual tendrá 60 </t>
  </si>
  <si>
    <t xml:space="preserve">Brizas LED:  Se deja el valor por 20 unidades por la duracion del evento teniendo en cuenta la información suministrada en el estudio de mercado 
</t>
  </si>
  <si>
    <t xml:space="preserve">Paletas  Pare  y siga   Se deja el valor por 20 unidades por la duracion del evento  teniendo en cuenta la información suministrada en el estudio de mercado
</t>
  </si>
  <si>
    <t>Maletines :Se deja el valor por 40 maletines por el desarrollo del evento</t>
  </si>
  <si>
    <t xml:space="preserve">ESTUDIO DE MERCADO / PRESUPUESTO OFICIAL </t>
  </si>
  <si>
    <t>FUNDACION DEL CASTILLO DEL SABER FUNCAS</t>
  </si>
  <si>
    <t>* los valores marcados en amarillo, son valores que se evidenciaron fuera del mercado, por lo tanto no se tiene en cuenta para establecer el promedio.</t>
  </si>
  <si>
    <t>COORDINADOR DEL PROYECTO</t>
  </si>
  <si>
    <t xml:space="preserve">LOGÍSTICOS ASISTENCIALES PARA LA INSCRIPCION DURANTE TRES DIAS </t>
  </si>
  <si>
    <t>Profesional de  apoyo general para las fiestas de reyes</t>
  </si>
  <si>
    <t xml:space="preserve">Profesional en el NBC de ECONOMÍA, o en el NBC de ADMINISTRACIÓN
O en el NBC de CONTADURÍA o en el NBC de DISEÑO, con
mínimo dos (2) años de experiencia general. Contar con certificación de haber coordinado como mínimo dos (2) eventos culturales masivos, donde haya estado a cargo de la coordinación técnica, administrativa, y financiera de eventos.
</t>
  </si>
  <si>
    <t>Profesional en el área ECONOMÍA o ADMINISTRACIÓN  o CONTADURÍA
Experiencia en el manejo técnico de tarimas, luces y sonido de eventos de mínimo un (1) años; contar con certificación de  haber coordinado como mínimo 1 evento masivo</t>
  </si>
  <si>
    <t>Técnico tecnólogo contable y/o administración con un (1) año de experiencia en gestión de proyectos. 
Contar con experiencia especifica en gestión de proyectos de por lo menos 1 evento masivos.</t>
  </si>
  <si>
    <t>PLAZO</t>
  </si>
  <si>
    <t>DEDICACION</t>
  </si>
  <si>
    <t>VALOR TOTAL DE LOS SERVICIOS</t>
  </si>
  <si>
    <t xml:space="preserve">
Teniendo en cuenta que la dedicacion del profesional es del 60%, se toma el valor mensual de la tabla de honorarios de la SDG- RESOLUCIÓN No. 01 DE 2024 para el profesional II  (4.773.000) y se multiplica por el valor porcentual de dedicacion.</t>
  </si>
  <si>
    <t xml:space="preserve">
Teniendo en cuenta que la dedicacion del profesional es del 30%, se toma el valor mensual de la tabla de honorarios de la SDG- RESOLUCIÓN No. 01 DE 2024 para el profesional II  (5.468.000) y se multiplica por el valor porcentual de dedicacion.</t>
  </si>
  <si>
    <t xml:space="preserve">
Teniendo en cuenta que la dedicacion del profesional es del 100%, se toma el valor mensual de la tabla de honorarios de la SDG- RESOLUCIÓN No. 01 DE 2024 para el profesional II  (2.894.000) y se multiplica por el valor porcentual de dedicacion.</t>
  </si>
  <si>
    <t>TOTAL COMPONENTE ADMINISTRATIVO</t>
  </si>
  <si>
    <t>REFERENCIA DE VALOR</t>
  </si>
  <si>
    <t>CORPORACION ESCALANDO FUTURO</t>
  </si>
  <si>
    <t xml:space="preserve">ACTO SACRAMENTAL </t>
  </si>
  <si>
    <t>PAGO BOMBEROS</t>
  </si>
  <si>
    <t>Teniendo en cuenta la cantidad de personas dentro del evento, se debe realizar el pago a bomberos para que se encuentre presente en el evento de los reyes magos</t>
  </si>
  <si>
    <t>Se debe entregar un reconocimiento economico coordinado con el supervisor para resignificar el tradicional acto sacramental.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</si>
</sst>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0" x16r2:formatCode16="[$$-sn-Latn-ZW]#,##0"/>
    <numFmt numFmtId="165" formatCode="_-&quot;$&quot;\ * #,##0_-;\-&quot;$&quot;\ * #,##0_-;_-&quot;$&quot;\ * &quot;-&quot;??_-;_-@_-"/>
  </numFmts>
  <fonts count="35" x14ac:knownFonts="1">
    <font>
      <sz val="11"/>
      <color theme="1"/>
      <name val="Calibri"/>
      <family val="2"/>
      <scheme val="minor"/>
    </font>
    <font>
      <b/>
      <sz val="8"/>
      <color theme="1"/>
      <name val="Times New Roman"/>
      <family val="1"/>
    </font>
    <font>
      <sz val="8"/>
      <color theme="1"/>
      <name val="Times New Roman"/>
      <family val="1"/>
    </font>
    <font>
      <sz val="8"/>
      <color rgb="FFFF0000"/>
      <name val="Times New Roman"/>
      <family val="1"/>
    </font>
    <font>
      <sz val="8"/>
      <color rgb="FF000000"/>
      <name val="Times New Roman"/>
      <family val="1"/>
    </font>
    <font>
      <sz val="8"/>
      <name val="Times New Roman"/>
      <family val="1"/>
    </font>
    <font>
      <b/>
      <sz val="8"/>
      <name val="Times New Roman"/>
      <family val="1"/>
    </font>
    <font>
      <i/>
      <sz val="8"/>
      <name val="Times New Roman"/>
      <family val="1"/>
    </font>
    <font>
      <b/>
      <i/>
      <sz val="8"/>
      <name val="Times New Roman"/>
      <family val="1"/>
    </font>
    <font>
      <b/>
      <sz val="11"/>
      <color rgb="FF000000"/>
      <name val="Arial Narrow"/>
      <family val="2"/>
    </font>
    <font>
      <sz val="11"/>
      <name val="Arial Narrow"/>
      <family val="2"/>
    </font>
    <font>
      <sz val="11"/>
      <color theme="1"/>
      <name val="Arial Narrow"/>
      <family val="2"/>
    </font>
    <font>
      <b/>
      <sz val="11"/>
      <name val="Arial Narrow"/>
      <family val="2"/>
    </font>
    <font>
      <sz val="11"/>
      <color rgb="FF000000"/>
      <name val="Arial Narrow"/>
      <family val="2"/>
    </font>
    <font>
      <b/>
      <sz val="11"/>
      <color theme="1"/>
      <name val="Calibri"/>
      <family val="2"/>
      <scheme val="minor"/>
    </font>
    <font>
      <b/>
      <sz val="12"/>
      <color theme="1"/>
      <name val="Times New Roman"/>
      <family val="1"/>
    </font>
    <font>
      <b/>
      <sz val="8"/>
      <color rgb="FFFF0000"/>
      <name val="Times New Roman"/>
      <family val="1"/>
    </font>
    <font>
      <b/>
      <sz val="11"/>
      <color rgb="FFFF0000"/>
      <name val="Arial Narrow"/>
      <family val="2"/>
    </font>
    <font>
      <b/>
      <sz val="11"/>
      <color rgb="FFFF0000"/>
      <name val="Calibri"/>
      <family val="2"/>
      <scheme val="minor"/>
    </font>
    <font>
      <b/>
      <sz val="8"/>
      <color rgb="FF000000"/>
      <name val="Times New Roman"/>
      <family val="1"/>
    </font>
    <font>
      <b/>
      <sz val="10"/>
      <color rgb="FFFF0000"/>
      <name val="Times New Roman"/>
      <family val="1"/>
    </font>
    <font>
      <b/>
      <sz val="14"/>
      <color rgb="FFFF0000"/>
      <name val="Times New Roman"/>
      <family val="1"/>
    </font>
    <font>
      <sz val="11"/>
      <color theme="1"/>
      <name val="Calibri"/>
      <family val="2"/>
      <scheme val="minor"/>
    </font>
    <font>
      <b/>
      <sz val="11"/>
      <color theme="0"/>
      <name val="Calibri"/>
      <family val="2"/>
      <scheme val="minor"/>
    </font>
    <font>
      <u/>
      <sz val="11"/>
      <color theme="10"/>
      <name val="Calibri"/>
      <family val="2"/>
      <scheme val="minor"/>
    </font>
    <font>
      <b/>
      <sz val="11"/>
      <color rgb="FF00B050"/>
      <name val="Calibri"/>
      <family val="2"/>
      <scheme val="minor"/>
    </font>
    <font>
      <b/>
      <sz val="8"/>
      <color rgb="FF00B050"/>
      <name val="Times New Roman"/>
      <family val="1"/>
    </font>
    <font>
      <sz val="8"/>
      <color rgb="FF00B050"/>
      <name val="Times New Roman"/>
      <family val="1"/>
    </font>
    <font>
      <b/>
      <sz val="18"/>
      <color theme="1"/>
      <name val="Calibri"/>
      <family val="2"/>
      <scheme val="minor"/>
    </font>
    <font>
      <b/>
      <sz val="11"/>
      <color theme="1"/>
      <name val="Arial Narrow"/>
      <family val="2"/>
    </font>
    <font>
      <b/>
      <sz val="14"/>
      <color theme="0"/>
      <name val="Times New Roman"/>
      <family val="1"/>
    </font>
    <font>
      <b/>
      <sz val="10"/>
      <color rgb="FF000000"/>
      <name val="Calibri"/>
      <family val="2"/>
      <scheme val="minor"/>
    </font>
    <font>
      <b/>
      <sz val="10"/>
      <color theme="1"/>
      <name val="Calibri"/>
      <family val="2"/>
      <scheme val="minor"/>
    </font>
    <font>
      <sz val="10"/>
      <color theme="1"/>
      <name val="Calibri"/>
      <family val="2"/>
      <scheme val="minor"/>
    </font>
    <font>
      <b/>
      <sz val="12"/>
      <color theme="1"/>
      <name val="Arial"/>
      <family val="2"/>
    </font>
  </fonts>
  <fills count="17">
    <fill>
      <patternFill patternType="none"/>
    </fill>
    <fill>
      <patternFill patternType="gray125"/>
    </fill>
    <fill>
      <patternFill patternType="solid">
        <fgColor rgb="FFD9D9D9"/>
        <bgColor indexed="64"/>
      </patternFill>
    </fill>
    <fill>
      <patternFill patternType="solid">
        <fgColor theme="0"/>
        <bgColor indexed="64"/>
      </patternFill>
    </fill>
    <fill>
      <patternFill patternType="solid">
        <fgColor theme="6" tint="0.79998168889431442"/>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bgColor indexed="64"/>
      </patternFill>
    </fill>
    <fill>
      <patternFill patternType="solid">
        <fgColor theme="2" tint="-9.9978637043366805E-2"/>
        <bgColor indexed="64"/>
      </patternFill>
    </fill>
    <fill>
      <patternFill patternType="solid">
        <fgColor theme="6"/>
        <bgColor indexed="64"/>
      </patternFill>
    </fill>
    <fill>
      <patternFill patternType="solid">
        <fgColor theme="5" tint="0.59999389629810485"/>
        <bgColor indexed="64"/>
      </patternFill>
    </fill>
    <fill>
      <patternFill patternType="solid">
        <fgColor theme="1"/>
        <bgColor indexed="64"/>
      </patternFill>
    </fill>
    <fill>
      <patternFill patternType="solid">
        <fgColor rgb="FFFFFFFF"/>
        <bgColor rgb="FF000000"/>
      </patternFill>
    </fill>
    <fill>
      <patternFill patternType="solid">
        <fgColor theme="9" tint="0.79998168889431442"/>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4" tint="-0.249977111117893"/>
        <bgColor indexed="64"/>
      </patternFill>
    </fill>
  </fills>
  <borders count="46">
    <border>
      <left/>
      <right/>
      <top/>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
    <xf numFmtId="0" fontId="0" fillId="0" borderId="0"/>
    <xf numFmtId="42" fontId="22" fillId="0" borderId="0" applyFont="0" applyFill="0" applyBorder="0" applyAlignment="0" applyProtection="0"/>
    <xf numFmtId="0" fontId="24" fillId="0" borderId="0" applyNumberFormat="0" applyFill="0" applyBorder="0" applyAlignment="0" applyProtection="0"/>
    <xf numFmtId="44" fontId="22" fillId="0" borderId="0" applyFont="0" applyFill="0" applyBorder="0" applyAlignment="0" applyProtection="0"/>
  </cellStyleXfs>
  <cellXfs count="253">
    <xf numFmtId="0" fontId="0" fillId="0" borderId="0" xfId="0"/>
    <xf numFmtId="0" fontId="9" fillId="3" borderId="16"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17" xfId="0" applyFont="1" applyFill="1" applyBorder="1" applyAlignment="1">
      <alignment horizontal="center" vertical="center" wrapText="1"/>
    </xf>
    <xf numFmtId="42" fontId="12" fillId="3" borderId="8" xfId="0" applyNumberFormat="1" applyFont="1" applyFill="1" applyBorder="1" applyAlignment="1">
      <alignment vertical="center"/>
    </xf>
    <xf numFmtId="42" fontId="12" fillId="3" borderId="10" xfId="0" applyNumberFormat="1" applyFont="1" applyFill="1" applyBorder="1" applyAlignment="1">
      <alignment vertical="center"/>
    </xf>
    <xf numFmtId="0" fontId="9" fillId="3" borderId="8"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11" fillId="3" borderId="0" xfId="0" applyFont="1" applyFill="1" applyAlignment="1">
      <alignment horizontal="center" vertical="center"/>
    </xf>
    <xf numFmtId="42" fontId="12" fillId="3" borderId="0" xfId="0" applyNumberFormat="1" applyFont="1" applyFill="1" applyAlignment="1">
      <alignment vertical="center"/>
    </xf>
    <xf numFmtId="0" fontId="9" fillId="3" borderId="30" xfId="0" applyFont="1" applyFill="1" applyBorder="1" applyAlignment="1">
      <alignment horizontal="center" vertical="center" wrapText="1"/>
    </xf>
    <xf numFmtId="0" fontId="9" fillId="3" borderId="31" xfId="0" applyFont="1" applyFill="1" applyBorder="1" applyAlignment="1">
      <alignment horizontal="center" vertical="center" wrapText="1"/>
    </xf>
    <xf numFmtId="0" fontId="9" fillId="3" borderId="29" xfId="0" applyFont="1" applyFill="1" applyBorder="1" applyAlignment="1">
      <alignment horizontal="center" vertical="center" wrapText="1"/>
    </xf>
    <xf numFmtId="42" fontId="12" fillId="3" borderId="31" xfId="0" applyNumberFormat="1" applyFont="1" applyFill="1" applyBorder="1" applyAlignment="1">
      <alignment vertical="center"/>
    </xf>
    <xf numFmtId="0" fontId="9" fillId="3" borderId="33" xfId="0" applyFont="1" applyFill="1" applyBorder="1" applyAlignment="1">
      <alignment horizontal="center" vertical="center" wrapText="1"/>
    </xf>
    <xf numFmtId="0" fontId="9" fillId="3" borderId="25"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4" xfId="0" applyFont="1" applyFill="1" applyBorder="1" applyAlignment="1">
      <alignment horizontal="center" vertical="center" wrapText="1"/>
    </xf>
    <xf numFmtId="42" fontId="12" fillId="3" borderId="8" xfId="0" applyNumberFormat="1" applyFont="1" applyFill="1" applyBorder="1" applyAlignment="1">
      <alignment horizontal="center" vertical="center"/>
    </xf>
    <xf numFmtId="42" fontId="12" fillId="3" borderId="10" xfId="0" applyNumberFormat="1" applyFont="1" applyFill="1" applyBorder="1" applyAlignment="1">
      <alignment horizontal="center" vertical="center"/>
    </xf>
    <xf numFmtId="0" fontId="9" fillId="4" borderId="11"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14" fillId="0" borderId="15" xfId="0" applyFont="1" applyBorder="1" applyAlignment="1">
      <alignment horizontal="center" vertical="center"/>
    </xf>
    <xf numFmtId="0" fontId="1" fillId="3" borderId="13" xfId="0" applyFont="1" applyFill="1" applyBorder="1" applyAlignment="1">
      <alignment horizontal="center" vertical="center" wrapText="1"/>
    </xf>
    <xf numFmtId="0" fontId="1" fillId="6" borderId="34" xfId="0" applyFont="1" applyFill="1" applyBorder="1" applyAlignment="1">
      <alignment horizontal="center" vertical="center" wrapText="1"/>
    </xf>
    <xf numFmtId="0" fontId="1" fillId="6" borderId="13" xfId="0" applyFont="1" applyFill="1" applyBorder="1" applyAlignment="1">
      <alignment horizontal="center" vertical="center" wrapText="1"/>
    </xf>
    <xf numFmtId="0" fontId="16" fillId="0" borderId="13" xfId="0" applyFont="1" applyBorder="1" applyAlignment="1">
      <alignment horizontal="center" vertical="center" wrapText="1"/>
    </xf>
    <xf numFmtId="3" fontId="19" fillId="3" borderId="13" xfId="0" applyNumberFormat="1" applyFont="1" applyFill="1" applyBorder="1" applyAlignment="1">
      <alignment horizontal="center" vertical="center" wrapText="1"/>
    </xf>
    <xf numFmtId="0" fontId="19" fillId="3" borderId="13" xfId="0" applyFont="1" applyFill="1" applyBorder="1" applyAlignment="1">
      <alignment horizontal="center" vertical="center" wrapText="1"/>
    </xf>
    <xf numFmtId="3" fontId="19" fillId="6" borderId="13" xfId="0" applyNumberFormat="1" applyFont="1" applyFill="1" applyBorder="1" applyAlignment="1">
      <alignment horizontal="center" vertical="center" wrapText="1"/>
    </xf>
    <xf numFmtId="0" fontId="14" fillId="0" borderId="20" xfId="0" applyFont="1" applyBorder="1" applyAlignment="1">
      <alignment horizontal="center" vertical="center"/>
    </xf>
    <xf numFmtId="0" fontId="19" fillId="6" borderId="21" xfId="0" applyFont="1" applyFill="1" applyBorder="1" applyAlignment="1">
      <alignment horizontal="center" vertical="center" wrapText="1"/>
    </xf>
    <xf numFmtId="0" fontId="19" fillId="3" borderId="21" xfId="0" applyFont="1" applyFill="1" applyBorder="1" applyAlignment="1">
      <alignment horizontal="center" vertical="center" wrapText="1"/>
    </xf>
    <xf numFmtId="0" fontId="1" fillId="0" borderId="13" xfId="0" applyFont="1" applyBorder="1" applyAlignment="1">
      <alignment horizontal="center" vertical="center" wrapText="1"/>
    </xf>
    <xf numFmtId="0" fontId="19" fillId="0" borderId="13" xfId="0" applyFont="1" applyBorder="1" applyAlignment="1">
      <alignment horizontal="center" vertical="center" wrapText="1"/>
    </xf>
    <xf numFmtId="0" fontId="16" fillId="0" borderId="14" xfId="0" applyFont="1" applyBorder="1" applyAlignment="1">
      <alignment horizontal="center" vertical="center" wrapText="1"/>
    </xf>
    <xf numFmtId="0" fontId="1" fillId="3" borderId="14"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44" fontId="9" fillId="8" borderId="37" xfId="0" applyNumberFormat="1" applyFont="1" applyFill="1" applyBorder="1" applyAlignment="1">
      <alignment horizontal="center" vertical="center" wrapText="1"/>
    </xf>
    <xf numFmtId="44" fontId="9" fillId="8" borderId="38" xfId="0" applyNumberFormat="1" applyFont="1" applyFill="1" applyBorder="1" applyAlignment="1">
      <alignment horizontal="center" vertical="center" wrapText="1"/>
    </xf>
    <xf numFmtId="0" fontId="14" fillId="0" borderId="16" xfId="0" applyFont="1" applyBorder="1" applyAlignment="1">
      <alignment horizontal="center" vertical="center"/>
    </xf>
    <xf numFmtId="0" fontId="1" fillId="6" borderId="14" xfId="0" applyFont="1" applyFill="1" applyBorder="1" applyAlignment="1">
      <alignment horizontal="center" vertical="center" wrapText="1"/>
    </xf>
    <xf numFmtId="44" fontId="9" fillId="8" borderId="17" xfId="0" applyNumberFormat="1" applyFont="1" applyFill="1" applyBorder="1" applyAlignment="1">
      <alignment horizontal="center" vertical="center" wrapText="1"/>
    </xf>
    <xf numFmtId="0" fontId="18" fillId="7" borderId="15" xfId="0" applyFont="1" applyFill="1" applyBorder="1" applyAlignment="1">
      <alignment horizontal="center" vertical="center" wrapText="1"/>
    </xf>
    <xf numFmtId="44" fontId="17" fillId="8" borderId="38" xfId="0" applyNumberFormat="1" applyFont="1" applyFill="1" applyBorder="1" applyAlignment="1">
      <alignment horizontal="center" vertical="center" wrapText="1"/>
    </xf>
    <xf numFmtId="0" fontId="2" fillId="3" borderId="13" xfId="0" applyFont="1" applyFill="1" applyBorder="1" applyAlignment="1">
      <alignment vertical="center" wrapText="1"/>
    </xf>
    <xf numFmtId="44" fontId="9" fillId="0" borderId="13" xfId="0" applyNumberFormat="1" applyFont="1" applyBorder="1" applyAlignment="1">
      <alignment vertical="center" wrapText="1"/>
    </xf>
    <xf numFmtId="0" fontId="2" fillId="3" borderId="14" xfId="0" applyFont="1" applyFill="1" applyBorder="1" applyAlignment="1">
      <alignment vertical="center" wrapText="1"/>
    </xf>
    <xf numFmtId="44" fontId="9" fillId="0" borderId="14" xfId="0" applyNumberFormat="1" applyFont="1" applyBorder="1" applyAlignment="1">
      <alignment vertical="center" wrapText="1"/>
    </xf>
    <xf numFmtId="0" fontId="0" fillId="0" borderId="0" xfId="0" applyAlignment="1">
      <alignment horizontal="center" vertical="center"/>
    </xf>
    <xf numFmtId="44" fontId="9" fillId="0" borderId="21" xfId="0" applyNumberFormat="1" applyFont="1" applyBorder="1" applyAlignment="1">
      <alignment horizontal="center" vertical="center" wrapText="1"/>
    </xf>
    <xf numFmtId="44" fontId="9" fillId="0" borderId="21" xfId="0" applyNumberFormat="1" applyFont="1" applyBorder="1" applyAlignment="1">
      <alignment vertical="center" wrapText="1"/>
    </xf>
    <xf numFmtId="0" fontId="18" fillId="7" borderId="20" xfId="0" applyFont="1" applyFill="1" applyBorder="1" applyAlignment="1">
      <alignment horizontal="center" vertical="center" wrapText="1"/>
    </xf>
    <xf numFmtId="0" fontId="14" fillId="0" borderId="0" xfId="0" applyFont="1" applyAlignment="1">
      <alignment horizontal="center" vertical="center"/>
    </xf>
    <xf numFmtId="0" fontId="1" fillId="3" borderId="19"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2" fillId="10" borderId="34" xfId="0" applyFont="1" applyFill="1" applyBorder="1" applyAlignment="1">
      <alignment vertical="center" wrapText="1"/>
    </xf>
    <xf numFmtId="0" fontId="2" fillId="10" borderId="13" xfId="0" applyFont="1" applyFill="1" applyBorder="1" applyAlignment="1">
      <alignment vertical="center" wrapText="1"/>
    </xf>
    <xf numFmtId="0" fontId="5" fillId="10" borderId="13" xfId="0" applyFont="1" applyFill="1" applyBorder="1" applyAlignment="1">
      <alignment vertical="center" wrapText="1"/>
    </xf>
    <xf numFmtId="0" fontId="5" fillId="10" borderId="21" xfId="0" applyFont="1" applyFill="1" applyBorder="1" applyAlignment="1">
      <alignment vertical="center" wrapText="1"/>
    </xf>
    <xf numFmtId="0" fontId="2" fillId="10" borderId="21" xfId="0" applyFont="1" applyFill="1" applyBorder="1" applyAlignment="1">
      <alignment horizontal="center" vertical="center" wrapText="1"/>
    </xf>
    <xf numFmtId="0" fontId="1" fillId="10" borderId="21" xfId="0" applyFont="1" applyFill="1" applyBorder="1" applyAlignment="1">
      <alignment horizontal="center" vertical="center" wrapText="1"/>
    </xf>
    <xf numFmtId="3" fontId="6" fillId="6" borderId="21" xfId="0" applyNumberFormat="1" applyFont="1" applyFill="1" applyBorder="1" applyAlignment="1">
      <alignment horizontal="center" vertical="center" wrapText="1"/>
    </xf>
    <xf numFmtId="3" fontId="6" fillId="6" borderId="13" xfId="0" applyNumberFormat="1" applyFont="1" applyFill="1" applyBorder="1" applyAlignment="1">
      <alignment horizontal="center" vertical="center" wrapText="1"/>
    </xf>
    <xf numFmtId="0" fontId="2" fillId="10" borderId="14" xfId="0" applyFont="1" applyFill="1" applyBorder="1" applyAlignment="1">
      <alignment vertical="center" wrapText="1"/>
    </xf>
    <xf numFmtId="0" fontId="19" fillId="6" borderId="14" xfId="0" applyFont="1" applyFill="1" applyBorder="1" applyAlignment="1">
      <alignment horizontal="center" vertical="center" wrapText="1"/>
    </xf>
    <xf numFmtId="0" fontId="19" fillId="3" borderId="14" xfId="0" applyFont="1" applyFill="1" applyBorder="1" applyAlignment="1">
      <alignment horizontal="center" vertical="center" wrapText="1"/>
    </xf>
    <xf numFmtId="44" fontId="9" fillId="8" borderId="17" xfId="0" applyNumberFormat="1" applyFont="1" applyFill="1" applyBorder="1" applyAlignment="1">
      <alignment vertical="center" wrapText="1"/>
    </xf>
    <xf numFmtId="0" fontId="23" fillId="11" borderId="0" xfId="0" applyFont="1" applyFill="1"/>
    <xf numFmtId="42" fontId="23" fillId="11" borderId="0" xfId="1" applyFont="1" applyFill="1"/>
    <xf numFmtId="42" fontId="0" fillId="0" borderId="0" xfId="1" applyFont="1"/>
    <xf numFmtId="44" fontId="9" fillId="5" borderId="13" xfId="0" applyNumberFormat="1" applyFont="1" applyFill="1" applyBorder="1" applyAlignment="1">
      <alignment vertical="center" wrapText="1"/>
    </xf>
    <xf numFmtId="0" fontId="19" fillId="12" borderId="21" xfId="0" applyFont="1" applyFill="1" applyBorder="1" applyAlignment="1">
      <alignment horizontal="center" vertical="center" wrapText="1"/>
    </xf>
    <xf numFmtId="0" fontId="15" fillId="2" borderId="8" xfId="0" applyFont="1" applyFill="1" applyBorder="1" applyAlignment="1">
      <alignment horizontal="center" vertical="center"/>
    </xf>
    <xf numFmtId="0" fontId="15" fillId="2" borderId="9" xfId="0" applyFont="1" applyFill="1" applyBorder="1" applyAlignment="1">
      <alignment horizontal="center" vertical="center"/>
    </xf>
    <xf numFmtId="0" fontId="15" fillId="2" borderId="10" xfId="0" applyFont="1" applyFill="1" applyBorder="1" applyAlignment="1">
      <alignment horizontal="center" vertical="center"/>
    </xf>
    <xf numFmtId="0" fontId="25" fillId="13" borderId="15" xfId="0" applyFont="1" applyFill="1" applyBorder="1" applyAlignment="1">
      <alignment horizontal="center" vertical="center"/>
    </xf>
    <xf numFmtId="0" fontId="26" fillId="13" borderId="13" xfId="0" applyFont="1" applyFill="1" applyBorder="1" applyAlignment="1">
      <alignment horizontal="center" vertical="center" wrapText="1"/>
    </xf>
    <xf numFmtId="0" fontId="27" fillId="13" borderId="13" xfId="0" applyFont="1" applyFill="1" applyBorder="1" applyAlignment="1">
      <alignment vertical="center" wrapText="1"/>
    </xf>
    <xf numFmtId="0" fontId="1" fillId="13" borderId="13" xfId="0" applyFont="1" applyFill="1" applyBorder="1" applyAlignment="1">
      <alignment horizontal="center" vertical="center" wrapText="1"/>
    </xf>
    <xf numFmtId="0" fontId="16" fillId="13" borderId="13" xfId="0" applyFont="1" applyFill="1" applyBorder="1" applyAlignment="1">
      <alignment horizontal="center" vertical="center" wrapText="1"/>
    </xf>
    <xf numFmtId="0" fontId="26" fillId="13" borderId="13" xfId="0" applyFont="1" applyFill="1" applyBorder="1" applyAlignment="1">
      <alignment vertical="center" wrapText="1"/>
    </xf>
    <xf numFmtId="0" fontId="15" fillId="9" borderId="6" xfId="0" applyFont="1" applyFill="1" applyBorder="1" applyAlignment="1">
      <alignment horizontal="center" vertical="center"/>
    </xf>
    <xf numFmtId="0" fontId="26" fillId="13" borderId="13" xfId="0" applyFont="1" applyFill="1" applyBorder="1" applyAlignment="1">
      <alignment horizontal="left" vertical="center" wrapText="1"/>
    </xf>
    <xf numFmtId="3" fontId="19" fillId="13" borderId="13" xfId="0" applyNumberFormat="1" applyFont="1" applyFill="1" applyBorder="1" applyAlignment="1">
      <alignment horizontal="center" vertical="center" wrapText="1"/>
    </xf>
    <xf numFmtId="0" fontId="19" fillId="13" borderId="13" xfId="0" applyFont="1" applyFill="1" applyBorder="1" applyAlignment="1">
      <alignment horizontal="center" vertical="center" wrapText="1"/>
    </xf>
    <xf numFmtId="44" fontId="17" fillId="13" borderId="38" xfId="0" applyNumberFormat="1" applyFont="1" applyFill="1" applyBorder="1" applyAlignment="1">
      <alignment vertical="center" wrapText="1"/>
    </xf>
    <xf numFmtId="0" fontId="15" fillId="14" borderId="9" xfId="0" applyFont="1" applyFill="1" applyBorder="1" applyAlignment="1">
      <alignment horizontal="center" vertical="center" wrapText="1"/>
    </xf>
    <xf numFmtId="0" fontId="15" fillId="5" borderId="9" xfId="0" applyFont="1" applyFill="1" applyBorder="1" applyAlignment="1">
      <alignment horizontal="center" vertical="center" wrapText="1"/>
    </xf>
    <xf numFmtId="0" fontId="15" fillId="15" borderId="9" xfId="0" applyFont="1" applyFill="1" applyBorder="1" applyAlignment="1">
      <alignment horizontal="center" vertical="center" wrapText="1"/>
    </xf>
    <xf numFmtId="0" fontId="15" fillId="2" borderId="10" xfId="0" applyFont="1" applyFill="1" applyBorder="1" applyAlignment="1">
      <alignment horizontal="center" vertical="center" wrapText="1"/>
    </xf>
    <xf numFmtId="44" fontId="9" fillId="3" borderId="17" xfId="0" applyNumberFormat="1" applyFont="1" applyFill="1" applyBorder="1" applyAlignment="1">
      <alignment horizontal="center" vertical="center" wrapText="1"/>
    </xf>
    <xf numFmtId="44" fontId="19" fillId="3" borderId="13" xfId="3" applyFont="1" applyFill="1" applyBorder="1" applyAlignment="1">
      <alignment horizontal="center" vertical="center" wrapText="1"/>
    </xf>
    <xf numFmtId="44" fontId="19" fillId="3" borderId="21" xfId="3" applyFont="1" applyFill="1" applyBorder="1" applyAlignment="1">
      <alignment horizontal="center" vertical="center" wrapText="1"/>
    </xf>
    <xf numFmtId="44" fontId="6" fillId="3" borderId="13" xfId="3" applyFont="1" applyFill="1" applyBorder="1" applyAlignment="1">
      <alignment horizontal="center" vertical="center" wrapText="1"/>
    </xf>
    <xf numFmtId="44" fontId="19" fillId="3" borderId="14" xfId="3" applyFont="1" applyFill="1" applyBorder="1" applyAlignment="1">
      <alignment horizontal="center" vertical="center" wrapText="1"/>
    </xf>
    <xf numFmtId="44" fontId="19" fillId="0" borderId="13" xfId="3" applyFont="1" applyBorder="1" applyAlignment="1">
      <alignment horizontal="center" vertical="center" wrapText="1"/>
    </xf>
    <xf numFmtId="44" fontId="19" fillId="5" borderId="14" xfId="3" applyFont="1" applyFill="1" applyBorder="1" applyAlignment="1">
      <alignment horizontal="center" vertical="center" wrapText="1"/>
    </xf>
    <xf numFmtId="44" fontId="19" fillId="5" borderId="13" xfId="3" applyFont="1" applyFill="1" applyBorder="1" applyAlignment="1">
      <alignment horizontal="center" vertical="center" wrapText="1"/>
    </xf>
    <xf numFmtId="44" fontId="0" fillId="0" borderId="0" xfId="0" applyNumberFormat="1"/>
    <xf numFmtId="44" fontId="9" fillId="3" borderId="13" xfId="0" applyNumberFormat="1" applyFont="1" applyFill="1" applyBorder="1" applyAlignment="1">
      <alignment vertical="center" wrapText="1"/>
    </xf>
    <xf numFmtId="44" fontId="29" fillId="3" borderId="14" xfId="3" applyFont="1" applyFill="1" applyBorder="1" applyAlignment="1">
      <alignment horizontal="center" vertical="center" wrapText="1"/>
    </xf>
    <xf numFmtId="44" fontId="29" fillId="3" borderId="13" xfId="3" applyFont="1" applyFill="1" applyBorder="1" applyAlignment="1">
      <alignment horizontal="center" vertical="center" wrapText="1"/>
    </xf>
    <xf numFmtId="0" fontId="0" fillId="5" borderId="0" xfId="0" applyFill="1"/>
    <xf numFmtId="0" fontId="31" fillId="4" borderId="13" xfId="0" applyFont="1" applyFill="1" applyBorder="1" applyAlignment="1">
      <alignment horizontal="center" vertical="center" wrapText="1"/>
    </xf>
    <xf numFmtId="165" fontId="31" fillId="4" borderId="13" xfId="3" applyNumberFormat="1" applyFont="1" applyFill="1" applyBorder="1" applyAlignment="1">
      <alignment horizontal="center" vertical="center" wrapText="1"/>
    </xf>
    <xf numFmtId="0" fontId="32" fillId="0" borderId="13" xfId="0" applyFont="1" applyBorder="1" applyAlignment="1">
      <alignment horizontal="center" vertical="center" wrapText="1"/>
    </xf>
    <xf numFmtId="0" fontId="32" fillId="3" borderId="13" xfId="0" applyFont="1" applyFill="1" applyBorder="1" applyAlignment="1">
      <alignment horizontal="center" vertical="center" wrapText="1"/>
    </xf>
    <xf numFmtId="0" fontId="32" fillId="6" borderId="13" xfId="0" applyFont="1" applyFill="1" applyBorder="1" applyAlignment="1">
      <alignment horizontal="center" vertical="center" wrapText="1"/>
    </xf>
    <xf numFmtId="165" fontId="31" fillId="8" borderId="13" xfId="3" applyNumberFormat="1" applyFont="1" applyFill="1" applyBorder="1" applyAlignment="1">
      <alignment horizontal="center" vertical="center" wrapText="1"/>
    </xf>
    <xf numFmtId="0" fontId="33" fillId="3" borderId="13" xfId="0" applyFont="1" applyFill="1" applyBorder="1" applyAlignment="1">
      <alignment horizontal="left" vertical="center" wrapText="1"/>
    </xf>
    <xf numFmtId="0" fontId="34" fillId="0" borderId="0" xfId="0" applyFont="1" applyAlignment="1">
      <alignment wrapText="1"/>
    </xf>
    <xf numFmtId="0" fontId="33" fillId="0" borderId="41" xfId="3" applyNumberFormat="1" applyFont="1" applyBorder="1" applyAlignment="1">
      <alignment horizontal="center" vertical="center" wrapText="1"/>
    </xf>
    <xf numFmtId="9" fontId="33" fillId="0" borderId="41" xfId="3" applyNumberFormat="1" applyFont="1" applyBorder="1" applyAlignment="1">
      <alignment horizontal="center" vertical="center" wrapText="1"/>
    </xf>
    <xf numFmtId="165" fontId="31" fillId="8" borderId="28" xfId="3" applyNumberFormat="1" applyFont="1" applyFill="1" applyBorder="1" applyAlignment="1">
      <alignment horizontal="center" vertical="center" wrapText="1"/>
    </xf>
    <xf numFmtId="0" fontId="15" fillId="5" borderId="30" xfId="0" applyFont="1" applyFill="1" applyBorder="1" applyAlignment="1">
      <alignment horizontal="center" vertical="center" wrapText="1"/>
    </xf>
    <xf numFmtId="44" fontId="9" fillId="0" borderId="27" xfId="0" applyNumberFormat="1" applyFont="1" applyBorder="1" applyAlignment="1">
      <alignment vertical="center" wrapText="1"/>
    </xf>
    <xf numFmtId="44" fontId="9" fillId="0" borderId="28" xfId="0" applyNumberFormat="1" applyFont="1" applyBorder="1" applyAlignment="1">
      <alignment horizontal="center" vertical="center" wrapText="1"/>
    </xf>
    <xf numFmtId="44" fontId="9" fillId="0" borderId="28" xfId="0" applyNumberFormat="1" applyFont="1" applyBorder="1" applyAlignment="1">
      <alignment vertical="center" wrapText="1"/>
    </xf>
    <xf numFmtId="44" fontId="9" fillId="3" borderId="27" xfId="0" applyNumberFormat="1" applyFont="1" applyFill="1" applyBorder="1" applyAlignment="1">
      <alignment vertical="center" wrapText="1"/>
    </xf>
    <xf numFmtId="44" fontId="9" fillId="5" borderId="27" xfId="0" applyNumberFormat="1" applyFont="1" applyFill="1" applyBorder="1" applyAlignment="1">
      <alignment vertical="center" wrapText="1"/>
    </xf>
    <xf numFmtId="0" fontId="14" fillId="3" borderId="15" xfId="0" applyFont="1" applyFill="1" applyBorder="1" applyAlignment="1">
      <alignment horizontal="center" vertical="center"/>
    </xf>
    <xf numFmtId="0" fontId="18" fillId="3" borderId="15" xfId="0" applyFont="1" applyFill="1" applyBorder="1" applyAlignment="1">
      <alignment horizontal="center" vertical="center"/>
    </xf>
    <xf numFmtId="0" fontId="14" fillId="3" borderId="20" xfId="0" applyFont="1" applyFill="1" applyBorder="1" applyAlignment="1">
      <alignment horizontal="center" vertical="center"/>
    </xf>
    <xf numFmtId="44" fontId="17" fillId="13" borderId="13" xfId="0" applyNumberFormat="1" applyFont="1" applyFill="1" applyBorder="1" applyAlignment="1">
      <alignment horizontal="center" vertical="center" wrapText="1"/>
    </xf>
    <xf numFmtId="0" fontId="26" fillId="13" borderId="21" xfId="0" applyFont="1" applyFill="1" applyBorder="1" applyAlignment="1">
      <alignment horizontal="center" vertical="center" wrapText="1"/>
    </xf>
    <xf numFmtId="0" fontId="26" fillId="13" borderId="19" xfId="0" applyFont="1" applyFill="1" applyBorder="1" applyAlignment="1">
      <alignment horizontal="center" vertical="center" wrapText="1"/>
    </xf>
    <xf numFmtId="0" fontId="26" fillId="13" borderId="14" xfId="0" applyFont="1" applyFill="1" applyBorder="1" applyAlignment="1">
      <alignment horizontal="center" vertical="center" wrapText="1"/>
    </xf>
    <xf numFmtId="0" fontId="1" fillId="0" borderId="3" xfId="0" applyFont="1" applyBorder="1" applyAlignment="1">
      <alignment horizontal="center" vertical="center" wrapText="1"/>
    </xf>
    <xf numFmtId="0" fontId="20" fillId="7" borderId="28" xfId="0" applyFont="1" applyFill="1" applyBorder="1" applyAlignment="1">
      <alignment horizontal="center" vertical="center" wrapText="1"/>
    </xf>
    <xf numFmtId="0" fontId="20" fillId="7" borderId="0" xfId="0" applyFont="1" applyFill="1" applyAlignment="1">
      <alignment horizontal="center" vertical="center" wrapText="1"/>
    </xf>
    <xf numFmtId="0" fontId="20" fillId="7" borderId="43" xfId="0" applyFont="1" applyFill="1" applyBorder="1" applyAlignment="1">
      <alignment horizontal="center" vertical="center" wrapText="1"/>
    </xf>
    <xf numFmtId="0" fontId="24" fillId="0" borderId="0" xfId="2" applyAlignment="1">
      <alignment horizontal="center"/>
    </xf>
    <xf numFmtId="0" fontId="0" fillId="0" borderId="0" xfId="0" applyAlignment="1">
      <alignment horizontal="center"/>
    </xf>
    <xf numFmtId="0" fontId="26" fillId="13" borderId="21" xfId="0" applyFont="1" applyFill="1" applyBorder="1" applyAlignment="1">
      <alignment horizontal="left" vertical="center" wrapText="1"/>
    </xf>
    <xf numFmtId="0" fontId="26" fillId="13" borderId="19" xfId="0" applyFont="1" applyFill="1" applyBorder="1" applyAlignment="1">
      <alignment horizontal="left" vertical="center" wrapText="1"/>
    </xf>
    <xf numFmtId="0" fontId="26" fillId="13" borderId="14" xfId="0" applyFont="1" applyFill="1" applyBorder="1" applyAlignment="1">
      <alignment horizontal="left" vertical="center" wrapText="1"/>
    </xf>
    <xf numFmtId="0" fontId="28" fillId="14" borderId="2" xfId="0" applyFont="1" applyFill="1" applyBorder="1" applyAlignment="1">
      <alignment horizontal="center" vertical="center"/>
    </xf>
    <xf numFmtId="0" fontId="28" fillId="14" borderId="3" xfId="0" applyFont="1" applyFill="1" applyBorder="1" applyAlignment="1">
      <alignment horizontal="center" vertical="center"/>
    </xf>
    <xf numFmtId="0" fontId="28" fillId="14" borderId="5" xfId="0" applyFont="1" applyFill="1" applyBorder="1" applyAlignment="1">
      <alignment horizontal="center" vertical="center"/>
    </xf>
    <xf numFmtId="165" fontId="30" fillId="16" borderId="2" xfId="0" applyNumberFormat="1" applyFont="1" applyFill="1" applyBorder="1" applyAlignment="1">
      <alignment horizontal="center" vertical="center"/>
    </xf>
    <xf numFmtId="165" fontId="30" fillId="16" borderId="3" xfId="0" applyNumberFormat="1" applyFont="1" applyFill="1" applyBorder="1" applyAlignment="1">
      <alignment horizontal="center" vertical="center"/>
    </xf>
    <xf numFmtId="0" fontId="30" fillId="16" borderId="36" xfId="0" applyFont="1" applyFill="1" applyBorder="1" applyAlignment="1">
      <alignment horizontal="center" vertical="center"/>
    </xf>
    <xf numFmtId="0" fontId="30" fillId="16" borderId="39" xfId="0" applyFont="1" applyFill="1" applyBorder="1" applyAlignment="1">
      <alignment horizontal="center" vertical="center"/>
    </xf>
    <xf numFmtId="0" fontId="30" fillId="16" borderId="6" xfId="0" applyFont="1" applyFill="1" applyBorder="1" applyAlignment="1">
      <alignment horizontal="center" vertical="center"/>
    </xf>
    <xf numFmtId="0" fontId="30" fillId="16" borderId="40" xfId="0" applyFont="1" applyFill="1" applyBorder="1" applyAlignment="1">
      <alignment horizontal="center" vertical="center"/>
    </xf>
    <xf numFmtId="0" fontId="1" fillId="3" borderId="21"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1" fillId="3" borderId="19" xfId="0" applyFont="1" applyFill="1" applyBorder="1" applyAlignment="1">
      <alignment horizontal="center" vertical="center" wrapText="1"/>
    </xf>
    <xf numFmtId="165" fontId="21" fillId="6" borderId="39" xfId="0" applyNumberFormat="1" applyFont="1" applyFill="1" applyBorder="1" applyAlignment="1">
      <alignment horizontal="center" vertical="center"/>
    </xf>
    <xf numFmtId="165" fontId="21" fillId="6" borderId="6" xfId="0" applyNumberFormat="1" applyFont="1" applyFill="1" applyBorder="1" applyAlignment="1">
      <alignment horizontal="center" vertical="center"/>
    </xf>
    <xf numFmtId="165" fontId="21" fillId="6" borderId="5" xfId="0" applyNumberFormat="1" applyFont="1" applyFill="1" applyBorder="1" applyAlignment="1">
      <alignment horizontal="center" vertical="center"/>
    </xf>
    <xf numFmtId="0" fontId="15" fillId="2" borderId="4"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5" xfId="0" applyFont="1" applyFill="1" applyBorder="1" applyAlignment="1">
      <alignment horizontal="center" vertical="center"/>
    </xf>
    <xf numFmtId="0" fontId="15" fillId="2" borderId="8" xfId="0" applyFont="1" applyFill="1" applyBorder="1" applyAlignment="1">
      <alignment horizontal="center" vertical="center"/>
    </xf>
    <xf numFmtId="0" fontId="15" fillId="2" borderId="9" xfId="0" applyFont="1" applyFill="1" applyBorder="1" applyAlignment="1">
      <alignment horizontal="center" vertical="center"/>
    </xf>
    <xf numFmtId="0" fontId="15" fillId="2" borderId="30" xfId="0" applyFont="1" applyFill="1" applyBorder="1" applyAlignment="1">
      <alignment horizontal="center" vertical="center"/>
    </xf>
    <xf numFmtId="0" fontId="15" fillId="2" borderId="10" xfId="0" applyFont="1" applyFill="1" applyBorder="1" applyAlignment="1">
      <alignment horizontal="center" vertical="center"/>
    </xf>
    <xf numFmtId="0" fontId="15" fillId="9" borderId="1" xfId="0" applyFont="1" applyFill="1" applyBorder="1" applyAlignment="1">
      <alignment horizontal="center" vertical="center"/>
    </xf>
    <xf numFmtId="0" fontId="20" fillId="7" borderId="13" xfId="0" applyFont="1" applyFill="1" applyBorder="1" applyAlignment="1">
      <alignment horizontal="center" vertical="center" wrapText="1"/>
    </xf>
    <xf numFmtId="3" fontId="6" fillId="3" borderId="21" xfId="0" applyNumberFormat="1" applyFont="1" applyFill="1" applyBorder="1" applyAlignment="1">
      <alignment horizontal="center" vertical="center" wrapText="1"/>
    </xf>
    <xf numFmtId="3" fontId="6" fillId="3" borderId="19" xfId="0" applyNumberFormat="1" applyFont="1" applyFill="1" applyBorder="1" applyAlignment="1">
      <alignment horizontal="center" vertical="center" wrapText="1"/>
    </xf>
    <xf numFmtId="3" fontId="6" fillId="3" borderId="14" xfId="0" applyNumberFormat="1" applyFont="1" applyFill="1" applyBorder="1" applyAlignment="1">
      <alignment horizontal="center" vertical="center" wrapText="1"/>
    </xf>
    <xf numFmtId="0" fontId="6" fillId="3" borderId="21"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6" fillId="3" borderId="14" xfId="0" applyFont="1" applyFill="1" applyBorder="1" applyAlignment="1">
      <alignment horizontal="center" vertical="center" wrapText="1"/>
    </xf>
    <xf numFmtId="44" fontId="17" fillId="13" borderId="41" xfId="0" applyNumberFormat="1" applyFont="1" applyFill="1" applyBorder="1" applyAlignment="1">
      <alignment horizontal="center" vertical="center" wrapText="1"/>
    </xf>
    <xf numFmtId="44" fontId="17" fillId="13" borderId="35" xfId="0" applyNumberFormat="1" applyFont="1" applyFill="1" applyBorder="1" applyAlignment="1">
      <alignment horizontal="center" vertical="center" wrapText="1"/>
    </xf>
    <xf numFmtId="44" fontId="17" fillId="13" borderId="42" xfId="0" applyNumberFormat="1" applyFont="1" applyFill="1" applyBorder="1" applyAlignment="1">
      <alignment horizontal="center" vertical="center" wrapText="1"/>
    </xf>
    <xf numFmtId="0" fontId="30" fillId="16" borderId="2" xfId="0" applyFont="1" applyFill="1" applyBorder="1" applyAlignment="1">
      <alignment horizontal="center" vertical="center"/>
    </xf>
    <xf numFmtId="0" fontId="30" fillId="16" borderId="3" xfId="0" applyFont="1" applyFill="1" applyBorder="1" applyAlignment="1">
      <alignment horizontal="center" vertical="center"/>
    </xf>
    <xf numFmtId="0" fontId="15" fillId="9" borderId="6" xfId="0" applyFont="1" applyFill="1" applyBorder="1" applyAlignment="1">
      <alignment horizontal="center" vertical="center"/>
    </xf>
    <xf numFmtId="0" fontId="15" fillId="9" borderId="40" xfId="0" applyFont="1" applyFill="1" applyBorder="1" applyAlignment="1">
      <alignment horizontal="center" vertical="center"/>
    </xf>
    <xf numFmtId="165" fontId="31" fillId="4" borderId="13" xfId="3" applyNumberFormat="1" applyFont="1" applyFill="1" applyBorder="1" applyAlignment="1">
      <alignment horizontal="center" vertical="center" wrapText="1"/>
    </xf>
    <xf numFmtId="165" fontId="33" fillId="0" borderId="41" xfId="3" applyNumberFormat="1" applyFont="1" applyBorder="1" applyAlignment="1">
      <alignment horizontal="center" vertical="center" wrapText="1"/>
    </xf>
    <xf numFmtId="165" fontId="33" fillId="0" borderId="35" xfId="3" applyNumberFormat="1" applyFont="1" applyBorder="1" applyAlignment="1">
      <alignment horizontal="center" vertical="center" wrapText="1"/>
    </xf>
    <xf numFmtId="165" fontId="33" fillId="0" borderId="42" xfId="3" applyNumberFormat="1" applyFont="1" applyBorder="1" applyAlignment="1">
      <alignment horizontal="center" vertical="center" wrapText="1"/>
    </xf>
    <xf numFmtId="0" fontId="32" fillId="14" borderId="44" xfId="0" applyFont="1" applyFill="1" applyBorder="1" applyAlignment="1">
      <alignment horizontal="center" vertical="center" wrapText="1"/>
    </xf>
    <xf numFmtId="0" fontId="32" fillId="14" borderId="45" xfId="0" applyFont="1" applyFill="1" applyBorder="1" applyAlignment="1">
      <alignment horizontal="center" vertical="center" wrapText="1"/>
    </xf>
    <xf numFmtId="0" fontId="10" fillId="3" borderId="21" xfId="0" applyFont="1" applyFill="1" applyBorder="1" applyAlignment="1">
      <alignment horizontal="center" vertical="center" wrapText="1"/>
    </xf>
    <xf numFmtId="0" fontId="10" fillId="3" borderId="19" xfId="0" applyFont="1" applyFill="1" applyBorder="1" applyAlignment="1">
      <alignment horizontal="center" vertical="center" wrapText="1"/>
    </xf>
    <xf numFmtId="0" fontId="10" fillId="3" borderId="14"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13" fillId="0" borderId="13" xfId="0" applyFont="1" applyBorder="1" applyAlignment="1">
      <alignment horizontal="center" vertical="center" wrapText="1"/>
    </xf>
    <xf numFmtId="0" fontId="0" fillId="0" borderId="15" xfId="0" applyBorder="1" applyAlignment="1">
      <alignment horizontal="center" vertical="center"/>
    </xf>
    <xf numFmtId="0" fontId="0" fillId="0" borderId="13" xfId="0" applyBorder="1" applyAlignment="1">
      <alignment horizontal="center" vertical="center"/>
    </xf>
    <xf numFmtId="0" fontId="0" fillId="0" borderId="21"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11" fillId="3" borderId="4"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5" xfId="0" applyFont="1" applyFill="1" applyBorder="1" applyAlignment="1">
      <alignment horizontal="center" vertical="center"/>
    </xf>
    <xf numFmtId="0" fontId="13" fillId="3" borderId="13" xfId="0" applyFont="1" applyFill="1" applyBorder="1" applyAlignment="1">
      <alignment horizontal="center" vertical="center" wrapText="1"/>
    </xf>
    <xf numFmtId="164" fontId="9" fillId="0" borderId="12" xfId="0" applyNumberFormat="1" applyFont="1" applyBorder="1" applyAlignment="1">
      <alignment horizontal="center" vertical="center" wrapText="1"/>
    </xf>
    <xf numFmtId="164" fontId="9" fillId="0" borderId="17" xfId="0" applyNumberFormat="1" applyFont="1" applyBorder="1" applyAlignment="1">
      <alignment horizontal="center" vertical="center" wrapText="1"/>
    </xf>
    <xf numFmtId="164" fontId="9" fillId="0" borderId="24" xfId="0" applyNumberFormat="1" applyFont="1" applyBorder="1" applyAlignment="1">
      <alignment horizontal="center" vertical="center" wrapText="1"/>
    </xf>
    <xf numFmtId="164" fontId="9" fillId="0" borderId="32" xfId="0" applyNumberFormat="1" applyFont="1" applyBorder="1" applyAlignment="1">
      <alignment horizontal="center" vertical="center" wrapText="1"/>
    </xf>
    <xf numFmtId="0" fontId="4" fillId="3" borderId="21"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3" xfId="0" applyBorder="1" applyAlignment="1">
      <alignment horizontal="center" vertical="center" wrapText="1"/>
    </xf>
    <xf numFmtId="3" fontId="4" fillId="3" borderId="21" xfId="0" applyNumberFormat="1" applyFont="1" applyFill="1" applyBorder="1" applyAlignment="1">
      <alignment horizontal="center" vertical="center" wrapText="1"/>
    </xf>
    <xf numFmtId="3" fontId="4" fillId="3" borderId="14" xfId="0" applyNumberFormat="1" applyFont="1" applyFill="1" applyBorder="1" applyAlignment="1">
      <alignment horizontal="center" vertical="center" wrapText="1"/>
    </xf>
    <xf numFmtId="0" fontId="10" fillId="3" borderId="13" xfId="0" applyFont="1" applyFill="1" applyBorder="1" applyAlignment="1">
      <alignment horizontal="center" vertical="top" wrapText="1"/>
    </xf>
    <xf numFmtId="0" fontId="0" fillId="0" borderId="21" xfId="0" applyBorder="1" applyAlignment="1">
      <alignment horizontal="center" vertical="center" wrapText="1"/>
    </xf>
    <xf numFmtId="0" fontId="0" fillId="0" borderId="14" xfId="0" applyBorder="1" applyAlignment="1">
      <alignment horizontal="center" vertical="center" wrapText="1"/>
    </xf>
    <xf numFmtId="0" fontId="10" fillId="3" borderId="21" xfId="0" applyFont="1" applyFill="1" applyBorder="1" applyAlignment="1">
      <alignment horizontal="center" vertical="top" wrapText="1"/>
    </xf>
    <xf numFmtId="0" fontId="10" fillId="3" borderId="14" xfId="0" applyFont="1" applyFill="1" applyBorder="1" applyAlignment="1">
      <alignment horizontal="center" vertical="top" wrapText="1"/>
    </xf>
    <xf numFmtId="0" fontId="13" fillId="3" borderId="15"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3" borderId="15" xfId="0" applyFont="1" applyFill="1" applyBorder="1" applyAlignment="1">
      <alignment horizontal="center" vertical="center" wrapText="1"/>
    </xf>
    <xf numFmtId="0" fontId="11" fillId="3" borderId="15" xfId="0" applyFont="1" applyFill="1" applyBorder="1" applyAlignment="1">
      <alignment horizontal="center" vertical="center"/>
    </xf>
    <xf numFmtId="0" fontId="10" fillId="3" borderId="13" xfId="0" applyFont="1" applyFill="1" applyBorder="1" applyAlignment="1">
      <alignment horizontal="center" vertical="center"/>
    </xf>
    <xf numFmtId="0" fontId="10" fillId="3" borderId="34" xfId="0" applyFont="1" applyFill="1" applyBorder="1" applyAlignment="1">
      <alignment horizontal="center" vertical="center"/>
    </xf>
    <xf numFmtId="0" fontId="9" fillId="3" borderId="8" xfId="0" applyFont="1" applyFill="1" applyBorder="1" applyAlignment="1">
      <alignment horizontal="center" vertical="center" wrapText="1"/>
    </xf>
    <xf numFmtId="0" fontId="10" fillId="3" borderId="9" xfId="0" applyFont="1" applyFill="1" applyBorder="1" applyAlignment="1">
      <alignment vertical="center"/>
    </xf>
    <xf numFmtId="0" fontId="10" fillId="3" borderId="10" xfId="0" applyFont="1" applyFill="1" applyBorder="1" applyAlignment="1">
      <alignment vertical="center"/>
    </xf>
    <xf numFmtId="164" fontId="9" fillId="0" borderId="7" xfId="0" applyNumberFormat="1" applyFont="1" applyBorder="1" applyAlignment="1">
      <alignment horizontal="center" vertical="center" wrapText="1"/>
    </xf>
    <xf numFmtId="164" fontId="9" fillId="0" borderId="14" xfId="0" applyNumberFormat="1" applyFont="1" applyBorder="1" applyAlignment="1">
      <alignment horizontal="center" vertical="center" wrapText="1"/>
    </xf>
    <xf numFmtId="164" fontId="9" fillId="5" borderId="24" xfId="0" applyNumberFormat="1" applyFont="1" applyFill="1" applyBorder="1" applyAlignment="1">
      <alignment horizontal="center" vertical="center" wrapText="1"/>
    </xf>
    <xf numFmtId="164" fontId="9" fillId="5" borderId="32" xfId="0" applyNumberFormat="1" applyFont="1" applyFill="1" applyBorder="1" applyAlignment="1">
      <alignment horizontal="center" vertical="center" wrapText="1"/>
    </xf>
    <xf numFmtId="164" fontId="9" fillId="5" borderId="12" xfId="0" applyNumberFormat="1" applyFont="1" applyFill="1" applyBorder="1" applyAlignment="1">
      <alignment horizontal="center" vertical="center" wrapText="1"/>
    </xf>
    <xf numFmtId="164" fontId="9" fillId="5" borderId="17" xfId="0" applyNumberFormat="1" applyFont="1" applyFill="1" applyBorder="1" applyAlignment="1">
      <alignment horizontal="center" vertical="center" wrapText="1"/>
    </xf>
    <xf numFmtId="0" fontId="10" fillId="3" borderId="21" xfId="0" applyFont="1" applyFill="1" applyBorder="1" applyAlignment="1">
      <alignment horizontal="center" vertical="center"/>
    </xf>
    <xf numFmtId="0" fontId="10" fillId="3" borderId="19" xfId="0" applyFont="1" applyFill="1" applyBorder="1" applyAlignment="1">
      <alignment horizontal="center" vertical="center"/>
    </xf>
    <xf numFmtId="0" fontId="10" fillId="3" borderId="14" xfId="0" applyFont="1" applyFill="1" applyBorder="1" applyAlignment="1">
      <alignment horizontal="center" vertical="center"/>
    </xf>
    <xf numFmtId="0" fontId="2" fillId="3" borderId="21"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0" fillId="3" borderId="26" xfId="0" applyFont="1" applyFill="1" applyBorder="1" applyAlignment="1">
      <alignment horizontal="center" vertical="center" wrapText="1"/>
    </xf>
    <xf numFmtId="0" fontId="10" fillId="3" borderId="28" xfId="0" applyFont="1" applyFill="1" applyBorder="1" applyAlignment="1">
      <alignment horizontal="center" vertical="center" wrapText="1"/>
    </xf>
    <xf numFmtId="0" fontId="10" fillId="3" borderId="27" xfId="0" applyFont="1" applyFill="1" applyBorder="1" applyAlignment="1">
      <alignment horizontal="center" vertical="center" wrapText="1"/>
    </xf>
    <xf numFmtId="0" fontId="2" fillId="0" borderId="21" xfId="0" applyFont="1" applyBorder="1" applyAlignment="1">
      <alignment horizontal="center" vertical="center" wrapText="1"/>
    </xf>
    <xf numFmtId="0" fontId="2" fillId="0" borderId="14" xfId="0" applyFont="1" applyBorder="1" applyAlignment="1">
      <alignment horizontal="center" vertical="center" wrapText="1"/>
    </xf>
    <xf numFmtId="0" fontId="11" fillId="3" borderId="20" xfId="0" applyFont="1" applyFill="1" applyBorder="1" applyAlignment="1">
      <alignment horizontal="center" vertical="center"/>
    </xf>
    <xf numFmtId="0" fontId="11" fillId="3" borderId="18" xfId="0" applyFont="1" applyFill="1" applyBorder="1" applyAlignment="1">
      <alignment horizontal="center" vertical="center"/>
    </xf>
    <xf numFmtId="0" fontId="1" fillId="3" borderId="22"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0" fillId="0" borderId="18" xfId="0" applyBorder="1" applyAlignment="1">
      <alignment horizontal="center" vertical="center"/>
    </xf>
    <xf numFmtId="0" fontId="11" fillId="3" borderId="23" xfId="0" applyFont="1" applyFill="1" applyBorder="1" applyAlignment="1">
      <alignment horizontal="center" vertical="center"/>
    </xf>
    <xf numFmtId="0" fontId="11" fillId="3" borderId="16" xfId="0" applyFont="1" applyFill="1" applyBorder="1" applyAlignment="1">
      <alignment horizontal="center" vertical="center"/>
    </xf>
    <xf numFmtId="0" fontId="0" fillId="0" borderId="11" xfId="0" applyBorder="1" applyAlignment="1">
      <alignment horizontal="center" vertical="center"/>
    </xf>
    <xf numFmtId="0" fontId="9" fillId="3" borderId="11" xfId="0" applyFont="1" applyFill="1" applyBorder="1" applyAlignment="1">
      <alignment horizontal="center" vertical="center" wrapText="1"/>
    </xf>
    <xf numFmtId="0" fontId="10" fillId="3" borderId="7" xfId="0" applyFont="1" applyFill="1" applyBorder="1" applyAlignment="1">
      <alignment vertical="center"/>
    </xf>
    <xf numFmtId="0" fontId="10" fillId="3" borderId="12" xfId="0" applyFont="1" applyFill="1" applyBorder="1" applyAlignment="1">
      <alignment vertical="center"/>
    </xf>
  </cellXfs>
  <cellStyles count="4">
    <cellStyle name="Hipervínculo" xfId="2" builtinId="8"/>
    <cellStyle name="Moneda" xfId="3" builtinId="4"/>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18"/>
  <sheetViews>
    <sheetView tabSelected="1" topLeftCell="E102" zoomScale="65" zoomScaleNormal="80" workbookViewId="0">
      <selection activeCell="I109" sqref="I109:L110"/>
    </sheetView>
  </sheetViews>
  <sheetFormatPr baseColWidth="10" defaultColWidth="20.44140625" defaultRowHeight="14.4" x14ac:dyDescent="0.3"/>
  <cols>
    <col min="1" max="1" width="13.77734375" bestFit="1" customWidth="1"/>
    <col min="3" max="3" width="66.6640625" customWidth="1"/>
    <col min="4" max="4" width="9.6640625" bestFit="1" customWidth="1"/>
    <col min="7" max="7" width="21.44140625" bestFit="1" customWidth="1"/>
    <col min="9" max="11" width="22.77734375" customWidth="1"/>
    <col min="12" max="12" width="23.77734375" style="54" customWidth="1"/>
    <col min="13" max="13" width="16.44140625" customWidth="1"/>
    <col min="14" max="15" width="20.44140625" customWidth="1"/>
  </cols>
  <sheetData>
    <row r="1" spans="1:16" ht="85.05" customHeight="1" thickBot="1" x14ac:dyDescent="0.35">
      <c r="A1" s="142" t="s">
        <v>452</v>
      </c>
      <c r="B1" s="143"/>
      <c r="C1" s="143"/>
      <c r="D1" s="143"/>
      <c r="E1" s="143"/>
      <c r="F1" s="143"/>
      <c r="G1" s="143"/>
      <c r="H1" s="143"/>
      <c r="I1" s="143"/>
      <c r="J1" s="143"/>
      <c r="K1" s="143"/>
      <c r="L1" s="144"/>
    </row>
    <row r="2" spans="1:16" ht="85.05" customHeight="1" x14ac:dyDescent="0.3">
      <c r="A2" s="109" t="s">
        <v>175</v>
      </c>
      <c r="B2" s="109" t="s">
        <v>176</v>
      </c>
      <c r="C2" s="109" t="s">
        <v>177</v>
      </c>
      <c r="D2" s="109" t="s">
        <v>178</v>
      </c>
      <c r="E2" s="110" t="s">
        <v>461</v>
      </c>
      <c r="F2" s="110" t="s">
        <v>462</v>
      </c>
      <c r="G2" s="179" t="s">
        <v>468</v>
      </c>
      <c r="H2" s="179"/>
      <c r="I2" s="179"/>
      <c r="J2" s="179"/>
      <c r="K2" s="179"/>
      <c r="L2" s="110" t="s">
        <v>463</v>
      </c>
    </row>
    <row r="3" spans="1:16" ht="136.19999999999999" customHeight="1" x14ac:dyDescent="0.3">
      <c r="A3" s="111">
        <v>1</v>
      </c>
      <c r="B3" s="112" t="s">
        <v>455</v>
      </c>
      <c r="C3" s="115" t="s">
        <v>458</v>
      </c>
      <c r="D3" s="113">
        <v>1</v>
      </c>
      <c r="E3" s="117">
        <v>2</v>
      </c>
      <c r="F3" s="118">
        <v>0.3</v>
      </c>
      <c r="G3" s="180" t="s">
        <v>465</v>
      </c>
      <c r="H3" s="181"/>
      <c r="I3" s="181"/>
      <c r="J3" s="181"/>
      <c r="K3" s="182"/>
      <c r="L3" s="114">
        <f>(5468000*2)*0.3</f>
        <v>3280800</v>
      </c>
    </row>
    <row r="4" spans="1:16" ht="85.05" customHeight="1" x14ac:dyDescent="0.3">
      <c r="A4" s="111">
        <v>2</v>
      </c>
      <c r="B4" s="116" t="s">
        <v>457</v>
      </c>
      <c r="C4" s="115" t="s">
        <v>459</v>
      </c>
      <c r="D4" s="113">
        <v>1</v>
      </c>
      <c r="E4" s="117">
        <v>2</v>
      </c>
      <c r="F4" s="118">
        <v>0.6</v>
      </c>
      <c r="G4" s="180" t="s">
        <v>464</v>
      </c>
      <c r="H4" s="181"/>
      <c r="I4" s="181"/>
      <c r="J4" s="181"/>
      <c r="K4" s="182"/>
      <c r="L4" s="114">
        <f>(4773000*2)*0.6</f>
        <v>5727600</v>
      </c>
    </row>
    <row r="5" spans="1:16" ht="85.05" customHeight="1" x14ac:dyDescent="0.3">
      <c r="A5" s="111">
        <v>3</v>
      </c>
      <c r="B5" s="112" t="s">
        <v>456</v>
      </c>
      <c r="C5" s="115" t="s">
        <v>460</v>
      </c>
      <c r="D5" s="113">
        <v>1</v>
      </c>
      <c r="E5" s="117">
        <v>2</v>
      </c>
      <c r="F5" s="118">
        <v>1</v>
      </c>
      <c r="G5" s="180" t="s">
        <v>466</v>
      </c>
      <c r="H5" s="181"/>
      <c r="I5" s="181"/>
      <c r="J5" s="181"/>
      <c r="K5" s="182"/>
      <c r="L5" s="114">
        <f>(2894000*2)*1</f>
        <v>5788000</v>
      </c>
    </row>
    <row r="6" spans="1:16" ht="85.05" customHeight="1" thickBot="1" x14ac:dyDescent="0.35">
      <c r="A6" s="183" t="s">
        <v>467</v>
      </c>
      <c r="B6" s="183"/>
      <c r="C6" s="183"/>
      <c r="D6" s="183"/>
      <c r="E6" s="183"/>
      <c r="F6" s="183"/>
      <c r="G6" s="183"/>
      <c r="H6" s="183"/>
      <c r="I6" s="183"/>
      <c r="J6" s="183"/>
      <c r="K6" s="184"/>
      <c r="L6" s="119">
        <f>SUM(L3:L5)</f>
        <v>14796400</v>
      </c>
    </row>
    <row r="7" spans="1:16" ht="46.95" customHeight="1" thickBot="1" x14ac:dyDescent="0.35">
      <c r="A7" s="160" t="s">
        <v>16</v>
      </c>
      <c r="B7" s="161"/>
      <c r="C7" s="161"/>
      <c r="D7" s="161"/>
      <c r="E7" s="161"/>
      <c r="F7" s="161"/>
      <c r="G7" s="161"/>
      <c r="H7" s="161"/>
      <c r="I7" s="161"/>
      <c r="J7" s="162"/>
      <c r="K7" s="162"/>
      <c r="L7" s="163"/>
    </row>
    <row r="8" spans="1:16" ht="46.95" customHeight="1" thickBot="1" x14ac:dyDescent="0.35">
      <c r="A8" s="78"/>
      <c r="B8" s="79"/>
      <c r="C8" s="79"/>
      <c r="D8" s="79"/>
      <c r="E8" s="79"/>
      <c r="F8" s="79"/>
      <c r="G8" s="92" t="s">
        <v>453</v>
      </c>
      <c r="H8" s="94" t="s">
        <v>439</v>
      </c>
      <c r="I8" s="93" t="s">
        <v>405</v>
      </c>
      <c r="J8" s="120" t="s">
        <v>469</v>
      </c>
      <c r="K8" s="80" t="s">
        <v>406</v>
      </c>
      <c r="L8" s="95" t="s">
        <v>181</v>
      </c>
    </row>
    <row r="9" spans="1:16" ht="46.95" customHeight="1" thickBot="1" x14ac:dyDescent="0.35">
      <c r="A9" s="40" t="s">
        <v>175</v>
      </c>
      <c r="B9" s="41" t="s">
        <v>176</v>
      </c>
      <c r="C9" s="41" t="s">
        <v>177</v>
      </c>
      <c r="D9" s="41" t="s">
        <v>178</v>
      </c>
      <c r="E9" s="41" t="s">
        <v>359</v>
      </c>
      <c r="F9" s="41" t="s">
        <v>179</v>
      </c>
      <c r="G9" s="41" t="s">
        <v>368</v>
      </c>
      <c r="H9" s="41" t="s">
        <v>368</v>
      </c>
      <c r="I9" s="41" t="s">
        <v>368</v>
      </c>
      <c r="J9" s="41"/>
      <c r="K9" s="41" t="s">
        <v>440</v>
      </c>
      <c r="L9" s="42" t="s">
        <v>181</v>
      </c>
    </row>
    <row r="10" spans="1:16" ht="41.25" customHeight="1" x14ac:dyDescent="0.3">
      <c r="A10" s="45">
        <v>4</v>
      </c>
      <c r="B10" s="59" t="s">
        <v>0</v>
      </c>
      <c r="C10" s="52" t="s">
        <v>1</v>
      </c>
      <c r="D10" s="46">
        <v>50</v>
      </c>
      <c r="E10" s="38" t="s">
        <v>360</v>
      </c>
      <c r="F10" s="39" t="s">
        <v>2</v>
      </c>
      <c r="G10" s="106">
        <v>35500</v>
      </c>
      <c r="H10" s="106">
        <v>34000</v>
      </c>
      <c r="I10" s="53">
        <v>35000</v>
      </c>
      <c r="J10" s="121">
        <v>28000</v>
      </c>
      <c r="K10" s="96">
        <f>(I10+G10+H10+J10)/4</f>
        <v>33125</v>
      </c>
      <c r="L10" s="47">
        <f>K10*D10</f>
        <v>1656250</v>
      </c>
      <c r="M10" s="54"/>
      <c r="N10" s="54"/>
      <c r="O10" s="58"/>
    </row>
    <row r="11" spans="1:16" ht="62.25" customHeight="1" x14ac:dyDescent="0.3">
      <c r="A11" s="25">
        <v>5</v>
      </c>
      <c r="B11" s="151" t="s">
        <v>17</v>
      </c>
      <c r="C11" s="50" t="s">
        <v>18</v>
      </c>
      <c r="D11" s="28">
        <v>4</v>
      </c>
      <c r="E11" s="29" t="s">
        <v>360</v>
      </c>
      <c r="F11" s="26" t="s">
        <v>10</v>
      </c>
      <c r="G11" s="107">
        <v>500000</v>
      </c>
      <c r="H11" s="107">
        <v>470000</v>
      </c>
      <c r="I11" s="51">
        <v>450000</v>
      </c>
      <c r="J11" s="121">
        <v>400000</v>
      </c>
      <c r="K11" s="96">
        <f>(I11+G11+H11+J11)/4</f>
        <v>455000</v>
      </c>
      <c r="L11" s="44">
        <f>+K11*D11</f>
        <v>1820000</v>
      </c>
      <c r="M11" s="54"/>
      <c r="N11" s="54"/>
      <c r="O11" s="58"/>
    </row>
    <row r="12" spans="1:16" ht="34.5" customHeight="1" x14ac:dyDescent="0.3">
      <c r="A12" s="25">
        <v>6</v>
      </c>
      <c r="B12" s="152"/>
      <c r="C12" s="50" t="s">
        <v>45</v>
      </c>
      <c r="D12" s="28">
        <v>2</v>
      </c>
      <c r="E12" s="29" t="s">
        <v>360</v>
      </c>
      <c r="F12" s="26" t="s">
        <v>2</v>
      </c>
      <c r="G12" s="107">
        <v>3800000</v>
      </c>
      <c r="H12" s="107">
        <v>3100000</v>
      </c>
      <c r="I12" s="51">
        <v>3120000</v>
      </c>
      <c r="J12" s="121">
        <v>2700000</v>
      </c>
      <c r="K12" s="96">
        <f>(I12+G12+H12+J12)/4</f>
        <v>3180000</v>
      </c>
      <c r="L12" s="44">
        <f>+K12*D12</f>
        <v>6360000</v>
      </c>
      <c r="M12" s="54"/>
      <c r="N12" s="54"/>
      <c r="O12" s="58"/>
    </row>
    <row r="13" spans="1:16" ht="74.25" customHeight="1" x14ac:dyDescent="0.3">
      <c r="A13" s="25">
        <v>7</v>
      </c>
      <c r="B13" s="26" t="s">
        <v>25</v>
      </c>
      <c r="C13" s="50" t="s">
        <v>374</v>
      </c>
      <c r="D13" s="28">
        <v>40</v>
      </c>
      <c r="E13" s="29" t="s">
        <v>360</v>
      </c>
      <c r="F13" s="26" t="s">
        <v>8</v>
      </c>
      <c r="G13" s="107">
        <v>11500</v>
      </c>
      <c r="H13" s="107">
        <v>12000</v>
      </c>
      <c r="I13" s="51">
        <v>10000</v>
      </c>
      <c r="J13" s="121">
        <v>10400</v>
      </c>
      <c r="K13" s="96">
        <f>(I13+G13+H13+J13)/4</f>
        <v>10975</v>
      </c>
      <c r="L13" s="44">
        <f>+K13*D13</f>
        <v>439000</v>
      </c>
      <c r="M13" s="54"/>
      <c r="N13" s="54"/>
      <c r="O13" s="58"/>
    </row>
    <row r="14" spans="1:16" ht="74.25" customHeight="1" x14ac:dyDescent="0.3">
      <c r="A14" s="81">
        <v>5</v>
      </c>
      <c r="B14" s="82" t="s">
        <v>20</v>
      </c>
      <c r="C14" s="83" t="s">
        <v>407</v>
      </c>
      <c r="D14" s="84">
        <v>2</v>
      </c>
      <c r="E14" s="85" t="s">
        <v>360</v>
      </c>
      <c r="F14" s="84" t="s">
        <v>22</v>
      </c>
      <c r="G14" s="172">
        <v>3855600</v>
      </c>
      <c r="H14" s="173"/>
      <c r="I14" s="173"/>
      <c r="J14" s="173"/>
      <c r="K14" s="174"/>
      <c r="L14" s="49">
        <f>+G14*D14</f>
        <v>7711200</v>
      </c>
      <c r="M14" s="54"/>
      <c r="N14" s="54"/>
      <c r="O14" s="58"/>
      <c r="P14" s="104"/>
    </row>
    <row r="15" spans="1:16" ht="74.25" customHeight="1" thickBot="1" x14ac:dyDescent="0.35">
      <c r="A15" s="81">
        <v>6</v>
      </c>
      <c r="B15" s="82" t="s">
        <v>23</v>
      </c>
      <c r="C15" s="86" t="s">
        <v>446</v>
      </c>
      <c r="D15" s="84">
        <v>8</v>
      </c>
      <c r="E15" s="85" t="s">
        <v>360</v>
      </c>
      <c r="F15" s="84" t="s">
        <v>24</v>
      </c>
      <c r="G15" s="172">
        <v>8996400</v>
      </c>
      <c r="H15" s="173"/>
      <c r="I15" s="173"/>
      <c r="J15" s="173"/>
      <c r="K15" s="174"/>
      <c r="L15" s="49">
        <f>+G15*D15</f>
        <v>71971200</v>
      </c>
      <c r="M15" s="54"/>
      <c r="N15" s="54"/>
      <c r="O15" s="58"/>
      <c r="P15" s="104"/>
    </row>
    <row r="16" spans="1:16" ht="25.5" customHeight="1" thickBot="1" x14ac:dyDescent="0.35">
      <c r="A16" s="164" t="s">
        <v>370</v>
      </c>
      <c r="B16" s="164"/>
      <c r="C16" s="164"/>
      <c r="D16" s="164"/>
      <c r="E16" s="164"/>
      <c r="F16" s="164"/>
      <c r="G16" s="87"/>
      <c r="H16" s="87"/>
      <c r="I16" s="154">
        <f>SUM(L10:L15)</f>
        <v>89957650</v>
      </c>
      <c r="J16" s="155"/>
      <c r="K16" s="155"/>
      <c r="L16" s="156"/>
    </row>
    <row r="17" spans="1:16" ht="46.95" customHeight="1" thickBot="1" x14ac:dyDescent="0.35">
      <c r="A17" s="157" t="s">
        <v>133</v>
      </c>
      <c r="B17" s="158"/>
      <c r="C17" s="158"/>
      <c r="D17" s="158"/>
      <c r="E17" s="158"/>
      <c r="F17" s="158"/>
      <c r="G17" s="158"/>
      <c r="H17" s="158"/>
      <c r="I17" s="158"/>
      <c r="J17" s="158"/>
      <c r="K17" s="158"/>
      <c r="L17" s="159"/>
    </row>
    <row r="18" spans="1:16" ht="46.95" customHeight="1" thickBot="1" x14ac:dyDescent="0.35">
      <c r="A18" s="22" t="s">
        <v>175</v>
      </c>
      <c r="B18" s="23" t="s">
        <v>176</v>
      </c>
      <c r="C18" s="23" t="s">
        <v>177</v>
      </c>
      <c r="D18" s="23" t="s">
        <v>178</v>
      </c>
      <c r="E18" s="23" t="s">
        <v>359</v>
      </c>
      <c r="F18" s="23" t="s">
        <v>179</v>
      </c>
      <c r="G18" s="41" t="s">
        <v>368</v>
      </c>
      <c r="H18" s="41" t="s">
        <v>368</v>
      </c>
      <c r="I18" s="41" t="s">
        <v>368</v>
      </c>
      <c r="J18" s="41" t="s">
        <v>368</v>
      </c>
      <c r="K18" s="41" t="s">
        <v>440</v>
      </c>
      <c r="L18" s="24" t="s">
        <v>181</v>
      </c>
    </row>
    <row r="19" spans="1:16" ht="48.75" customHeight="1" thickBot="1" x14ac:dyDescent="0.35">
      <c r="A19" s="126">
        <v>4</v>
      </c>
      <c r="B19" s="60" t="s">
        <v>375</v>
      </c>
      <c r="C19" s="61" t="s">
        <v>1</v>
      </c>
      <c r="D19" s="27">
        <v>50</v>
      </c>
      <c r="E19" s="29" t="s">
        <v>360</v>
      </c>
      <c r="F19" s="31" t="s">
        <v>2</v>
      </c>
      <c r="G19" s="97">
        <v>28000</v>
      </c>
      <c r="H19" s="97">
        <v>30000</v>
      </c>
      <c r="I19" s="51">
        <v>35000</v>
      </c>
      <c r="J19" s="121">
        <v>28000</v>
      </c>
      <c r="K19" s="96">
        <f>(I19+G19+H19+J19)/4</f>
        <v>30250</v>
      </c>
      <c r="L19" s="43">
        <f>+K19*D19</f>
        <v>1512500</v>
      </c>
      <c r="M19" s="54"/>
      <c r="N19" s="54"/>
      <c r="O19" s="58"/>
      <c r="P19" s="104"/>
    </row>
    <row r="20" spans="1:16" ht="42.75" customHeight="1" thickBot="1" x14ac:dyDescent="0.35">
      <c r="A20" s="126">
        <v>5</v>
      </c>
      <c r="B20" s="151" t="s">
        <v>9</v>
      </c>
      <c r="C20" s="62" t="s">
        <v>441</v>
      </c>
      <c r="D20" s="32">
        <v>11</v>
      </c>
      <c r="E20" s="35" t="s">
        <v>442</v>
      </c>
      <c r="F20" s="31" t="s">
        <v>2</v>
      </c>
      <c r="G20" s="97">
        <v>1200000</v>
      </c>
      <c r="H20" s="97">
        <v>1000000</v>
      </c>
      <c r="I20" s="51">
        <v>1080000</v>
      </c>
      <c r="J20" s="121">
        <v>1200000</v>
      </c>
      <c r="K20" s="96">
        <f>(I20+G20+H20+J20)/4</f>
        <v>1120000</v>
      </c>
      <c r="L20" s="43">
        <f t="shared" ref="L20:L36" si="0">+K20*D20</f>
        <v>12320000</v>
      </c>
      <c r="M20" s="54"/>
      <c r="N20" s="54"/>
      <c r="O20" s="58"/>
    </row>
    <row r="21" spans="1:16" ht="15" thickBot="1" x14ac:dyDescent="0.35">
      <c r="A21" s="127">
        <v>6</v>
      </c>
      <c r="B21" s="153"/>
      <c r="C21" s="63" t="s">
        <v>391</v>
      </c>
      <c r="D21" s="32">
        <v>1</v>
      </c>
      <c r="E21" s="35" t="s">
        <v>442</v>
      </c>
      <c r="F21" s="31" t="s">
        <v>2</v>
      </c>
      <c r="G21" s="97">
        <v>800000</v>
      </c>
      <c r="H21" s="97">
        <v>900000</v>
      </c>
      <c r="I21" s="51">
        <v>1080000</v>
      </c>
      <c r="J21" s="121">
        <v>1200000</v>
      </c>
      <c r="K21" s="96">
        <f>(I21+G21+H21+J21)/4</f>
        <v>995000</v>
      </c>
      <c r="L21" s="43">
        <f t="shared" si="0"/>
        <v>995000</v>
      </c>
      <c r="M21" s="54"/>
      <c r="N21" s="54"/>
      <c r="O21" s="58"/>
    </row>
    <row r="22" spans="1:16" ht="15" thickBot="1" x14ac:dyDescent="0.35">
      <c r="A22" s="126">
        <v>7</v>
      </c>
      <c r="B22" s="153"/>
      <c r="C22" s="62" t="s">
        <v>45</v>
      </c>
      <c r="D22" s="32">
        <v>3</v>
      </c>
      <c r="E22" s="35" t="s">
        <v>442</v>
      </c>
      <c r="F22" s="31" t="s">
        <v>2</v>
      </c>
      <c r="G22" s="97">
        <v>8100000</v>
      </c>
      <c r="H22" s="97">
        <v>9000000</v>
      </c>
      <c r="I22" s="51">
        <v>10800000</v>
      </c>
      <c r="J22" s="125">
        <v>2700000</v>
      </c>
      <c r="K22" s="96">
        <f>(I22+G22+H22)/3</f>
        <v>9300000</v>
      </c>
      <c r="L22" s="43">
        <f t="shared" si="0"/>
        <v>27900000</v>
      </c>
      <c r="M22" s="54"/>
      <c r="N22" s="54"/>
      <c r="O22" s="58"/>
    </row>
    <row r="23" spans="1:16" ht="15" thickBot="1" x14ac:dyDescent="0.35">
      <c r="A23" s="126">
        <v>8</v>
      </c>
      <c r="B23" s="153"/>
      <c r="C23" s="62" t="s">
        <v>388</v>
      </c>
      <c r="D23" s="32">
        <v>10</v>
      </c>
      <c r="E23" s="35" t="s">
        <v>442</v>
      </c>
      <c r="F23" s="31" t="s">
        <v>2</v>
      </c>
      <c r="G23" s="97">
        <v>660000</v>
      </c>
      <c r="H23" s="97">
        <v>700000</v>
      </c>
      <c r="I23" s="51">
        <v>660000</v>
      </c>
      <c r="J23" s="121">
        <v>700000</v>
      </c>
      <c r="K23" s="96">
        <f>(I23+G23+H23+J23)/4</f>
        <v>680000</v>
      </c>
      <c r="L23" s="43">
        <f t="shared" si="0"/>
        <v>6800000</v>
      </c>
      <c r="M23" s="54"/>
      <c r="N23" s="54"/>
      <c r="O23" s="58"/>
    </row>
    <row r="24" spans="1:16" ht="21" thickBot="1" x14ac:dyDescent="0.35">
      <c r="A24" s="126">
        <v>9</v>
      </c>
      <c r="B24" s="153"/>
      <c r="C24" s="62" t="s">
        <v>389</v>
      </c>
      <c r="D24" s="32">
        <v>130</v>
      </c>
      <c r="E24" s="35" t="s">
        <v>442</v>
      </c>
      <c r="F24" s="31" t="s">
        <v>2</v>
      </c>
      <c r="G24" s="97">
        <v>520000</v>
      </c>
      <c r="H24" s="97">
        <v>500000</v>
      </c>
      <c r="I24" s="51">
        <v>450000</v>
      </c>
      <c r="J24" s="121">
        <v>250000</v>
      </c>
      <c r="K24" s="96">
        <f>(I24+G24+H24+J24)/4</f>
        <v>430000</v>
      </c>
      <c r="L24" s="43">
        <f t="shared" si="0"/>
        <v>55900000</v>
      </c>
      <c r="M24" s="54"/>
      <c r="N24" s="54"/>
      <c r="O24" s="58"/>
    </row>
    <row r="25" spans="1:16" ht="15" thickBot="1" x14ac:dyDescent="0.35">
      <c r="A25" s="126">
        <v>10</v>
      </c>
      <c r="B25" s="153"/>
      <c r="C25" s="62" t="s">
        <v>390</v>
      </c>
      <c r="D25" s="32">
        <v>24</v>
      </c>
      <c r="E25" s="35" t="s">
        <v>442</v>
      </c>
      <c r="F25" s="31" t="s">
        <v>2</v>
      </c>
      <c r="G25" s="97">
        <v>200000</v>
      </c>
      <c r="H25" s="97">
        <v>180000</v>
      </c>
      <c r="I25" s="51">
        <v>150000</v>
      </c>
      <c r="J25" s="121">
        <v>150000</v>
      </c>
      <c r="K25" s="96">
        <f>(I25+G25+H25+J25)/4</f>
        <v>170000</v>
      </c>
      <c r="L25" s="43">
        <f t="shared" si="0"/>
        <v>4080000</v>
      </c>
      <c r="M25" s="54"/>
      <c r="N25" s="54"/>
      <c r="O25" s="58"/>
    </row>
    <row r="26" spans="1:16" ht="21" thickBot="1" x14ac:dyDescent="0.35">
      <c r="A26" s="126">
        <v>11</v>
      </c>
      <c r="B26" s="152"/>
      <c r="C26" s="62" t="s">
        <v>350</v>
      </c>
      <c r="D26" s="32">
        <v>1</v>
      </c>
      <c r="E26" s="35" t="s">
        <v>442</v>
      </c>
      <c r="F26" s="31" t="s">
        <v>2</v>
      </c>
      <c r="G26" s="97">
        <v>12000000</v>
      </c>
      <c r="H26" s="97">
        <v>15000000</v>
      </c>
      <c r="I26" s="51">
        <v>18900000</v>
      </c>
      <c r="J26" s="125">
        <v>1800000</v>
      </c>
      <c r="K26" s="96">
        <f>(I26+G26+H26)/3</f>
        <v>15300000</v>
      </c>
      <c r="L26" s="43">
        <f t="shared" si="0"/>
        <v>15300000</v>
      </c>
      <c r="M26" s="54"/>
      <c r="N26" s="54"/>
      <c r="O26" s="58"/>
    </row>
    <row r="27" spans="1:16" ht="152.25" customHeight="1" thickBot="1" x14ac:dyDescent="0.35">
      <c r="A27" s="128">
        <v>12</v>
      </c>
      <c r="B27" s="151" t="s">
        <v>50</v>
      </c>
      <c r="C27" s="65" t="s">
        <v>141</v>
      </c>
      <c r="D27" s="34">
        <v>1</v>
      </c>
      <c r="E27" s="35" t="s">
        <v>442</v>
      </c>
      <c r="F27" s="35" t="s">
        <v>2</v>
      </c>
      <c r="G27" s="98">
        <v>6800000</v>
      </c>
      <c r="H27" s="98">
        <v>6200000</v>
      </c>
      <c r="I27" s="55">
        <v>6500000</v>
      </c>
      <c r="J27" s="122">
        <v>6000000</v>
      </c>
      <c r="K27" s="96">
        <f>(I27+G27+H27+J27)/4</f>
        <v>6375000</v>
      </c>
      <c r="L27" s="43">
        <f t="shared" si="0"/>
        <v>6375000</v>
      </c>
      <c r="M27" s="54"/>
      <c r="N27" s="54"/>
      <c r="O27" s="58"/>
    </row>
    <row r="28" spans="1:16" ht="130.5" customHeight="1" thickBot="1" x14ac:dyDescent="0.35">
      <c r="A28" s="128">
        <v>13</v>
      </c>
      <c r="B28" s="153"/>
      <c r="C28" s="66" t="s">
        <v>142</v>
      </c>
      <c r="D28" s="34">
        <v>1</v>
      </c>
      <c r="E28" s="35" t="s">
        <v>442</v>
      </c>
      <c r="F28" s="35" t="s">
        <v>2</v>
      </c>
      <c r="G28" s="98">
        <v>4800000</v>
      </c>
      <c r="H28" s="98">
        <v>5600000</v>
      </c>
      <c r="I28" s="55">
        <v>5900000</v>
      </c>
      <c r="J28" s="122">
        <v>4800000</v>
      </c>
      <c r="K28" s="96">
        <f>(I28+G28+H28+J28)/4</f>
        <v>5275000</v>
      </c>
      <c r="L28" s="43">
        <f t="shared" si="0"/>
        <v>5275000</v>
      </c>
      <c r="M28" s="54"/>
      <c r="N28" s="54"/>
      <c r="O28" s="58"/>
    </row>
    <row r="29" spans="1:16" ht="142.5" customHeight="1" thickBot="1" x14ac:dyDescent="0.35">
      <c r="A29" s="128">
        <v>14</v>
      </c>
      <c r="B29" s="153"/>
      <c r="C29" s="65" t="s">
        <v>372</v>
      </c>
      <c r="D29" s="34">
        <v>1</v>
      </c>
      <c r="E29" s="35" t="s">
        <v>442</v>
      </c>
      <c r="F29" s="35" t="s">
        <v>2</v>
      </c>
      <c r="G29" s="98">
        <v>3400000</v>
      </c>
      <c r="H29" s="98">
        <v>3000000</v>
      </c>
      <c r="I29" s="55">
        <v>3250000</v>
      </c>
      <c r="J29" s="122">
        <v>3500000</v>
      </c>
      <c r="K29" s="96">
        <f>(I29+G29+H29+J29)/4</f>
        <v>3287500</v>
      </c>
      <c r="L29" s="43">
        <f t="shared" si="0"/>
        <v>3287500</v>
      </c>
      <c r="M29" s="54"/>
      <c r="N29" s="54"/>
      <c r="O29" s="58"/>
    </row>
    <row r="30" spans="1:16" ht="130.5" customHeight="1" x14ac:dyDescent="0.3">
      <c r="A30" s="128">
        <v>15</v>
      </c>
      <c r="B30" s="153"/>
      <c r="C30" s="66" t="s">
        <v>373</v>
      </c>
      <c r="D30" s="34">
        <v>1</v>
      </c>
      <c r="E30" s="35" t="s">
        <v>442</v>
      </c>
      <c r="F30" s="35" t="s">
        <v>2</v>
      </c>
      <c r="G30" s="98">
        <v>1800000</v>
      </c>
      <c r="H30" s="98">
        <v>1100000</v>
      </c>
      <c r="I30" s="55">
        <v>1500000</v>
      </c>
      <c r="J30" s="122">
        <v>2800000</v>
      </c>
      <c r="K30" s="96">
        <f>(I30+G30+H30+J30)/4</f>
        <v>1800000</v>
      </c>
      <c r="L30" s="43">
        <f t="shared" si="0"/>
        <v>1800000</v>
      </c>
      <c r="M30" s="54"/>
      <c r="N30" s="54"/>
      <c r="O30" s="58"/>
    </row>
    <row r="31" spans="1:16" ht="52.5" customHeight="1" thickBot="1" x14ac:dyDescent="0.35">
      <c r="A31" s="48" t="s">
        <v>392</v>
      </c>
      <c r="B31" s="152"/>
      <c r="C31" s="134" t="s">
        <v>51</v>
      </c>
      <c r="D31" s="135"/>
      <c r="E31" s="135"/>
      <c r="F31" s="135"/>
      <c r="G31" s="135"/>
      <c r="H31" s="135"/>
      <c r="I31" s="135"/>
      <c r="J31" s="135"/>
      <c r="K31" s="135"/>
      <c r="L31" s="136"/>
      <c r="M31" s="54"/>
      <c r="N31" s="54"/>
      <c r="O31" s="58"/>
    </row>
    <row r="32" spans="1:16" ht="96.75" customHeight="1" thickBot="1" x14ac:dyDescent="0.35">
      <c r="A32" s="25">
        <v>17</v>
      </c>
      <c r="B32" s="151" t="s">
        <v>52</v>
      </c>
      <c r="C32" s="63" t="s">
        <v>378</v>
      </c>
      <c r="D32" s="67">
        <v>1</v>
      </c>
      <c r="E32" s="166" t="s">
        <v>442</v>
      </c>
      <c r="F32" s="169" t="s">
        <v>2</v>
      </c>
      <c r="G32" s="99">
        <v>12500000</v>
      </c>
      <c r="H32" s="99">
        <v>13000000</v>
      </c>
      <c r="I32" s="51">
        <v>12000000</v>
      </c>
      <c r="J32" s="121">
        <v>11000000</v>
      </c>
      <c r="K32" s="96">
        <f>(I32+G32+H32+J32)/4</f>
        <v>12125000</v>
      </c>
      <c r="L32" s="43">
        <f t="shared" si="0"/>
        <v>12125000</v>
      </c>
      <c r="M32" s="54"/>
      <c r="N32" s="54"/>
      <c r="O32" s="58"/>
      <c r="P32" s="104"/>
    </row>
    <row r="33" spans="1:16" ht="96.75" customHeight="1" thickBot="1" x14ac:dyDescent="0.35">
      <c r="A33" s="33">
        <v>17.100000000000001</v>
      </c>
      <c r="B33" s="153"/>
      <c r="C33" s="64" t="s">
        <v>379</v>
      </c>
      <c r="D33" s="68">
        <v>1</v>
      </c>
      <c r="E33" s="167"/>
      <c r="F33" s="170"/>
      <c r="G33" s="99">
        <v>6000000</v>
      </c>
      <c r="H33" s="99">
        <v>6500000</v>
      </c>
      <c r="I33" s="56">
        <v>6500000</v>
      </c>
      <c r="J33" s="123">
        <v>6000000</v>
      </c>
      <c r="K33" s="96">
        <f>(I33+G33+H33+J33)/4</f>
        <v>6250000</v>
      </c>
      <c r="L33" s="43">
        <f t="shared" si="0"/>
        <v>6250000</v>
      </c>
      <c r="M33" s="54"/>
      <c r="N33" s="54"/>
      <c r="O33" s="58"/>
    </row>
    <row r="34" spans="1:16" ht="133.5" customHeight="1" thickBot="1" x14ac:dyDescent="0.35">
      <c r="A34" s="33">
        <v>18</v>
      </c>
      <c r="B34" s="153"/>
      <c r="C34" s="64" t="s">
        <v>290</v>
      </c>
      <c r="D34" s="68">
        <v>2</v>
      </c>
      <c r="E34" s="167"/>
      <c r="F34" s="170"/>
      <c r="G34" s="99">
        <v>1100000</v>
      </c>
      <c r="H34" s="99">
        <v>980000</v>
      </c>
      <c r="I34" s="56">
        <v>1000000</v>
      </c>
      <c r="J34" s="123">
        <v>800000</v>
      </c>
      <c r="K34" s="96">
        <f>(I34+G34+H34+J34)/4</f>
        <v>970000</v>
      </c>
      <c r="L34" s="43">
        <f t="shared" si="0"/>
        <v>1940000</v>
      </c>
      <c r="M34" s="54"/>
      <c r="N34" s="54"/>
      <c r="O34" s="58"/>
    </row>
    <row r="35" spans="1:16" ht="101.25" customHeight="1" thickBot="1" x14ac:dyDescent="0.35">
      <c r="A35" s="33">
        <v>19</v>
      </c>
      <c r="B35" s="153"/>
      <c r="C35" s="64" t="s">
        <v>369</v>
      </c>
      <c r="D35" s="68">
        <v>2</v>
      </c>
      <c r="E35" s="167"/>
      <c r="F35" s="170"/>
      <c r="G35" s="56">
        <v>500000</v>
      </c>
      <c r="H35" s="56">
        <v>500000</v>
      </c>
      <c r="I35" s="56">
        <v>500000</v>
      </c>
      <c r="J35" s="123">
        <v>700000</v>
      </c>
      <c r="K35" s="96">
        <f>(I35+G35+H35+J35)/4</f>
        <v>550000</v>
      </c>
      <c r="L35" s="43">
        <f t="shared" si="0"/>
        <v>1100000</v>
      </c>
      <c r="M35" s="54"/>
      <c r="N35" s="54"/>
      <c r="O35" s="58"/>
    </row>
    <row r="36" spans="1:16" ht="88.5" customHeight="1" x14ac:dyDescent="0.3">
      <c r="A36" s="33">
        <v>20</v>
      </c>
      <c r="B36" s="153"/>
      <c r="C36" s="64" t="s">
        <v>147</v>
      </c>
      <c r="D36" s="67">
        <v>2</v>
      </c>
      <c r="E36" s="168"/>
      <c r="F36" s="171"/>
      <c r="G36" s="99">
        <v>400000</v>
      </c>
      <c r="H36" s="99">
        <v>400000</v>
      </c>
      <c r="I36" s="56">
        <v>500000</v>
      </c>
      <c r="J36" s="123">
        <v>800000</v>
      </c>
      <c r="K36" s="96">
        <f>(I36+G36+H36+J36)/4</f>
        <v>525000</v>
      </c>
      <c r="L36" s="43">
        <f t="shared" si="0"/>
        <v>1050000</v>
      </c>
      <c r="M36" s="54"/>
      <c r="N36" s="54"/>
      <c r="O36" s="58"/>
    </row>
    <row r="37" spans="1:16" ht="54.75" customHeight="1" x14ac:dyDescent="0.3">
      <c r="A37" s="57" t="s">
        <v>393</v>
      </c>
      <c r="B37" s="153"/>
      <c r="C37" s="165" t="s">
        <v>361</v>
      </c>
      <c r="D37" s="165"/>
      <c r="E37" s="165"/>
      <c r="F37" s="165"/>
      <c r="G37" s="165"/>
      <c r="H37" s="165"/>
      <c r="I37" s="165"/>
      <c r="J37" s="165"/>
      <c r="K37" s="165"/>
      <c r="L37" s="165"/>
      <c r="M37" s="54"/>
      <c r="N37" s="54"/>
      <c r="O37" s="58"/>
    </row>
    <row r="38" spans="1:16" ht="65.25" customHeight="1" x14ac:dyDescent="0.3">
      <c r="A38" s="57" t="s">
        <v>394</v>
      </c>
      <c r="B38" s="152"/>
      <c r="C38" s="165" t="s">
        <v>362</v>
      </c>
      <c r="D38" s="165"/>
      <c r="E38" s="165"/>
      <c r="F38" s="165"/>
      <c r="G38" s="165"/>
      <c r="H38" s="165"/>
      <c r="I38" s="165"/>
      <c r="J38" s="165"/>
      <c r="K38" s="165"/>
      <c r="L38" s="165"/>
      <c r="M38" s="54"/>
      <c r="N38" s="54"/>
      <c r="O38" s="58"/>
    </row>
    <row r="39" spans="1:16" ht="73.5" customHeight="1" x14ac:dyDescent="0.3">
      <c r="A39" s="25">
        <v>23</v>
      </c>
      <c r="B39" s="26" t="s">
        <v>56</v>
      </c>
      <c r="C39" s="69" t="s">
        <v>57</v>
      </c>
      <c r="D39" s="70">
        <v>3</v>
      </c>
      <c r="E39" s="35" t="s">
        <v>442</v>
      </c>
      <c r="F39" s="71" t="s">
        <v>8</v>
      </c>
      <c r="G39" s="102">
        <v>1000000</v>
      </c>
      <c r="H39" s="100">
        <v>4800000</v>
      </c>
      <c r="I39" s="53">
        <v>4500000</v>
      </c>
      <c r="J39" s="121">
        <v>4000000</v>
      </c>
      <c r="K39" s="96">
        <f>(I39+H39+J39)/3</f>
        <v>4433333.333333333</v>
      </c>
      <c r="L39" s="72">
        <f>K39*D39</f>
        <v>13300000</v>
      </c>
      <c r="M39" s="54"/>
      <c r="N39" s="54"/>
      <c r="O39" s="58"/>
      <c r="P39" s="104"/>
    </row>
    <row r="40" spans="1:16" ht="72" customHeight="1" x14ac:dyDescent="0.3">
      <c r="A40" s="25">
        <v>24</v>
      </c>
      <c r="B40" s="26" t="s">
        <v>59</v>
      </c>
      <c r="C40" s="62" t="s">
        <v>380</v>
      </c>
      <c r="D40" s="32">
        <v>4</v>
      </c>
      <c r="E40" s="35" t="s">
        <v>442</v>
      </c>
      <c r="F40" s="31" t="s">
        <v>8</v>
      </c>
      <c r="G40" s="97">
        <v>2500000</v>
      </c>
      <c r="H40" s="97">
        <v>2720000</v>
      </c>
      <c r="I40" s="51">
        <v>2400000</v>
      </c>
      <c r="J40" s="121">
        <v>2400000</v>
      </c>
      <c r="K40" s="96">
        <f>(I40+G40+H40+J40)/4</f>
        <v>2505000</v>
      </c>
      <c r="L40" s="72">
        <f>K40*D40</f>
        <v>10020000</v>
      </c>
      <c r="M40" s="54"/>
      <c r="N40" s="54"/>
      <c r="O40" s="58"/>
      <c r="P40" s="104"/>
    </row>
    <row r="41" spans="1:16" ht="61.5" customHeight="1" x14ac:dyDescent="0.3">
      <c r="A41" s="25">
        <v>25</v>
      </c>
      <c r="B41" s="26" t="s">
        <v>61</v>
      </c>
      <c r="C41" s="62" t="s">
        <v>62</v>
      </c>
      <c r="D41" s="32">
        <v>60</v>
      </c>
      <c r="E41" s="35" t="s">
        <v>442</v>
      </c>
      <c r="F41" s="31" t="s">
        <v>8</v>
      </c>
      <c r="G41" s="97">
        <v>600000</v>
      </c>
      <c r="H41" s="97">
        <v>650000</v>
      </c>
      <c r="I41" s="51">
        <v>600000</v>
      </c>
      <c r="J41" s="121">
        <v>500000</v>
      </c>
      <c r="K41" s="96">
        <f>(I41+G41+H41+J41)/4</f>
        <v>587500</v>
      </c>
      <c r="L41" s="72">
        <f t="shared" ref="L41:L75" si="1">K41*D41</f>
        <v>35250000</v>
      </c>
      <c r="M41" s="54"/>
      <c r="N41" s="54"/>
      <c r="O41" s="58"/>
    </row>
    <row r="42" spans="1:16" ht="58.5" customHeight="1" x14ac:dyDescent="0.3">
      <c r="A42" s="25">
        <v>26</v>
      </c>
      <c r="B42" s="26" t="s">
        <v>61</v>
      </c>
      <c r="C42" s="62" t="s">
        <v>383</v>
      </c>
      <c r="D42" s="32">
        <v>120</v>
      </c>
      <c r="E42" s="35" t="s">
        <v>442</v>
      </c>
      <c r="F42" s="31" t="s">
        <v>8</v>
      </c>
      <c r="G42" s="97">
        <v>500000</v>
      </c>
      <c r="H42" s="97">
        <v>598000</v>
      </c>
      <c r="I42" s="51">
        <v>520000</v>
      </c>
      <c r="J42" s="121">
        <v>450000</v>
      </c>
      <c r="K42" s="96">
        <f>(I42+G42+H42+J42)/4</f>
        <v>517000</v>
      </c>
      <c r="L42" s="72">
        <f t="shared" si="1"/>
        <v>62040000</v>
      </c>
      <c r="M42" s="54"/>
      <c r="N42" s="54"/>
      <c r="O42" s="58"/>
    </row>
    <row r="43" spans="1:16" ht="57" customHeight="1" x14ac:dyDescent="0.3">
      <c r="A43" s="25">
        <v>27</v>
      </c>
      <c r="B43" s="26" t="s">
        <v>64</v>
      </c>
      <c r="C43" s="62" t="s">
        <v>65</v>
      </c>
      <c r="D43" s="32">
        <v>180</v>
      </c>
      <c r="E43" s="35" t="s">
        <v>442</v>
      </c>
      <c r="F43" s="31" t="s">
        <v>8</v>
      </c>
      <c r="G43" s="97">
        <v>85000</v>
      </c>
      <c r="H43" s="97">
        <v>80000</v>
      </c>
      <c r="I43" s="51">
        <v>75000</v>
      </c>
      <c r="J43" s="121">
        <v>45000</v>
      </c>
      <c r="K43" s="96">
        <f>(I43+G43+H43+J43)/4</f>
        <v>71250</v>
      </c>
      <c r="L43" s="72">
        <f t="shared" si="1"/>
        <v>12825000</v>
      </c>
      <c r="M43" s="54"/>
      <c r="N43" s="54"/>
      <c r="O43" s="58"/>
    </row>
    <row r="44" spans="1:16" ht="102.75" customHeight="1" x14ac:dyDescent="0.3">
      <c r="A44" s="25">
        <v>28</v>
      </c>
      <c r="B44" s="26" t="s">
        <v>66</v>
      </c>
      <c r="C44" s="62" t="s">
        <v>345</v>
      </c>
      <c r="D44" s="32">
        <v>700</v>
      </c>
      <c r="E44" s="29" t="s">
        <v>360</v>
      </c>
      <c r="F44" s="31" t="s">
        <v>8</v>
      </c>
      <c r="G44" s="97">
        <v>11500</v>
      </c>
      <c r="H44" s="97">
        <v>12000</v>
      </c>
      <c r="I44" s="51">
        <v>10000</v>
      </c>
      <c r="J44" s="121">
        <v>10400</v>
      </c>
      <c r="K44" s="96">
        <f>(I44+G44+H44+J44)/4</f>
        <v>10975</v>
      </c>
      <c r="L44" s="72">
        <f t="shared" si="1"/>
        <v>7682500</v>
      </c>
      <c r="M44" s="54"/>
      <c r="N44" s="54"/>
      <c r="O44" s="58"/>
    </row>
    <row r="45" spans="1:16" ht="34.950000000000003" customHeight="1" x14ac:dyDescent="0.3">
      <c r="A45" s="25">
        <v>29</v>
      </c>
      <c r="B45" s="26" t="s">
        <v>67</v>
      </c>
      <c r="C45" s="62" t="s">
        <v>384</v>
      </c>
      <c r="D45" s="32">
        <v>700</v>
      </c>
      <c r="E45" s="29" t="s">
        <v>360</v>
      </c>
      <c r="F45" s="31" t="s">
        <v>8</v>
      </c>
      <c r="G45" s="97">
        <v>4000</v>
      </c>
      <c r="H45" s="97">
        <v>3000</v>
      </c>
      <c r="I45" s="51">
        <v>4000</v>
      </c>
      <c r="J45" s="125">
        <v>850</v>
      </c>
      <c r="K45" s="96">
        <f>(I45+G45+H45)/3</f>
        <v>3666.6666666666665</v>
      </c>
      <c r="L45" s="72">
        <f t="shared" si="1"/>
        <v>2566666.6666666665</v>
      </c>
      <c r="M45" s="54"/>
      <c r="N45" s="54"/>
      <c r="O45" s="58"/>
    </row>
    <row r="46" spans="1:16" ht="81" customHeight="1" x14ac:dyDescent="0.3">
      <c r="A46" s="25">
        <v>30</v>
      </c>
      <c r="B46" s="26" t="s">
        <v>69</v>
      </c>
      <c r="C46" s="62" t="s">
        <v>346</v>
      </c>
      <c r="D46" s="32">
        <v>700</v>
      </c>
      <c r="E46" s="29" t="s">
        <v>360</v>
      </c>
      <c r="F46" s="31" t="s">
        <v>8</v>
      </c>
      <c r="G46" s="97">
        <v>30000</v>
      </c>
      <c r="H46" s="97">
        <v>28000</v>
      </c>
      <c r="I46" s="51">
        <v>25000</v>
      </c>
      <c r="J46" s="121">
        <v>23000</v>
      </c>
      <c r="K46" s="96">
        <f>(I46+G46+H46+J46)/4</f>
        <v>26500</v>
      </c>
      <c r="L46" s="72">
        <f t="shared" si="1"/>
        <v>18550000</v>
      </c>
      <c r="M46" s="54"/>
      <c r="N46" s="54"/>
      <c r="O46" s="58"/>
    </row>
    <row r="47" spans="1:16" ht="34.950000000000003" customHeight="1" x14ac:dyDescent="0.3">
      <c r="A47" s="25">
        <v>31</v>
      </c>
      <c r="B47" s="151" t="s">
        <v>70</v>
      </c>
      <c r="C47" s="62" t="s">
        <v>156</v>
      </c>
      <c r="D47" s="32">
        <v>600</v>
      </c>
      <c r="E47" s="29" t="s">
        <v>360</v>
      </c>
      <c r="F47" s="31" t="s">
        <v>158</v>
      </c>
      <c r="G47" s="97">
        <v>6000</v>
      </c>
      <c r="H47" s="97">
        <v>4500</v>
      </c>
      <c r="I47" s="51">
        <v>5000</v>
      </c>
      <c r="J47" s="125">
        <v>1600</v>
      </c>
      <c r="K47" s="96">
        <f>(I47+G47+H47)/3</f>
        <v>5166.666666666667</v>
      </c>
      <c r="L47" s="72">
        <f t="shared" si="1"/>
        <v>3100000</v>
      </c>
      <c r="M47" s="54"/>
      <c r="N47" s="54"/>
      <c r="O47" s="58"/>
    </row>
    <row r="48" spans="1:16" ht="34.950000000000003" customHeight="1" x14ac:dyDescent="0.3">
      <c r="A48" s="25">
        <v>32</v>
      </c>
      <c r="B48" s="153"/>
      <c r="C48" s="62" t="s">
        <v>167</v>
      </c>
      <c r="D48" s="32">
        <v>200</v>
      </c>
      <c r="E48" s="29" t="s">
        <v>360</v>
      </c>
      <c r="F48" s="31" t="s">
        <v>158</v>
      </c>
      <c r="G48" s="97">
        <v>3000</v>
      </c>
      <c r="H48" s="97">
        <v>4000</v>
      </c>
      <c r="I48" s="51">
        <v>3500</v>
      </c>
      <c r="J48" s="121">
        <v>4000</v>
      </c>
      <c r="K48" s="96">
        <f t="shared" ref="K48:K67" si="2">(I48+G48+H48+J48)/4</f>
        <v>3625</v>
      </c>
      <c r="L48" s="72">
        <f t="shared" si="1"/>
        <v>725000</v>
      </c>
      <c r="M48" s="54"/>
      <c r="N48" s="54"/>
      <c r="O48" s="58"/>
    </row>
    <row r="49" spans="1:15" ht="34.950000000000003" customHeight="1" x14ac:dyDescent="0.3">
      <c r="A49" s="25">
        <v>33</v>
      </c>
      <c r="B49" s="152"/>
      <c r="C49" s="62" t="s">
        <v>155</v>
      </c>
      <c r="D49" s="32">
        <v>600</v>
      </c>
      <c r="E49" s="29" t="s">
        <v>360</v>
      </c>
      <c r="F49" s="31" t="s">
        <v>158</v>
      </c>
      <c r="G49" s="97">
        <v>1500</v>
      </c>
      <c r="H49" s="97">
        <v>2000</v>
      </c>
      <c r="I49" s="51">
        <v>2500</v>
      </c>
      <c r="J49" s="121">
        <v>2500</v>
      </c>
      <c r="K49" s="96">
        <f t="shared" si="2"/>
        <v>2125</v>
      </c>
      <c r="L49" s="72">
        <f t="shared" si="1"/>
        <v>1275000</v>
      </c>
      <c r="M49" s="54"/>
      <c r="N49" s="54"/>
      <c r="O49" s="58"/>
    </row>
    <row r="50" spans="1:15" ht="94.5" customHeight="1" x14ac:dyDescent="0.3">
      <c r="A50" s="25">
        <v>34</v>
      </c>
      <c r="B50" s="36" t="s">
        <v>71</v>
      </c>
      <c r="C50" s="62" t="s">
        <v>363</v>
      </c>
      <c r="D50" s="32">
        <v>26</v>
      </c>
      <c r="E50" s="35" t="s">
        <v>442</v>
      </c>
      <c r="F50" s="37" t="s">
        <v>8</v>
      </c>
      <c r="G50" s="101">
        <v>1100000</v>
      </c>
      <c r="H50" s="101">
        <v>900000</v>
      </c>
      <c r="I50" s="51">
        <v>900000</v>
      </c>
      <c r="J50" s="121">
        <v>850000</v>
      </c>
      <c r="K50" s="96">
        <f t="shared" si="2"/>
        <v>937500</v>
      </c>
      <c r="L50" s="72">
        <f t="shared" si="1"/>
        <v>24375000</v>
      </c>
      <c r="M50" s="54"/>
      <c r="N50" s="54"/>
      <c r="O50" s="58"/>
    </row>
    <row r="51" spans="1:15" ht="63.75" customHeight="1" x14ac:dyDescent="0.3">
      <c r="A51" s="25">
        <v>35</v>
      </c>
      <c r="B51" s="26" t="s">
        <v>73</v>
      </c>
      <c r="C51" s="62" t="s">
        <v>364</v>
      </c>
      <c r="D51" s="32">
        <v>270</v>
      </c>
      <c r="E51" s="35" t="s">
        <v>442</v>
      </c>
      <c r="F51" s="31" t="s">
        <v>8</v>
      </c>
      <c r="G51" s="97">
        <v>90000</v>
      </c>
      <c r="H51" s="97">
        <v>80000</v>
      </c>
      <c r="I51" s="51">
        <v>60000</v>
      </c>
      <c r="J51" s="121">
        <v>50000</v>
      </c>
      <c r="K51" s="96">
        <f t="shared" si="2"/>
        <v>70000</v>
      </c>
      <c r="L51" s="72">
        <f t="shared" si="1"/>
        <v>18900000</v>
      </c>
      <c r="M51" s="54"/>
      <c r="N51" s="54"/>
      <c r="O51" s="58"/>
    </row>
    <row r="52" spans="1:15" ht="78.75" customHeight="1" x14ac:dyDescent="0.3">
      <c r="A52" s="25">
        <v>36</v>
      </c>
      <c r="B52" s="26" t="s">
        <v>75</v>
      </c>
      <c r="C52" s="62" t="s">
        <v>365</v>
      </c>
      <c r="D52" s="32">
        <v>50</v>
      </c>
      <c r="E52" s="35" t="s">
        <v>442</v>
      </c>
      <c r="F52" s="31" t="s">
        <v>158</v>
      </c>
      <c r="G52" s="97">
        <v>220000</v>
      </c>
      <c r="H52" s="97">
        <v>350000</v>
      </c>
      <c r="I52" s="51">
        <v>240000</v>
      </c>
      <c r="J52" s="121">
        <v>150000</v>
      </c>
      <c r="K52" s="96">
        <f t="shared" si="2"/>
        <v>240000</v>
      </c>
      <c r="L52" s="72">
        <f t="shared" si="1"/>
        <v>12000000</v>
      </c>
      <c r="M52" s="54"/>
      <c r="N52" s="54"/>
      <c r="O52" s="58"/>
    </row>
    <row r="53" spans="1:15" ht="78.75" customHeight="1" x14ac:dyDescent="0.3">
      <c r="A53" s="25">
        <v>37</v>
      </c>
      <c r="B53" s="26" t="s">
        <v>381</v>
      </c>
      <c r="C53" s="62" t="s">
        <v>382</v>
      </c>
      <c r="D53" s="32">
        <v>2</v>
      </c>
      <c r="E53" s="35" t="s">
        <v>442</v>
      </c>
      <c r="F53" s="31" t="s">
        <v>158</v>
      </c>
      <c r="G53" s="97">
        <v>200000</v>
      </c>
      <c r="H53" s="97">
        <v>400000</v>
      </c>
      <c r="I53" s="51">
        <v>160000</v>
      </c>
      <c r="J53" s="121">
        <v>500000</v>
      </c>
      <c r="K53" s="96">
        <f t="shared" si="2"/>
        <v>315000</v>
      </c>
      <c r="L53" s="72">
        <f t="shared" si="1"/>
        <v>630000</v>
      </c>
      <c r="M53" s="54"/>
      <c r="N53" s="54"/>
      <c r="O53" s="58"/>
    </row>
    <row r="54" spans="1:15" ht="55.5" customHeight="1" x14ac:dyDescent="0.3">
      <c r="A54" s="25">
        <v>38</v>
      </c>
      <c r="B54" s="26" t="s">
        <v>79</v>
      </c>
      <c r="C54" s="62" t="s">
        <v>80</v>
      </c>
      <c r="D54" s="32">
        <v>510</v>
      </c>
      <c r="E54" s="77" t="s">
        <v>360</v>
      </c>
      <c r="F54" s="31" t="s">
        <v>8</v>
      </c>
      <c r="G54" s="97">
        <v>6000</v>
      </c>
      <c r="H54" s="97">
        <v>6250</v>
      </c>
      <c r="I54" s="51">
        <v>8000</v>
      </c>
      <c r="J54" s="121">
        <v>5000</v>
      </c>
      <c r="K54" s="96">
        <f t="shared" si="2"/>
        <v>6312.5</v>
      </c>
      <c r="L54" s="72">
        <f t="shared" si="1"/>
        <v>3219375</v>
      </c>
      <c r="M54" s="54"/>
      <c r="N54" s="54"/>
      <c r="O54" s="58"/>
    </row>
    <row r="55" spans="1:15" ht="34.950000000000003" customHeight="1" x14ac:dyDescent="0.3">
      <c r="A55" s="25">
        <v>39</v>
      </c>
      <c r="B55" s="151" t="s">
        <v>81</v>
      </c>
      <c r="C55" s="62" t="s">
        <v>157</v>
      </c>
      <c r="D55" s="32">
        <v>1500</v>
      </c>
      <c r="E55" s="29" t="s">
        <v>360</v>
      </c>
      <c r="F55" s="31" t="s">
        <v>8</v>
      </c>
      <c r="G55" s="97">
        <v>1400</v>
      </c>
      <c r="H55" s="97">
        <v>1650</v>
      </c>
      <c r="I55" s="51">
        <v>1500</v>
      </c>
      <c r="J55" s="121">
        <v>1500</v>
      </c>
      <c r="K55" s="96">
        <f t="shared" si="2"/>
        <v>1512.5</v>
      </c>
      <c r="L55" s="72">
        <f t="shared" si="1"/>
        <v>2268750</v>
      </c>
      <c r="M55" s="54"/>
      <c r="N55" s="54"/>
      <c r="O55" s="58"/>
    </row>
    <row r="56" spans="1:15" ht="34.950000000000003" customHeight="1" x14ac:dyDescent="0.3">
      <c r="A56" s="25">
        <v>40</v>
      </c>
      <c r="B56" s="153"/>
      <c r="C56" s="62" t="s">
        <v>351</v>
      </c>
      <c r="D56" s="32">
        <v>1500</v>
      </c>
      <c r="E56" s="29" t="s">
        <v>360</v>
      </c>
      <c r="F56" s="31" t="s">
        <v>158</v>
      </c>
      <c r="G56" s="97">
        <v>1500</v>
      </c>
      <c r="H56" s="97">
        <v>2000</v>
      </c>
      <c r="I56" s="51">
        <v>1500</v>
      </c>
      <c r="J56" s="121">
        <v>1500</v>
      </c>
      <c r="K56" s="96">
        <f t="shared" si="2"/>
        <v>1625</v>
      </c>
      <c r="L56" s="72">
        <f t="shared" si="1"/>
        <v>2437500</v>
      </c>
      <c r="M56" s="54"/>
      <c r="N56" s="54"/>
      <c r="O56" s="58"/>
    </row>
    <row r="57" spans="1:15" ht="34.950000000000003" customHeight="1" x14ac:dyDescent="0.3">
      <c r="A57" s="25">
        <v>41</v>
      </c>
      <c r="B57" s="153"/>
      <c r="C57" s="62" t="s">
        <v>168</v>
      </c>
      <c r="D57" s="32">
        <v>1500</v>
      </c>
      <c r="E57" s="29" t="s">
        <v>360</v>
      </c>
      <c r="F57" s="31" t="s">
        <v>2</v>
      </c>
      <c r="G57" s="97">
        <v>1500</v>
      </c>
      <c r="H57" s="97">
        <v>2000</v>
      </c>
      <c r="I57" s="51">
        <v>2500</v>
      </c>
      <c r="J57" s="121">
        <v>2500</v>
      </c>
      <c r="K57" s="96">
        <f t="shared" si="2"/>
        <v>2125</v>
      </c>
      <c r="L57" s="72">
        <f t="shared" si="1"/>
        <v>3187500</v>
      </c>
      <c r="M57" s="54"/>
      <c r="N57" s="54"/>
      <c r="O57" s="58"/>
    </row>
    <row r="58" spans="1:15" ht="64.5" customHeight="1" x14ac:dyDescent="0.3">
      <c r="A58" s="25">
        <v>42</v>
      </c>
      <c r="B58" s="152"/>
      <c r="C58" s="62" t="s">
        <v>169</v>
      </c>
      <c r="D58" s="32">
        <v>1500</v>
      </c>
      <c r="E58" s="29" t="s">
        <v>360</v>
      </c>
      <c r="F58" s="31" t="s">
        <v>28</v>
      </c>
      <c r="G58" s="97">
        <v>7000</v>
      </c>
      <c r="H58" s="97">
        <v>6200</v>
      </c>
      <c r="I58" s="51">
        <v>6500</v>
      </c>
      <c r="J58" s="121">
        <v>4200</v>
      </c>
      <c r="K58" s="96">
        <f t="shared" si="2"/>
        <v>5975</v>
      </c>
      <c r="L58" s="72">
        <f t="shared" si="1"/>
        <v>8962500</v>
      </c>
      <c r="M58" s="54"/>
      <c r="N58" s="54"/>
      <c r="O58" s="58"/>
    </row>
    <row r="59" spans="1:15" ht="67.5" customHeight="1" x14ac:dyDescent="0.3">
      <c r="A59" s="25">
        <v>43</v>
      </c>
      <c r="B59" s="26" t="s">
        <v>111</v>
      </c>
      <c r="C59" s="62" t="s">
        <v>112</v>
      </c>
      <c r="D59" s="32">
        <v>3</v>
      </c>
      <c r="E59" s="30" t="s">
        <v>366</v>
      </c>
      <c r="F59" s="31" t="s">
        <v>28</v>
      </c>
      <c r="G59" s="97">
        <v>10500000</v>
      </c>
      <c r="H59" s="97">
        <v>9500000</v>
      </c>
      <c r="I59" s="105">
        <v>9800000</v>
      </c>
      <c r="J59" s="124">
        <v>7600000</v>
      </c>
      <c r="K59" s="96">
        <f t="shared" si="2"/>
        <v>9350000</v>
      </c>
      <c r="L59" s="72">
        <f t="shared" si="1"/>
        <v>28050000</v>
      </c>
      <c r="M59" s="54"/>
      <c r="N59" s="54"/>
      <c r="O59" s="58"/>
    </row>
    <row r="60" spans="1:15" ht="34.950000000000003" customHeight="1" x14ac:dyDescent="0.3">
      <c r="A60" s="25">
        <v>46</v>
      </c>
      <c r="B60" s="26" t="s">
        <v>120</v>
      </c>
      <c r="C60" s="62" t="s">
        <v>121</v>
      </c>
      <c r="D60" s="32">
        <v>8</v>
      </c>
      <c r="E60" s="35" t="s">
        <v>443</v>
      </c>
      <c r="F60" s="31" t="s">
        <v>2</v>
      </c>
      <c r="G60" s="97">
        <v>900000</v>
      </c>
      <c r="H60" s="97">
        <v>900000</v>
      </c>
      <c r="I60" s="51">
        <v>900000</v>
      </c>
      <c r="J60" s="121">
        <v>1000000</v>
      </c>
      <c r="K60" s="96">
        <f t="shared" si="2"/>
        <v>925000</v>
      </c>
      <c r="L60" s="72">
        <f t="shared" si="1"/>
        <v>7400000</v>
      </c>
      <c r="M60" s="54"/>
      <c r="N60" s="54"/>
      <c r="O60" s="58"/>
    </row>
    <row r="61" spans="1:15" ht="34.950000000000003" customHeight="1" x14ac:dyDescent="0.3">
      <c r="A61" s="25">
        <v>47</v>
      </c>
      <c r="B61" s="26" t="s">
        <v>123</v>
      </c>
      <c r="C61" s="62" t="s">
        <v>349</v>
      </c>
      <c r="D61" s="32">
        <v>3</v>
      </c>
      <c r="E61" s="30" t="s">
        <v>367</v>
      </c>
      <c r="F61" s="31" t="s">
        <v>445</v>
      </c>
      <c r="G61" s="97">
        <v>1800000</v>
      </c>
      <c r="H61" s="97">
        <v>1600000</v>
      </c>
      <c r="I61" s="51">
        <v>2000000</v>
      </c>
      <c r="J61" s="121">
        <v>1500000</v>
      </c>
      <c r="K61" s="96">
        <f t="shared" si="2"/>
        <v>1725000</v>
      </c>
      <c r="L61" s="72">
        <f t="shared" si="1"/>
        <v>5175000</v>
      </c>
      <c r="M61" s="54"/>
      <c r="N61" s="54"/>
      <c r="O61" s="58"/>
    </row>
    <row r="62" spans="1:15" ht="56.25" customHeight="1" x14ac:dyDescent="0.3">
      <c r="A62" s="25">
        <v>48</v>
      </c>
      <c r="B62" s="26" t="s">
        <v>125</v>
      </c>
      <c r="C62" s="62" t="s">
        <v>348</v>
      </c>
      <c r="D62" s="32">
        <v>28000</v>
      </c>
      <c r="E62" s="29" t="s">
        <v>360</v>
      </c>
      <c r="F62" s="31" t="s">
        <v>2</v>
      </c>
      <c r="G62" s="97">
        <v>1500</v>
      </c>
      <c r="H62" s="97">
        <v>1200</v>
      </c>
      <c r="I62" s="51">
        <v>1000</v>
      </c>
      <c r="J62" s="121">
        <v>980</v>
      </c>
      <c r="K62" s="96">
        <f t="shared" si="2"/>
        <v>1170</v>
      </c>
      <c r="L62" s="72">
        <f t="shared" si="1"/>
        <v>32760000</v>
      </c>
      <c r="M62" s="54"/>
      <c r="N62" s="54"/>
      <c r="O62" s="58"/>
    </row>
    <row r="63" spans="1:15" ht="42" customHeight="1" x14ac:dyDescent="0.3">
      <c r="A63" s="25">
        <v>49</v>
      </c>
      <c r="B63" s="153" t="s">
        <v>376</v>
      </c>
      <c r="C63" s="62" t="s">
        <v>385</v>
      </c>
      <c r="D63" s="28">
        <v>6</v>
      </c>
      <c r="E63" s="35" t="s">
        <v>442</v>
      </c>
      <c r="F63" s="31" t="s">
        <v>2</v>
      </c>
      <c r="G63" s="97">
        <v>300000</v>
      </c>
      <c r="H63" s="97">
        <v>320000</v>
      </c>
      <c r="I63" s="51">
        <v>360000</v>
      </c>
      <c r="J63" s="121">
        <v>280000</v>
      </c>
      <c r="K63" s="96">
        <f t="shared" si="2"/>
        <v>315000</v>
      </c>
      <c r="L63" s="72">
        <f t="shared" si="1"/>
        <v>1890000</v>
      </c>
      <c r="M63" s="54"/>
      <c r="N63" s="54"/>
      <c r="O63" s="58"/>
    </row>
    <row r="64" spans="1:15" ht="36.75" customHeight="1" x14ac:dyDescent="0.3">
      <c r="A64" s="25">
        <v>50</v>
      </c>
      <c r="B64" s="153"/>
      <c r="C64" s="62" t="s">
        <v>386</v>
      </c>
      <c r="D64" s="28">
        <v>6</v>
      </c>
      <c r="E64" s="35" t="s">
        <v>442</v>
      </c>
      <c r="F64" s="31" t="s">
        <v>2</v>
      </c>
      <c r="G64" s="97">
        <v>350000</v>
      </c>
      <c r="H64" s="97">
        <v>360000</v>
      </c>
      <c r="I64" s="51">
        <v>360000</v>
      </c>
      <c r="J64" s="121">
        <v>260000</v>
      </c>
      <c r="K64" s="96">
        <f t="shared" si="2"/>
        <v>332500</v>
      </c>
      <c r="L64" s="72">
        <f t="shared" si="1"/>
        <v>1995000</v>
      </c>
      <c r="M64" s="54"/>
      <c r="N64" s="54"/>
      <c r="O64" s="58"/>
    </row>
    <row r="65" spans="1:16" ht="52.5" customHeight="1" x14ac:dyDescent="0.3">
      <c r="A65" s="25">
        <v>51</v>
      </c>
      <c r="B65" s="153"/>
      <c r="C65" s="62" t="s">
        <v>447</v>
      </c>
      <c r="D65" s="28">
        <v>6</v>
      </c>
      <c r="E65" s="35" t="s">
        <v>442</v>
      </c>
      <c r="F65" s="31" t="s">
        <v>2</v>
      </c>
      <c r="G65" s="97">
        <v>1100000</v>
      </c>
      <c r="H65" s="97">
        <v>800000</v>
      </c>
      <c r="I65" s="51">
        <v>1050000</v>
      </c>
      <c r="J65" s="121">
        <v>950000</v>
      </c>
      <c r="K65" s="96">
        <f t="shared" si="2"/>
        <v>975000</v>
      </c>
      <c r="L65" s="72">
        <f t="shared" si="1"/>
        <v>5850000</v>
      </c>
      <c r="M65" s="54"/>
      <c r="N65" s="54"/>
      <c r="O65" s="58"/>
    </row>
    <row r="66" spans="1:16" ht="44.25" customHeight="1" x14ac:dyDescent="0.3">
      <c r="A66" s="25">
        <v>52</v>
      </c>
      <c r="B66" s="153"/>
      <c r="C66" s="62" t="s">
        <v>448</v>
      </c>
      <c r="D66" s="28">
        <v>60</v>
      </c>
      <c r="E66" s="35" t="s">
        <v>442</v>
      </c>
      <c r="F66" s="31" t="s">
        <v>2</v>
      </c>
      <c r="G66" s="97">
        <v>30000</v>
      </c>
      <c r="H66" s="97">
        <v>30000</v>
      </c>
      <c r="I66" s="51">
        <v>36000</v>
      </c>
      <c r="J66" s="121">
        <v>25000</v>
      </c>
      <c r="K66" s="96">
        <f t="shared" si="2"/>
        <v>30250</v>
      </c>
      <c r="L66" s="72">
        <f t="shared" si="1"/>
        <v>1815000</v>
      </c>
      <c r="M66" s="54"/>
      <c r="N66" s="54"/>
      <c r="O66" s="58"/>
    </row>
    <row r="67" spans="1:16" ht="41.25" customHeight="1" x14ac:dyDescent="0.3">
      <c r="A67" s="25">
        <v>53</v>
      </c>
      <c r="B67" s="153"/>
      <c r="C67" s="62" t="s">
        <v>449</v>
      </c>
      <c r="D67" s="28">
        <v>20</v>
      </c>
      <c r="E67" s="35" t="s">
        <v>442</v>
      </c>
      <c r="F67" s="31" t="s">
        <v>2</v>
      </c>
      <c r="G67" s="97">
        <v>50000</v>
      </c>
      <c r="H67" s="97">
        <v>80000</v>
      </c>
      <c r="I67" s="51">
        <v>72000</v>
      </c>
      <c r="J67" s="121">
        <v>65000</v>
      </c>
      <c r="K67" s="96">
        <f t="shared" si="2"/>
        <v>66750</v>
      </c>
      <c r="L67" s="72">
        <f t="shared" si="1"/>
        <v>1335000</v>
      </c>
      <c r="M67" s="54"/>
      <c r="N67" s="54"/>
      <c r="O67" s="58"/>
    </row>
    <row r="68" spans="1:16" ht="42" customHeight="1" x14ac:dyDescent="0.3">
      <c r="A68" s="25">
        <v>54</v>
      </c>
      <c r="B68" s="153"/>
      <c r="C68" s="62" t="s">
        <v>450</v>
      </c>
      <c r="D68" s="28">
        <v>20</v>
      </c>
      <c r="E68" s="35" t="s">
        <v>442</v>
      </c>
      <c r="F68" s="31" t="s">
        <v>2</v>
      </c>
      <c r="G68" s="97">
        <v>15000</v>
      </c>
      <c r="H68" s="97">
        <v>22000</v>
      </c>
      <c r="I68" s="76">
        <v>72000</v>
      </c>
      <c r="J68" s="124">
        <v>36000</v>
      </c>
      <c r="K68" s="96">
        <f>(G68+H68+J68)/3</f>
        <v>24333.333333333332</v>
      </c>
      <c r="L68" s="72">
        <f t="shared" si="1"/>
        <v>486666.66666666663</v>
      </c>
      <c r="M68" s="54"/>
      <c r="N68" s="54"/>
      <c r="O68" s="58"/>
    </row>
    <row r="69" spans="1:16" ht="32.25" customHeight="1" x14ac:dyDescent="0.3">
      <c r="A69" s="25">
        <v>55</v>
      </c>
      <c r="B69" s="153"/>
      <c r="C69" s="62" t="s">
        <v>377</v>
      </c>
      <c r="D69" s="28">
        <v>30</v>
      </c>
      <c r="E69" s="35" t="s">
        <v>442</v>
      </c>
      <c r="F69" s="31" t="s">
        <v>2</v>
      </c>
      <c r="G69" s="97">
        <v>30000</v>
      </c>
      <c r="H69" s="97">
        <v>42000</v>
      </c>
      <c r="I69" s="51">
        <v>50000</v>
      </c>
      <c r="J69" s="121">
        <v>45000</v>
      </c>
      <c r="K69" s="96">
        <f>(I69+G69+H69+J69)/4</f>
        <v>41750</v>
      </c>
      <c r="L69" s="72">
        <f t="shared" si="1"/>
        <v>1252500</v>
      </c>
      <c r="M69" s="54"/>
      <c r="N69" s="54"/>
      <c r="O69" s="58"/>
    </row>
    <row r="70" spans="1:16" ht="32.25" customHeight="1" x14ac:dyDescent="0.3">
      <c r="A70" s="25">
        <v>56</v>
      </c>
      <c r="B70" s="153"/>
      <c r="C70" s="62" t="s">
        <v>451</v>
      </c>
      <c r="D70" s="28">
        <v>40</v>
      </c>
      <c r="E70" s="35" t="s">
        <v>442</v>
      </c>
      <c r="F70" s="31" t="s">
        <v>2</v>
      </c>
      <c r="G70" s="97">
        <v>254000</v>
      </c>
      <c r="H70" s="97">
        <v>220000</v>
      </c>
      <c r="I70" s="51">
        <v>200000</v>
      </c>
      <c r="J70" s="121">
        <v>200000</v>
      </c>
      <c r="K70" s="96">
        <f>(I70+G70+H70+J70)/4</f>
        <v>218500</v>
      </c>
      <c r="L70" s="72">
        <f t="shared" si="1"/>
        <v>8740000</v>
      </c>
      <c r="M70" s="54"/>
      <c r="N70" s="54"/>
      <c r="O70" s="58"/>
    </row>
    <row r="71" spans="1:16" ht="68.25" customHeight="1" x14ac:dyDescent="0.3">
      <c r="A71" s="25">
        <v>57</v>
      </c>
      <c r="B71" s="153"/>
      <c r="C71" s="62" t="s">
        <v>352</v>
      </c>
      <c r="D71" s="28">
        <v>2</v>
      </c>
      <c r="E71" s="35" t="s">
        <v>442</v>
      </c>
      <c r="F71" s="31" t="s">
        <v>2</v>
      </c>
      <c r="G71" s="97">
        <v>1000000</v>
      </c>
      <c r="H71" s="103">
        <v>4000000</v>
      </c>
      <c r="I71" s="51">
        <v>1200000</v>
      </c>
      <c r="J71" s="121">
        <v>1200000</v>
      </c>
      <c r="K71" s="96">
        <f>(I71+G71+J71)/3</f>
        <v>1133333.3333333333</v>
      </c>
      <c r="L71" s="72">
        <f t="shared" si="1"/>
        <v>2266666.6666666665</v>
      </c>
      <c r="M71" s="54"/>
      <c r="N71" s="54"/>
      <c r="O71" s="58"/>
    </row>
    <row r="72" spans="1:16" ht="54" customHeight="1" x14ac:dyDescent="0.3">
      <c r="A72" s="25">
        <v>58</v>
      </c>
      <c r="B72" s="152"/>
      <c r="C72" s="62" t="s">
        <v>353</v>
      </c>
      <c r="D72" s="28">
        <v>60</v>
      </c>
      <c r="E72" s="35" t="s">
        <v>442</v>
      </c>
      <c r="F72" s="31" t="s">
        <v>2</v>
      </c>
      <c r="G72" s="97">
        <v>25000</v>
      </c>
      <c r="H72" s="97">
        <v>30000</v>
      </c>
      <c r="I72" s="51">
        <v>30000</v>
      </c>
      <c r="J72" s="121">
        <v>30000</v>
      </c>
      <c r="K72" s="96">
        <f>(I72+G72+H72+J72)/4</f>
        <v>28750</v>
      </c>
      <c r="L72" s="72">
        <f t="shared" si="1"/>
        <v>1725000</v>
      </c>
      <c r="M72" s="54"/>
      <c r="N72" s="54"/>
      <c r="O72" s="58"/>
    </row>
    <row r="73" spans="1:16" ht="44.25" customHeight="1" x14ac:dyDescent="0.3">
      <c r="A73" s="25">
        <v>59</v>
      </c>
      <c r="B73" s="26" t="s">
        <v>354</v>
      </c>
      <c r="C73" s="62" t="s">
        <v>387</v>
      </c>
      <c r="D73" s="28">
        <v>520</v>
      </c>
      <c r="E73" s="35" t="s">
        <v>442</v>
      </c>
      <c r="F73" s="31" t="s">
        <v>2</v>
      </c>
      <c r="G73" s="97">
        <v>4000</v>
      </c>
      <c r="H73" s="97">
        <v>2200</v>
      </c>
      <c r="I73" s="51">
        <v>2500</v>
      </c>
      <c r="J73" s="121">
        <v>3500</v>
      </c>
      <c r="K73" s="96">
        <f>(I73+G73+H73+J73)/4</f>
        <v>3050</v>
      </c>
      <c r="L73" s="72">
        <f>K73*D73</f>
        <v>1586000</v>
      </c>
      <c r="M73" s="54"/>
      <c r="N73" s="54"/>
      <c r="O73" s="58"/>
    </row>
    <row r="74" spans="1:16" ht="40.5" customHeight="1" x14ac:dyDescent="0.3">
      <c r="A74" s="25">
        <v>60</v>
      </c>
      <c r="B74" s="26" t="s">
        <v>355</v>
      </c>
      <c r="C74" s="62" t="s">
        <v>356</v>
      </c>
      <c r="D74" s="28">
        <v>2</v>
      </c>
      <c r="E74" s="29" t="s">
        <v>360</v>
      </c>
      <c r="F74" s="31" t="s">
        <v>2</v>
      </c>
      <c r="G74" s="97">
        <v>300000</v>
      </c>
      <c r="H74" s="97">
        <v>400000</v>
      </c>
      <c r="I74" s="76">
        <v>0</v>
      </c>
      <c r="J74" s="124">
        <v>1600000</v>
      </c>
      <c r="K74" s="96">
        <f>(J74+G74+H74)/3</f>
        <v>766666.66666666663</v>
      </c>
      <c r="L74" s="72">
        <f t="shared" si="1"/>
        <v>1533333.3333333333</v>
      </c>
      <c r="M74" s="54"/>
      <c r="N74" s="54"/>
      <c r="O74" s="58"/>
    </row>
    <row r="75" spans="1:16" ht="38.25" customHeight="1" x14ac:dyDescent="0.3">
      <c r="A75" s="25">
        <v>61</v>
      </c>
      <c r="B75" s="26" t="s">
        <v>357</v>
      </c>
      <c r="C75" s="62" t="s">
        <v>358</v>
      </c>
      <c r="D75" s="28">
        <v>2</v>
      </c>
      <c r="E75" s="29" t="s">
        <v>360</v>
      </c>
      <c r="F75" s="31" t="s">
        <v>54</v>
      </c>
      <c r="G75" s="97">
        <v>200000</v>
      </c>
      <c r="H75" s="97">
        <v>350000</v>
      </c>
      <c r="I75" s="76">
        <v>0</v>
      </c>
      <c r="J75" s="124">
        <v>1250000</v>
      </c>
      <c r="K75" s="96">
        <f>(J75+G75+H75)/3</f>
        <v>600000</v>
      </c>
      <c r="L75" s="72">
        <f t="shared" si="1"/>
        <v>1200000</v>
      </c>
      <c r="M75" s="54"/>
      <c r="N75" s="54"/>
      <c r="O75" s="58"/>
    </row>
    <row r="76" spans="1:16" ht="38.25" customHeight="1" x14ac:dyDescent="0.3">
      <c r="A76" s="25">
        <v>40</v>
      </c>
      <c r="B76" s="82" t="s">
        <v>82</v>
      </c>
      <c r="C76" s="88" t="s">
        <v>408</v>
      </c>
      <c r="D76" s="89">
        <v>15</v>
      </c>
      <c r="E76" s="85" t="s">
        <v>360</v>
      </c>
      <c r="F76" s="90" t="s">
        <v>84</v>
      </c>
      <c r="G76" s="129">
        <v>1490607</v>
      </c>
      <c r="H76" s="129"/>
      <c r="I76" s="129"/>
      <c r="J76" s="129"/>
      <c r="K76" s="129"/>
      <c r="L76" s="91">
        <f>+G76*D76</f>
        <v>22359105</v>
      </c>
      <c r="M76" s="54"/>
      <c r="N76" s="54"/>
      <c r="O76" s="58"/>
      <c r="P76" s="104"/>
    </row>
    <row r="77" spans="1:16" ht="38.25" customHeight="1" x14ac:dyDescent="0.3">
      <c r="A77" s="25">
        <v>41</v>
      </c>
      <c r="B77" s="82" t="s">
        <v>85</v>
      </c>
      <c r="C77" s="88" t="s">
        <v>409</v>
      </c>
      <c r="D77" s="89">
        <v>4</v>
      </c>
      <c r="E77" s="85" t="s">
        <v>360</v>
      </c>
      <c r="F77" s="90" t="s">
        <v>87</v>
      </c>
      <c r="G77" s="129">
        <v>3350282</v>
      </c>
      <c r="H77" s="129"/>
      <c r="I77" s="129"/>
      <c r="J77" s="129"/>
      <c r="K77" s="129"/>
      <c r="L77" s="91">
        <f>+G77*D77</f>
        <v>13401128</v>
      </c>
      <c r="M77" s="54"/>
      <c r="N77" s="54"/>
      <c r="O77" s="58"/>
      <c r="P77" s="104"/>
    </row>
    <row r="78" spans="1:16" ht="38.25" customHeight="1" x14ac:dyDescent="0.3">
      <c r="A78" s="25">
        <v>42</v>
      </c>
      <c r="B78" s="82" t="s">
        <v>88</v>
      </c>
      <c r="C78" s="88" t="s">
        <v>410</v>
      </c>
      <c r="D78" s="89">
        <v>2</v>
      </c>
      <c r="E78" s="85" t="s">
        <v>360</v>
      </c>
      <c r="F78" s="90" t="s">
        <v>170</v>
      </c>
      <c r="G78" s="129">
        <v>29045044</v>
      </c>
      <c r="H78" s="129"/>
      <c r="I78" s="129"/>
      <c r="J78" s="129"/>
      <c r="K78" s="129"/>
      <c r="L78" s="91">
        <f>+G78*D78</f>
        <v>58090088</v>
      </c>
      <c r="M78" s="54"/>
      <c r="N78" s="54"/>
      <c r="O78" s="58"/>
      <c r="P78" s="104"/>
    </row>
    <row r="79" spans="1:16" ht="38.25" customHeight="1" x14ac:dyDescent="0.3">
      <c r="A79" s="25">
        <v>43</v>
      </c>
      <c r="B79" s="130" t="s">
        <v>90</v>
      </c>
      <c r="C79" s="139" t="s">
        <v>411</v>
      </c>
      <c r="D79" s="89" t="s">
        <v>93</v>
      </c>
      <c r="E79" s="89" t="s">
        <v>412</v>
      </c>
      <c r="F79" s="90" t="s">
        <v>92</v>
      </c>
      <c r="G79" s="129">
        <v>3788484</v>
      </c>
      <c r="H79" s="129"/>
      <c r="I79" s="129"/>
      <c r="J79" s="129"/>
      <c r="K79" s="129"/>
      <c r="L79" s="91">
        <f t="shared" ref="L79:L85" si="3">G79</f>
        <v>3788484</v>
      </c>
      <c r="M79" s="54"/>
      <c r="N79" s="54"/>
      <c r="O79" s="58"/>
      <c r="P79" s="104"/>
    </row>
    <row r="80" spans="1:16" ht="38.25" customHeight="1" x14ac:dyDescent="0.3">
      <c r="A80" s="25">
        <v>44</v>
      </c>
      <c r="B80" s="131"/>
      <c r="C80" s="140"/>
      <c r="D80" s="89" t="s">
        <v>95</v>
      </c>
      <c r="E80" s="89" t="s">
        <v>95</v>
      </c>
      <c r="F80" s="90" t="s">
        <v>94</v>
      </c>
      <c r="G80" s="129">
        <v>6314140</v>
      </c>
      <c r="H80" s="129"/>
      <c r="I80" s="129"/>
      <c r="J80" s="129"/>
      <c r="K80" s="129"/>
      <c r="L80" s="91">
        <f t="shared" si="3"/>
        <v>6314140</v>
      </c>
      <c r="M80" s="54"/>
      <c r="N80" s="54"/>
      <c r="O80" s="58"/>
      <c r="P80" s="104"/>
    </row>
    <row r="81" spans="1:16" ht="38.25" customHeight="1" x14ac:dyDescent="0.3">
      <c r="A81" s="25">
        <v>45</v>
      </c>
      <c r="B81" s="131"/>
      <c r="C81" s="141"/>
      <c r="D81" s="89" t="s">
        <v>97</v>
      </c>
      <c r="E81" s="89" t="s">
        <v>97</v>
      </c>
      <c r="F81" s="90" t="s">
        <v>96</v>
      </c>
      <c r="G81" s="129">
        <v>8839796</v>
      </c>
      <c r="H81" s="129"/>
      <c r="I81" s="129"/>
      <c r="J81" s="129"/>
      <c r="K81" s="129"/>
      <c r="L81" s="91">
        <f t="shared" si="3"/>
        <v>8839796</v>
      </c>
      <c r="M81" s="54"/>
      <c r="N81" s="54"/>
      <c r="O81" s="58"/>
      <c r="P81" s="104"/>
    </row>
    <row r="82" spans="1:16" ht="38.25" customHeight="1" x14ac:dyDescent="0.3">
      <c r="A82" s="25">
        <v>46</v>
      </c>
      <c r="B82" s="132"/>
      <c r="C82" s="88" t="s">
        <v>413</v>
      </c>
      <c r="D82" s="89" t="s">
        <v>100</v>
      </c>
      <c r="E82" s="89" t="s">
        <v>100</v>
      </c>
      <c r="F82" s="90" t="s">
        <v>99</v>
      </c>
      <c r="G82" s="129">
        <v>4760000</v>
      </c>
      <c r="H82" s="129"/>
      <c r="I82" s="129"/>
      <c r="J82" s="129"/>
      <c r="K82" s="129"/>
      <c r="L82" s="91">
        <f t="shared" si="3"/>
        <v>4760000</v>
      </c>
      <c r="M82" s="54"/>
      <c r="N82" s="54"/>
      <c r="O82" s="58"/>
      <c r="P82" s="104"/>
    </row>
    <row r="83" spans="1:16" ht="38.25" customHeight="1" x14ac:dyDescent="0.3">
      <c r="A83" s="25">
        <v>47</v>
      </c>
      <c r="B83" s="130" t="s">
        <v>101</v>
      </c>
      <c r="C83" s="139" t="s">
        <v>414</v>
      </c>
      <c r="D83" s="89" t="s">
        <v>104</v>
      </c>
      <c r="E83" s="89" t="s">
        <v>104</v>
      </c>
      <c r="F83" s="90" t="s">
        <v>103</v>
      </c>
      <c r="G83" s="129">
        <f>1300000*3</f>
        <v>3900000</v>
      </c>
      <c r="H83" s="129"/>
      <c r="I83" s="129"/>
      <c r="J83" s="129"/>
      <c r="K83" s="129"/>
      <c r="L83" s="91">
        <f t="shared" si="3"/>
        <v>3900000</v>
      </c>
      <c r="M83" s="54"/>
      <c r="N83" s="54"/>
      <c r="O83" s="58"/>
      <c r="P83" s="104"/>
    </row>
    <row r="84" spans="1:16" ht="38.25" customHeight="1" x14ac:dyDescent="0.3">
      <c r="A84" s="25">
        <v>48</v>
      </c>
      <c r="B84" s="131"/>
      <c r="C84" s="140"/>
      <c r="D84" s="89" t="s">
        <v>106</v>
      </c>
      <c r="E84" s="89" t="s">
        <v>106</v>
      </c>
      <c r="F84" s="90" t="s">
        <v>105</v>
      </c>
      <c r="G84" s="129">
        <f>1300000*4</f>
        <v>5200000</v>
      </c>
      <c r="H84" s="129"/>
      <c r="I84" s="129"/>
      <c r="J84" s="129"/>
      <c r="K84" s="129"/>
      <c r="L84" s="91">
        <f t="shared" si="3"/>
        <v>5200000</v>
      </c>
      <c r="M84" s="54"/>
      <c r="N84" s="54"/>
      <c r="O84" s="58"/>
      <c r="P84" s="104"/>
    </row>
    <row r="85" spans="1:16" ht="38.25" customHeight="1" x14ac:dyDescent="0.3">
      <c r="A85" s="25">
        <v>49</v>
      </c>
      <c r="B85" s="132"/>
      <c r="C85" s="141"/>
      <c r="D85" s="89" t="s">
        <v>108</v>
      </c>
      <c r="E85" s="89" t="s">
        <v>108</v>
      </c>
      <c r="F85" s="90" t="s">
        <v>107</v>
      </c>
      <c r="G85" s="129">
        <f>1300000*5</f>
        <v>6500000</v>
      </c>
      <c r="H85" s="129"/>
      <c r="I85" s="129"/>
      <c r="J85" s="129"/>
      <c r="K85" s="129"/>
      <c r="L85" s="91">
        <f t="shared" si="3"/>
        <v>6500000</v>
      </c>
      <c r="M85" s="54"/>
      <c r="N85" s="54"/>
      <c r="O85" s="58"/>
      <c r="P85" s="104"/>
    </row>
    <row r="86" spans="1:16" ht="38.25" customHeight="1" x14ac:dyDescent="0.3">
      <c r="A86" s="25">
        <v>81</v>
      </c>
      <c r="B86" s="130" t="s">
        <v>417</v>
      </c>
      <c r="C86" s="86" t="s">
        <v>418</v>
      </c>
      <c r="D86" s="84">
        <v>1</v>
      </c>
      <c r="E86" s="85" t="s">
        <v>416</v>
      </c>
      <c r="F86" s="90" t="s">
        <v>2</v>
      </c>
      <c r="G86" s="129">
        <v>60000</v>
      </c>
      <c r="H86" s="129"/>
      <c r="I86" s="129"/>
      <c r="J86" s="129"/>
      <c r="K86" s="129"/>
      <c r="L86" s="91">
        <f t="shared" ref="L86:L107" si="4">+G86*D86</f>
        <v>60000</v>
      </c>
      <c r="M86" s="54"/>
      <c r="N86" s="54"/>
      <c r="O86" s="58"/>
      <c r="P86" s="104"/>
    </row>
    <row r="87" spans="1:16" ht="38.25" customHeight="1" x14ac:dyDescent="0.3">
      <c r="A87" s="25">
        <v>82</v>
      </c>
      <c r="B87" s="131"/>
      <c r="C87" s="86" t="s">
        <v>419</v>
      </c>
      <c r="D87" s="84">
        <v>1</v>
      </c>
      <c r="E87" s="85" t="s">
        <v>416</v>
      </c>
      <c r="F87" s="90" t="s">
        <v>2</v>
      </c>
      <c r="G87" s="129">
        <v>40000</v>
      </c>
      <c r="H87" s="129"/>
      <c r="I87" s="129"/>
      <c r="J87" s="129"/>
      <c r="K87" s="129"/>
      <c r="L87" s="91">
        <f t="shared" si="4"/>
        <v>40000</v>
      </c>
      <c r="M87" s="54"/>
      <c r="N87" s="54"/>
      <c r="O87" s="58"/>
      <c r="P87" s="104"/>
    </row>
    <row r="88" spans="1:16" ht="38.25" customHeight="1" x14ac:dyDescent="0.3">
      <c r="A88" s="25">
        <v>83</v>
      </c>
      <c r="B88" s="132"/>
      <c r="C88" s="86" t="s">
        <v>420</v>
      </c>
      <c r="D88" s="84">
        <v>1</v>
      </c>
      <c r="E88" s="85" t="s">
        <v>416</v>
      </c>
      <c r="F88" s="90" t="s">
        <v>2</v>
      </c>
      <c r="G88" s="129">
        <v>30000</v>
      </c>
      <c r="H88" s="129"/>
      <c r="I88" s="129"/>
      <c r="J88" s="129"/>
      <c r="K88" s="129"/>
      <c r="L88" s="91">
        <f t="shared" si="4"/>
        <v>30000</v>
      </c>
      <c r="M88" s="54"/>
      <c r="N88" s="54"/>
      <c r="O88" s="58"/>
      <c r="P88" s="104"/>
    </row>
    <row r="89" spans="1:16" ht="38.25" customHeight="1" x14ac:dyDescent="0.3">
      <c r="A89" s="25">
        <v>84</v>
      </c>
      <c r="B89" s="130" t="s">
        <v>421</v>
      </c>
      <c r="C89" s="86" t="s">
        <v>422</v>
      </c>
      <c r="D89" s="84">
        <v>1</v>
      </c>
      <c r="E89" s="85" t="s">
        <v>416</v>
      </c>
      <c r="F89" s="90" t="s">
        <v>2</v>
      </c>
      <c r="G89" s="129">
        <v>100000</v>
      </c>
      <c r="H89" s="129"/>
      <c r="I89" s="129"/>
      <c r="J89" s="129"/>
      <c r="K89" s="129"/>
      <c r="L89" s="91">
        <f t="shared" si="4"/>
        <v>100000</v>
      </c>
      <c r="M89" s="54"/>
      <c r="N89" s="54"/>
      <c r="O89" s="58"/>
      <c r="P89" s="104"/>
    </row>
    <row r="90" spans="1:16" ht="38.25" customHeight="1" x14ac:dyDescent="0.3">
      <c r="A90" s="25">
        <v>85</v>
      </c>
      <c r="B90" s="131"/>
      <c r="C90" s="86" t="s">
        <v>423</v>
      </c>
      <c r="D90" s="84">
        <v>1</v>
      </c>
      <c r="E90" s="85" t="s">
        <v>416</v>
      </c>
      <c r="F90" s="90" t="s">
        <v>2</v>
      </c>
      <c r="G90" s="129">
        <v>70000</v>
      </c>
      <c r="H90" s="129"/>
      <c r="I90" s="129"/>
      <c r="J90" s="129"/>
      <c r="K90" s="129"/>
      <c r="L90" s="91">
        <f t="shared" si="4"/>
        <v>70000</v>
      </c>
      <c r="M90" s="54"/>
      <c r="N90" s="54"/>
      <c r="O90" s="58"/>
      <c r="P90" s="104"/>
    </row>
    <row r="91" spans="1:16" ht="38.25" customHeight="1" x14ac:dyDescent="0.3">
      <c r="A91" s="25">
        <v>86</v>
      </c>
      <c r="B91" s="132"/>
      <c r="C91" s="86" t="s">
        <v>424</v>
      </c>
      <c r="D91" s="84">
        <v>1</v>
      </c>
      <c r="E91" s="85" t="s">
        <v>416</v>
      </c>
      <c r="F91" s="90" t="s">
        <v>2</v>
      </c>
      <c r="G91" s="129">
        <v>50000</v>
      </c>
      <c r="H91" s="129"/>
      <c r="I91" s="129"/>
      <c r="J91" s="129"/>
      <c r="K91" s="129"/>
      <c r="L91" s="91">
        <f t="shared" si="4"/>
        <v>50000</v>
      </c>
      <c r="M91" s="54"/>
      <c r="N91" s="54"/>
      <c r="O91" s="58"/>
      <c r="P91" s="104"/>
    </row>
    <row r="92" spans="1:16" ht="38.25" customHeight="1" x14ac:dyDescent="0.3">
      <c r="A92" s="25">
        <v>87</v>
      </c>
      <c r="B92" s="130" t="s">
        <v>425</v>
      </c>
      <c r="C92" s="86" t="s">
        <v>426</v>
      </c>
      <c r="D92" s="84">
        <v>1</v>
      </c>
      <c r="E92" s="85" t="s">
        <v>416</v>
      </c>
      <c r="F92" s="90" t="s">
        <v>2</v>
      </c>
      <c r="G92" s="129">
        <v>80000</v>
      </c>
      <c r="H92" s="129"/>
      <c r="I92" s="129"/>
      <c r="J92" s="129"/>
      <c r="K92" s="129"/>
      <c r="L92" s="91">
        <f t="shared" si="4"/>
        <v>80000</v>
      </c>
      <c r="M92" s="54"/>
      <c r="N92" s="54"/>
      <c r="O92" s="58"/>
      <c r="P92" s="104"/>
    </row>
    <row r="93" spans="1:16" ht="38.25" customHeight="1" x14ac:dyDescent="0.3">
      <c r="A93" s="25">
        <v>88</v>
      </c>
      <c r="B93" s="131"/>
      <c r="C93" s="86" t="s">
        <v>427</v>
      </c>
      <c r="D93" s="84">
        <v>1</v>
      </c>
      <c r="E93" s="85" t="s">
        <v>416</v>
      </c>
      <c r="F93" s="90" t="s">
        <v>2</v>
      </c>
      <c r="G93" s="129">
        <v>60000</v>
      </c>
      <c r="H93" s="129"/>
      <c r="I93" s="129"/>
      <c r="J93" s="129"/>
      <c r="K93" s="129"/>
      <c r="L93" s="91">
        <f t="shared" si="4"/>
        <v>60000</v>
      </c>
      <c r="M93" s="54"/>
      <c r="N93" s="54"/>
      <c r="O93" s="58"/>
      <c r="P93" s="104"/>
    </row>
    <row r="94" spans="1:16" ht="38.25" customHeight="1" x14ac:dyDescent="0.3">
      <c r="A94" s="25">
        <v>89</v>
      </c>
      <c r="B94" s="132"/>
      <c r="C94" s="86" t="s">
        <v>428</v>
      </c>
      <c r="D94" s="84">
        <v>1</v>
      </c>
      <c r="E94" s="85" t="s">
        <v>416</v>
      </c>
      <c r="F94" s="90" t="s">
        <v>2</v>
      </c>
      <c r="G94" s="129">
        <v>40000</v>
      </c>
      <c r="H94" s="129"/>
      <c r="I94" s="129"/>
      <c r="J94" s="129"/>
      <c r="K94" s="129"/>
      <c r="L94" s="91">
        <f t="shared" si="4"/>
        <v>40000</v>
      </c>
      <c r="M94" s="54"/>
      <c r="N94" s="54"/>
      <c r="O94" s="58"/>
      <c r="P94" s="104"/>
    </row>
    <row r="95" spans="1:16" ht="38.25" customHeight="1" x14ac:dyDescent="0.3">
      <c r="A95" s="25">
        <v>90</v>
      </c>
      <c r="B95" s="130" t="s">
        <v>429</v>
      </c>
      <c r="C95" s="86" t="s">
        <v>415</v>
      </c>
      <c r="D95" s="84">
        <v>1</v>
      </c>
      <c r="E95" s="85" t="s">
        <v>416</v>
      </c>
      <c r="F95" s="90" t="s">
        <v>2</v>
      </c>
      <c r="G95" s="129">
        <v>500000</v>
      </c>
      <c r="H95" s="129"/>
      <c r="I95" s="129"/>
      <c r="J95" s="129"/>
      <c r="K95" s="129"/>
      <c r="L95" s="91">
        <f t="shared" si="4"/>
        <v>500000</v>
      </c>
      <c r="M95" s="54"/>
      <c r="N95" s="54"/>
      <c r="O95" s="58"/>
      <c r="P95" s="104"/>
    </row>
    <row r="96" spans="1:16" ht="38.25" customHeight="1" x14ac:dyDescent="0.3">
      <c r="A96" s="25">
        <v>91</v>
      </c>
      <c r="B96" s="131"/>
      <c r="C96" s="86" t="s">
        <v>430</v>
      </c>
      <c r="D96" s="84">
        <v>1</v>
      </c>
      <c r="E96" s="85" t="s">
        <v>416</v>
      </c>
      <c r="F96" s="90" t="s">
        <v>2</v>
      </c>
      <c r="G96" s="129">
        <v>300000</v>
      </c>
      <c r="H96" s="129"/>
      <c r="I96" s="129"/>
      <c r="J96" s="129"/>
      <c r="K96" s="129"/>
      <c r="L96" s="91">
        <f t="shared" si="4"/>
        <v>300000</v>
      </c>
      <c r="M96" s="54"/>
      <c r="N96" s="54"/>
      <c r="O96" s="58"/>
      <c r="P96" s="104"/>
    </row>
    <row r="97" spans="1:16" ht="38.25" customHeight="1" x14ac:dyDescent="0.3">
      <c r="A97" s="25">
        <v>92</v>
      </c>
      <c r="B97" s="132"/>
      <c r="C97" s="86" t="s">
        <v>431</v>
      </c>
      <c r="D97" s="84">
        <v>1</v>
      </c>
      <c r="E97" s="85" t="s">
        <v>416</v>
      </c>
      <c r="F97" s="90" t="s">
        <v>2</v>
      </c>
      <c r="G97" s="129">
        <v>100000</v>
      </c>
      <c r="H97" s="129"/>
      <c r="I97" s="129"/>
      <c r="J97" s="129"/>
      <c r="K97" s="129"/>
      <c r="L97" s="91">
        <f t="shared" si="4"/>
        <v>100000</v>
      </c>
      <c r="M97" s="54"/>
      <c r="N97" s="54"/>
      <c r="O97" s="58"/>
      <c r="P97" s="104"/>
    </row>
    <row r="98" spans="1:16" ht="38.25" customHeight="1" x14ac:dyDescent="0.3">
      <c r="A98" s="25">
        <v>93</v>
      </c>
      <c r="B98" s="130" t="s">
        <v>432</v>
      </c>
      <c r="C98" s="86" t="s">
        <v>415</v>
      </c>
      <c r="D98" s="84">
        <v>1</v>
      </c>
      <c r="E98" s="85" t="s">
        <v>416</v>
      </c>
      <c r="F98" s="90" t="s">
        <v>2</v>
      </c>
      <c r="G98" s="129">
        <v>500000</v>
      </c>
      <c r="H98" s="129"/>
      <c r="I98" s="129"/>
      <c r="J98" s="129"/>
      <c r="K98" s="129"/>
      <c r="L98" s="91">
        <f t="shared" si="4"/>
        <v>500000</v>
      </c>
      <c r="M98" s="54"/>
      <c r="N98" s="54"/>
      <c r="O98" s="58"/>
      <c r="P98" s="104"/>
    </row>
    <row r="99" spans="1:16" ht="38.25" customHeight="1" x14ac:dyDescent="0.3">
      <c r="A99" s="25">
        <v>94</v>
      </c>
      <c r="B99" s="131"/>
      <c r="C99" s="86" t="s">
        <v>430</v>
      </c>
      <c r="D99" s="84">
        <v>1</v>
      </c>
      <c r="E99" s="85" t="s">
        <v>416</v>
      </c>
      <c r="F99" s="90" t="s">
        <v>2</v>
      </c>
      <c r="G99" s="129">
        <v>300000</v>
      </c>
      <c r="H99" s="129"/>
      <c r="I99" s="129"/>
      <c r="J99" s="129"/>
      <c r="K99" s="129"/>
      <c r="L99" s="91">
        <f t="shared" si="4"/>
        <v>300000</v>
      </c>
      <c r="M99" s="54"/>
      <c r="N99" s="54"/>
      <c r="O99" s="58"/>
      <c r="P99" s="104"/>
    </row>
    <row r="100" spans="1:16" ht="38.25" customHeight="1" x14ac:dyDescent="0.3">
      <c r="A100" s="25">
        <v>95</v>
      </c>
      <c r="B100" s="132"/>
      <c r="C100" s="86" t="s">
        <v>431</v>
      </c>
      <c r="D100" s="84">
        <v>1</v>
      </c>
      <c r="E100" s="85" t="s">
        <v>416</v>
      </c>
      <c r="F100" s="90" t="s">
        <v>2</v>
      </c>
      <c r="G100" s="129">
        <v>100000</v>
      </c>
      <c r="H100" s="129"/>
      <c r="I100" s="129"/>
      <c r="J100" s="129"/>
      <c r="K100" s="129"/>
      <c r="L100" s="91">
        <f t="shared" si="4"/>
        <v>100000</v>
      </c>
      <c r="M100" s="54"/>
      <c r="N100" s="54"/>
      <c r="O100" s="58"/>
      <c r="P100" s="104"/>
    </row>
    <row r="101" spans="1:16" ht="38.25" customHeight="1" x14ac:dyDescent="0.3">
      <c r="A101" s="25">
        <v>96</v>
      </c>
      <c r="B101" s="130" t="s">
        <v>433</v>
      </c>
      <c r="C101" s="86" t="s">
        <v>422</v>
      </c>
      <c r="D101" s="84">
        <v>1</v>
      </c>
      <c r="E101" s="85" t="s">
        <v>416</v>
      </c>
      <c r="F101" s="90" t="s">
        <v>2</v>
      </c>
      <c r="G101" s="129">
        <v>100000</v>
      </c>
      <c r="H101" s="129"/>
      <c r="I101" s="129"/>
      <c r="J101" s="129"/>
      <c r="K101" s="129"/>
      <c r="L101" s="91">
        <f t="shared" si="4"/>
        <v>100000</v>
      </c>
      <c r="M101" s="54"/>
      <c r="N101" s="54"/>
      <c r="O101" s="58"/>
      <c r="P101" s="104"/>
    </row>
    <row r="102" spans="1:16" ht="38.25" customHeight="1" x14ac:dyDescent="0.3">
      <c r="A102" s="25">
        <v>97</v>
      </c>
      <c r="B102" s="131"/>
      <c r="C102" s="86" t="s">
        <v>423</v>
      </c>
      <c r="D102" s="84">
        <v>1</v>
      </c>
      <c r="E102" s="85" t="s">
        <v>416</v>
      </c>
      <c r="F102" s="90" t="s">
        <v>2</v>
      </c>
      <c r="G102" s="129">
        <v>70000</v>
      </c>
      <c r="H102" s="129"/>
      <c r="I102" s="129"/>
      <c r="J102" s="129"/>
      <c r="K102" s="129"/>
      <c r="L102" s="91">
        <f t="shared" si="4"/>
        <v>70000</v>
      </c>
      <c r="M102" s="54"/>
      <c r="N102" s="54"/>
      <c r="O102" s="58"/>
      <c r="P102" s="104"/>
    </row>
    <row r="103" spans="1:16" ht="38.25" customHeight="1" x14ac:dyDescent="0.3">
      <c r="A103" s="25">
        <v>98</v>
      </c>
      <c r="B103" s="132"/>
      <c r="C103" s="86" t="s">
        <v>434</v>
      </c>
      <c r="D103" s="84">
        <v>1</v>
      </c>
      <c r="E103" s="85" t="s">
        <v>416</v>
      </c>
      <c r="F103" s="90" t="s">
        <v>2</v>
      </c>
      <c r="G103" s="129">
        <v>50000</v>
      </c>
      <c r="H103" s="129"/>
      <c r="I103" s="129"/>
      <c r="J103" s="129"/>
      <c r="K103" s="129"/>
      <c r="L103" s="91">
        <f t="shared" si="4"/>
        <v>50000</v>
      </c>
      <c r="M103" s="54"/>
      <c r="N103" s="54"/>
      <c r="O103" s="58"/>
      <c r="P103" s="104"/>
    </row>
    <row r="104" spans="1:16" ht="38.25" customHeight="1" x14ac:dyDescent="0.3">
      <c r="A104" s="25">
        <v>99</v>
      </c>
      <c r="B104" s="86" t="s">
        <v>435</v>
      </c>
      <c r="C104" s="86" t="s">
        <v>436</v>
      </c>
      <c r="D104" s="84">
        <v>10</v>
      </c>
      <c r="E104" s="85" t="s">
        <v>416</v>
      </c>
      <c r="F104" s="90" t="s">
        <v>2</v>
      </c>
      <c r="G104" s="129">
        <v>59500</v>
      </c>
      <c r="H104" s="129"/>
      <c r="I104" s="129"/>
      <c r="J104" s="129"/>
      <c r="K104" s="129"/>
      <c r="L104" s="91">
        <f t="shared" si="4"/>
        <v>595000</v>
      </c>
      <c r="M104" s="54"/>
      <c r="N104" s="54"/>
      <c r="O104" s="58"/>
      <c r="P104" s="104"/>
    </row>
    <row r="105" spans="1:16" ht="38.25" customHeight="1" x14ac:dyDescent="0.3">
      <c r="A105" s="25"/>
      <c r="B105" s="86" t="s">
        <v>470</v>
      </c>
      <c r="C105" s="86" t="s">
        <v>473</v>
      </c>
      <c r="D105" s="84">
        <v>1</v>
      </c>
      <c r="E105" s="85" t="s">
        <v>416</v>
      </c>
      <c r="F105" s="90" t="s">
        <v>2</v>
      </c>
      <c r="G105" s="129">
        <v>2500000</v>
      </c>
      <c r="H105" s="129"/>
      <c r="I105" s="129"/>
      <c r="J105" s="129"/>
      <c r="K105" s="129"/>
      <c r="L105" s="91">
        <f t="shared" ref="L105:L106" si="5">+G105*D105</f>
        <v>2500000</v>
      </c>
      <c r="M105" s="54"/>
      <c r="N105" s="54"/>
      <c r="O105" s="58"/>
      <c r="P105" s="104"/>
    </row>
    <row r="106" spans="1:16" ht="38.25" customHeight="1" x14ac:dyDescent="0.3">
      <c r="A106" s="25"/>
      <c r="B106" s="86" t="s">
        <v>471</v>
      </c>
      <c r="C106" s="86" t="s">
        <v>472</v>
      </c>
      <c r="D106" s="84">
        <v>1</v>
      </c>
      <c r="E106" s="85" t="s">
        <v>416</v>
      </c>
      <c r="F106" s="90" t="s">
        <v>2</v>
      </c>
      <c r="G106" s="129">
        <v>3000000</v>
      </c>
      <c r="H106" s="129"/>
      <c r="I106" s="129"/>
      <c r="J106" s="129"/>
      <c r="K106" s="129"/>
      <c r="L106" s="91">
        <f t="shared" si="5"/>
        <v>3000000</v>
      </c>
      <c r="M106" s="54"/>
      <c r="N106" s="54"/>
      <c r="O106" s="58"/>
      <c r="P106" s="104"/>
    </row>
    <row r="107" spans="1:16" ht="38.25" customHeight="1" thickBot="1" x14ac:dyDescent="0.35">
      <c r="A107" s="25">
        <v>100</v>
      </c>
      <c r="B107" s="86" t="s">
        <v>437</v>
      </c>
      <c r="C107" s="86" t="s">
        <v>438</v>
      </c>
      <c r="D107" s="84">
        <v>1</v>
      </c>
      <c r="E107" s="85" t="s">
        <v>416</v>
      </c>
      <c r="F107" s="90" t="s">
        <v>2</v>
      </c>
      <c r="G107" s="129">
        <v>9520000</v>
      </c>
      <c r="H107" s="129"/>
      <c r="I107" s="129"/>
      <c r="J107" s="129"/>
      <c r="K107" s="129"/>
      <c r="L107" s="91">
        <f t="shared" si="4"/>
        <v>9520000</v>
      </c>
      <c r="M107" s="54"/>
      <c r="N107" s="54"/>
      <c r="O107" s="58"/>
      <c r="P107" s="104"/>
    </row>
    <row r="108" spans="1:16" ht="25.5" customHeight="1" thickBot="1" x14ac:dyDescent="0.35">
      <c r="A108" s="177" t="s">
        <v>371</v>
      </c>
      <c r="B108" s="177"/>
      <c r="C108" s="177"/>
      <c r="D108" s="177"/>
      <c r="E108" s="177"/>
      <c r="F108" s="177"/>
      <c r="G108" s="177"/>
      <c r="H108" s="178"/>
      <c r="I108" s="154">
        <f>SUM(L19:L30,L32:L36,L39:L107)</f>
        <v>663702699.33333337</v>
      </c>
      <c r="J108" s="155"/>
      <c r="K108" s="155"/>
      <c r="L108" s="156"/>
      <c r="P108" s="104"/>
    </row>
    <row r="109" spans="1:16" ht="16.5" customHeight="1" x14ac:dyDescent="0.3">
      <c r="A109" s="175" t="s">
        <v>444</v>
      </c>
      <c r="B109" s="176"/>
      <c r="C109" s="176"/>
      <c r="D109" s="176"/>
      <c r="E109" s="176"/>
      <c r="F109" s="176"/>
      <c r="G109" s="176"/>
      <c r="H109" s="147"/>
      <c r="I109" s="145">
        <f>+I16+I108+L6</f>
        <v>768456749.33333337</v>
      </c>
      <c r="J109" s="146"/>
      <c r="K109" s="146"/>
      <c r="L109" s="147"/>
    </row>
    <row r="110" spans="1:16" ht="15.75" customHeight="1" thickBot="1" x14ac:dyDescent="0.35">
      <c r="A110" s="148"/>
      <c r="B110" s="149"/>
      <c r="C110" s="149"/>
      <c r="D110" s="149"/>
      <c r="E110" s="149"/>
      <c r="F110" s="149"/>
      <c r="G110" s="149"/>
      <c r="H110" s="150"/>
      <c r="I110" s="148"/>
      <c r="J110" s="149"/>
      <c r="K110" s="149"/>
      <c r="L110" s="150"/>
    </row>
    <row r="111" spans="1:16" ht="20.399999999999999" customHeight="1" x14ac:dyDescent="0.3">
      <c r="B111" s="108"/>
      <c r="C111" s="133" t="s">
        <v>454</v>
      </c>
      <c r="D111" s="133"/>
      <c r="E111" s="133"/>
      <c r="F111" s="133"/>
      <c r="G111" s="133"/>
    </row>
    <row r="112" spans="1:16" ht="100.05" customHeight="1" x14ac:dyDescent="0.3"/>
    <row r="113" spans="1:2" x14ac:dyDescent="0.3">
      <c r="A113" s="138"/>
      <c r="B113" s="138"/>
    </row>
    <row r="114" spans="1:2" x14ac:dyDescent="0.3">
      <c r="A114" s="138"/>
      <c r="B114" s="138"/>
    </row>
    <row r="115" spans="1:2" x14ac:dyDescent="0.3">
      <c r="A115" s="138"/>
      <c r="B115" s="138"/>
    </row>
    <row r="116" spans="1:2" x14ac:dyDescent="0.3">
      <c r="A116" s="138"/>
      <c r="B116" s="138"/>
    </row>
    <row r="117" spans="1:2" x14ac:dyDescent="0.3">
      <c r="A117" s="138"/>
      <c r="B117" s="138"/>
    </row>
    <row r="118" spans="1:2" x14ac:dyDescent="0.3">
      <c r="A118" s="137"/>
      <c r="B118" s="138"/>
    </row>
  </sheetData>
  <mergeCells count="77">
    <mergeCell ref="G2:K2"/>
    <mergeCell ref="B101:B103"/>
    <mergeCell ref="G3:K3"/>
    <mergeCell ref="G4:K4"/>
    <mergeCell ref="G5:K5"/>
    <mergeCell ref="A6:K6"/>
    <mergeCell ref="G93:K93"/>
    <mergeCell ref="G88:K88"/>
    <mergeCell ref="G89:K89"/>
    <mergeCell ref="G90:K90"/>
    <mergeCell ref="G91:K91"/>
    <mergeCell ref="G92:K92"/>
    <mergeCell ref="G83:K83"/>
    <mergeCell ref="G84:K84"/>
    <mergeCell ref="B98:B100"/>
    <mergeCell ref="G87:K87"/>
    <mergeCell ref="G76:K76"/>
    <mergeCell ref="G77:K77"/>
    <mergeCell ref="G78:K78"/>
    <mergeCell ref="A109:H110"/>
    <mergeCell ref="A108:H108"/>
    <mergeCell ref="G94:K94"/>
    <mergeCell ref="G95:K95"/>
    <mergeCell ref="G96:K96"/>
    <mergeCell ref="G97:K97"/>
    <mergeCell ref="G98:K98"/>
    <mergeCell ref="G102:K102"/>
    <mergeCell ref="G103:K103"/>
    <mergeCell ref="G104:K104"/>
    <mergeCell ref="G107:K107"/>
    <mergeCell ref="G99:K99"/>
    <mergeCell ref="G100:K100"/>
    <mergeCell ref="C38:L38"/>
    <mergeCell ref="E32:E36"/>
    <mergeCell ref="F32:F36"/>
    <mergeCell ref="G14:K14"/>
    <mergeCell ref="G15:K15"/>
    <mergeCell ref="A1:L1"/>
    <mergeCell ref="I109:L110"/>
    <mergeCell ref="B11:B12"/>
    <mergeCell ref="B55:B58"/>
    <mergeCell ref="B47:B49"/>
    <mergeCell ref="I16:L16"/>
    <mergeCell ref="A17:L17"/>
    <mergeCell ref="A7:L7"/>
    <mergeCell ref="I108:L108"/>
    <mergeCell ref="B27:B31"/>
    <mergeCell ref="B32:B38"/>
    <mergeCell ref="B63:B72"/>
    <mergeCell ref="B86:B88"/>
    <mergeCell ref="B89:B91"/>
    <mergeCell ref="B20:B26"/>
    <mergeCell ref="A16:F16"/>
    <mergeCell ref="C31:L31"/>
    <mergeCell ref="A118:B118"/>
    <mergeCell ref="A113:B113"/>
    <mergeCell ref="A114:B114"/>
    <mergeCell ref="A115:B115"/>
    <mergeCell ref="A116:B116"/>
    <mergeCell ref="A117:B117"/>
    <mergeCell ref="C79:C81"/>
    <mergeCell ref="B83:B85"/>
    <mergeCell ref="C83:C85"/>
    <mergeCell ref="B79:B82"/>
    <mergeCell ref="G79:K79"/>
    <mergeCell ref="G80:K80"/>
    <mergeCell ref="G85:K85"/>
    <mergeCell ref="G86:K86"/>
    <mergeCell ref="C37:L37"/>
    <mergeCell ref="G81:K81"/>
    <mergeCell ref="G82:K82"/>
    <mergeCell ref="B92:B94"/>
    <mergeCell ref="B95:B97"/>
    <mergeCell ref="C111:G111"/>
    <mergeCell ref="G101:K101"/>
    <mergeCell ref="G105:K105"/>
    <mergeCell ref="G106:K106"/>
  </mergeCells>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98CAA1-FE81-F244-B65B-EDECE8FD68AC}">
  <dimension ref="A1:F7"/>
  <sheetViews>
    <sheetView workbookViewId="0">
      <selection activeCell="F8" sqref="F8"/>
    </sheetView>
  </sheetViews>
  <sheetFormatPr baseColWidth="10" defaultRowHeight="14.4" x14ac:dyDescent="0.3"/>
  <cols>
    <col min="5" max="5" width="11" style="75" bestFit="1" customWidth="1"/>
    <col min="6" max="6" width="12.44140625" style="75" bestFit="1" customWidth="1"/>
  </cols>
  <sheetData>
    <row r="1" spans="1:6" x14ac:dyDescent="0.3">
      <c r="A1" s="73" t="s">
        <v>396</v>
      </c>
      <c r="B1" s="73" t="s">
        <v>397</v>
      </c>
      <c r="C1" s="73" t="s">
        <v>404</v>
      </c>
      <c r="D1" s="73" t="s">
        <v>398</v>
      </c>
      <c r="E1" s="74" t="s">
        <v>399</v>
      </c>
      <c r="F1" s="74" t="s">
        <v>400</v>
      </c>
    </row>
    <row r="2" spans="1:6" x14ac:dyDescent="0.3">
      <c r="A2" t="s">
        <v>395</v>
      </c>
      <c r="B2">
        <v>3</v>
      </c>
      <c r="C2">
        <v>3</v>
      </c>
      <c r="D2">
        <v>12</v>
      </c>
      <c r="E2" s="75">
        <v>50000</v>
      </c>
      <c r="F2" s="75">
        <f>B2*C2*D2*E2</f>
        <v>5400000</v>
      </c>
    </row>
    <row r="3" spans="1:6" x14ac:dyDescent="0.3">
      <c r="A3" t="s">
        <v>401</v>
      </c>
      <c r="B3">
        <v>33</v>
      </c>
      <c r="C3">
        <v>3</v>
      </c>
      <c r="D3">
        <v>12</v>
      </c>
      <c r="E3" s="75">
        <v>26000</v>
      </c>
      <c r="F3" s="75">
        <f t="shared" ref="F3:F5" si="0">B3*C3*D3*E3</f>
        <v>30888000</v>
      </c>
    </row>
    <row r="4" spans="1:6" x14ac:dyDescent="0.3">
      <c r="A4" t="s">
        <v>402</v>
      </c>
      <c r="B4">
        <v>3</v>
      </c>
      <c r="C4">
        <v>3</v>
      </c>
      <c r="D4">
        <v>12</v>
      </c>
      <c r="E4" s="75">
        <v>46000</v>
      </c>
      <c r="F4" s="75">
        <f t="shared" si="0"/>
        <v>4968000</v>
      </c>
    </row>
    <row r="5" spans="1:6" x14ac:dyDescent="0.3">
      <c r="A5" t="s">
        <v>403</v>
      </c>
      <c r="B5">
        <v>3</v>
      </c>
      <c r="C5">
        <v>3</v>
      </c>
      <c r="D5">
        <v>12</v>
      </c>
      <c r="E5" s="75">
        <v>145000</v>
      </c>
      <c r="F5" s="75">
        <f t="shared" si="0"/>
        <v>15660000</v>
      </c>
    </row>
    <row r="6" spans="1:6" x14ac:dyDescent="0.3">
      <c r="E6" s="74" t="s">
        <v>400</v>
      </c>
      <c r="F6" s="75">
        <f>SUM(F2:F5)</f>
        <v>56916000</v>
      </c>
    </row>
    <row r="7" spans="1:6" x14ac:dyDescent="0.3">
      <c r="F7" s="75">
        <f>F6/3</f>
        <v>18972000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I363"/>
  <sheetViews>
    <sheetView zoomScale="70" zoomScaleNormal="70" workbookViewId="0">
      <selection activeCell="D6" sqref="D6:D7"/>
    </sheetView>
  </sheetViews>
  <sheetFormatPr baseColWidth="10" defaultRowHeight="14.4" x14ac:dyDescent="0.3"/>
  <cols>
    <col min="3" max="3" width="20.109375" bestFit="1" customWidth="1"/>
    <col min="4" max="4" width="80.44140625" customWidth="1"/>
    <col min="6" max="6" width="17.109375" bestFit="1" customWidth="1"/>
    <col min="7" max="7" width="12.44140625" bestFit="1" customWidth="1"/>
    <col min="8" max="8" width="12.77734375" bestFit="1" customWidth="1"/>
  </cols>
  <sheetData>
    <row r="1" spans="2:8" ht="15" thickBot="1" x14ac:dyDescent="0.35"/>
    <row r="2" spans="2:8" ht="15" thickBot="1" x14ac:dyDescent="0.35">
      <c r="B2" s="221" t="s">
        <v>251</v>
      </c>
      <c r="C2" s="222"/>
      <c r="D2" s="222"/>
      <c r="E2" s="222"/>
      <c r="F2" s="222"/>
      <c r="G2" s="222"/>
      <c r="H2" s="223"/>
    </row>
    <row r="3" spans="2:8" ht="55.8" thickBot="1" x14ac:dyDescent="0.35">
      <c r="B3" s="1" t="s">
        <v>175</v>
      </c>
      <c r="C3" s="2" t="s">
        <v>183</v>
      </c>
      <c r="D3" s="2" t="s">
        <v>184</v>
      </c>
      <c r="E3" s="2" t="s">
        <v>178</v>
      </c>
      <c r="F3" s="2" t="s">
        <v>185</v>
      </c>
      <c r="G3" s="2" t="s">
        <v>180</v>
      </c>
      <c r="H3" s="3" t="s">
        <v>181</v>
      </c>
    </row>
    <row r="4" spans="2:8" ht="34.950000000000003" customHeight="1" x14ac:dyDescent="0.3">
      <c r="B4" s="249">
        <v>1</v>
      </c>
      <c r="C4" s="245" t="s">
        <v>0</v>
      </c>
      <c r="D4" s="188" t="s">
        <v>1</v>
      </c>
      <c r="E4" s="185">
        <v>50</v>
      </c>
      <c r="F4" s="185" t="s">
        <v>2</v>
      </c>
      <c r="G4" s="224">
        <v>2300</v>
      </c>
      <c r="H4" s="199">
        <f>19%*(G4*E4)+(G4*E4)</f>
        <v>136850</v>
      </c>
    </row>
    <row r="5" spans="2:8" ht="34.950000000000003" customHeight="1" thickBot="1" x14ac:dyDescent="0.35">
      <c r="B5" s="194"/>
      <c r="C5" s="152"/>
      <c r="D5" s="188"/>
      <c r="E5" s="187"/>
      <c r="F5" s="186"/>
      <c r="G5" s="225"/>
      <c r="H5" s="200"/>
    </row>
    <row r="6" spans="2:8" ht="34.950000000000003" customHeight="1" x14ac:dyDescent="0.3">
      <c r="B6" s="205">
        <v>2</v>
      </c>
      <c r="C6" s="151" t="s">
        <v>3</v>
      </c>
      <c r="D6" s="188" t="s">
        <v>4</v>
      </c>
      <c r="E6" s="185">
        <v>5</v>
      </c>
      <c r="F6" s="185" t="s">
        <v>5</v>
      </c>
      <c r="G6" s="224">
        <v>3500000</v>
      </c>
      <c r="H6" s="199">
        <f t="shared" ref="H6" si="0">19%*(G6*E6)+(G6*E6)</f>
        <v>20825000</v>
      </c>
    </row>
    <row r="7" spans="2:8" ht="34.950000000000003" customHeight="1" thickBot="1" x14ac:dyDescent="0.35">
      <c r="B7" s="194"/>
      <c r="C7" s="152"/>
      <c r="D7" s="188"/>
      <c r="E7" s="187"/>
      <c r="F7" s="186"/>
      <c r="G7" s="225"/>
      <c r="H7" s="200"/>
    </row>
    <row r="8" spans="2:8" ht="34.950000000000003" customHeight="1" x14ac:dyDescent="0.3">
      <c r="B8" s="242">
        <v>3</v>
      </c>
      <c r="C8" s="151" t="s">
        <v>6</v>
      </c>
      <c r="D8" s="188" t="s">
        <v>7</v>
      </c>
      <c r="E8" s="185">
        <v>120</v>
      </c>
      <c r="F8" s="185" t="s">
        <v>8</v>
      </c>
      <c r="G8" s="224">
        <v>12000</v>
      </c>
      <c r="H8" s="199">
        <f t="shared" ref="H8" si="1">19%*(G8*E8)+(G8*E8)</f>
        <v>1713600</v>
      </c>
    </row>
    <row r="9" spans="2:8" ht="34.950000000000003" customHeight="1" thickBot="1" x14ac:dyDescent="0.35">
      <c r="B9" s="248"/>
      <c r="C9" s="153"/>
      <c r="D9" s="188"/>
      <c r="E9" s="187"/>
      <c r="F9" s="186"/>
      <c r="G9" s="225"/>
      <c r="H9" s="200"/>
    </row>
    <row r="10" spans="2:8" ht="34.950000000000003" customHeight="1" x14ac:dyDescent="0.3">
      <c r="B10" s="242">
        <v>4</v>
      </c>
      <c r="C10" s="153"/>
      <c r="D10" s="188" t="s">
        <v>13</v>
      </c>
      <c r="E10" s="185">
        <v>120</v>
      </c>
      <c r="F10" s="185" t="s">
        <v>8</v>
      </c>
      <c r="G10" s="224">
        <v>516.66666666666663</v>
      </c>
      <c r="H10" s="199">
        <f t="shared" ref="H10" si="2">19%*(G10*E10)+(G10*E10)</f>
        <v>73779.999999999985</v>
      </c>
    </row>
    <row r="11" spans="2:8" ht="34.950000000000003" customHeight="1" thickBot="1" x14ac:dyDescent="0.35">
      <c r="B11" s="248"/>
      <c r="C11" s="152"/>
      <c r="D11" s="188"/>
      <c r="E11" s="187"/>
      <c r="F11" s="186"/>
      <c r="G11" s="225"/>
      <c r="H11" s="200"/>
    </row>
    <row r="12" spans="2:8" ht="34.950000000000003" customHeight="1" x14ac:dyDescent="0.3">
      <c r="B12" s="242">
        <v>5</v>
      </c>
      <c r="C12" s="151" t="s">
        <v>9</v>
      </c>
      <c r="D12" s="188" t="s">
        <v>14</v>
      </c>
      <c r="E12" s="185">
        <v>2</v>
      </c>
      <c r="F12" s="185" t="s">
        <v>10</v>
      </c>
      <c r="G12" s="224">
        <v>360000</v>
      </c>
      <c r="H12" s="199">
        <f t="shared" ref="H12" si="3">19%*(G12*E12)+(G12*E12)</f>
        <v>856800</v>
      </c>
    </row>
    <row r="13" spans="2:8" ht="34.950000000000003" customHeight="1" thickBot="1" x14ac:dyDescent="0.35">
      <c r="B13" s="248"/>
      <c r="C13" s="153"/>
      <c r="D13" s="188"/>
      <c r="E13" s="187"/>
      <c r="F13" s="186"/>
      <c r="G13" s="225"/>
      <c r="H13" s="200"/>
    </row>
    <row r="14" spans="2:8" ht="34.950000000000003" customHeight="1" x14ac:dyDescent="0.3">
      <c r="B14" s="242">
        <v>6</v>
      </c>
      <c r="C14" s="153"/>
      <c r="D14" s="188" t="s">
        <v>15</v>
      </c>
      <c r="E14" s="185">
        <v>2</v>
      </c>
      <c r="F14" s="185" t="s">
        <v>2</v>
      </c>
      <c r="G14" s="224">
        <v>141666.66666666666</v>
      </c>
      <c r="H14" s="199">
        <f t="shared" ref="H14" si="4">19%*(G14*E14)+(G14*E14)</f>
        <v>337166.66666666663</v>
      </c>
    </row>
    <row r="15" spans="2:8" ht="34.950000000000003" customHeight="1" thickBot="1" x14ac:dyDescent="0.35">
      <c r="B15" s="248"/>
      <c r="C15" s="153"/>
      <c r="D15" s="188"/>
      <c r="E15" s="187"/>
      <c r="F15" s="186"/>
      <c r="G15" s="225"/>
      <c r="H15" s="200"/>
    </row>
    <row r="16" spans="2:8" ht="34.950000000000003" customHeight="1" x14ac:dyDescent="0.3">
      <c r="B16" s="242">
        <v>7</v>
      </c>
      <c r="C16" s="153"/>
      <c r="D16" s="188" t="s">
        <v>11</v>
      </c>
      <c r="E16" s="185">
        <v>7</v>
      </c>
      <c r="F16" s="185" t="s">
        <v>2</v>
      </c>
      <c r="G16" s="224">
        <v>85667</v>
      </c>
      <c r="H16" s="199">
        <f t="shared" ref="H16" si="5">19%*(G16*E16)+(G16*E16)</f>
        <v>713606.11</v>
      </c>
    </row>
    <row r="17" spans="2:8" ht="34.950000000000003" customHeight="1" thickBot="1" x14ac:dyDescent="0.35">
      <c r="B17" s="248"/>
      <c r="C17" s="153"/>
      <c r="D17" s="188"/>
      <c r="E17" s="187"/>
      <c r="F17" s="186"/>
      <c r="G17" s="225"/>
      <c r="H17" s="200"/>
    </row>
    <row r="18" spans="2:8" ht="34.950000000000003" customHeight="1" x14ac:dyDescent="0.3">
      <c r="B18" s="242">
        <v>8</v>
      </c>
      <c r="C18" s="153"/>
      <c r="D18" s="188" t="s">
        <v>12</v>
      </c>
      <c r="E18" s="185">
        <v>1</v>
      </c>
      <c r="F18" s="185" t="s">
        <v>2</v>
      </c>
      <c r="G18" s="224">
        <v>160000</v>
      </c>
      <c r="H18" s="199">
        <f t="shared" ref="H18" si="6">19%*(G18*E18)+(G18*E18)</f>
        <v>190400</v>
      </c>
    </row>
    <row r="19" spans="2:8" ht="34.950000000000003" customHeight="1" thickBot="1" x14ac:dyDescent="0.35">
      <c r="B19" s="247"/>
      <c r="C19" s="244"/>
      <c r="D19" s="188"/>
      <c r="E19" s="187"/>
      <c r="F19" s="186"/>
      <c r="G19" s="225"/>
      <c r="H19" s="200"/>
    </row>
    <row r="20" spans="2:8" ht="15" thickBot="1" x14ac:dyDescent="0.35">
      <c r="B20" s="195" t="s">
        <v>280</v>
      </c>
      <c r="C20" s="196"/>
      <c r="D20" s="196"/>
      <c r="E20" s="196"/>
      <c r="F20" s="197"/>
      <c r="G20" s="20" t="s">
        <v>250</v>
      </c>
      <c r="H20" s="21">
        <f>SUM(H4:H19)</f>
        <v>24847202.776666667</v>
      </c>
    </row>
    <row r="21" spans="2:8" ht="15" thickBot="1" x14ac:dyDescent="0.35"/>
    <row r="22" spans="2:8" ht="15" thickBot="1" x14ac:dyDescent="0.35">
      <c r="B22" s="221" t="s">
        <v>279</v>
      </c>
      <c r="C22" s="222"/>
      <c r="D22" s="222"/>
      <c r="E22" s="222"/>
      <c r="F22" s="222"/>
      <c r="G22" s="222"/>
      <c r="H22" s="223"/>
    </row>
    <row r="23" spans="2:8" ht="55.8" thickBot="1" x14ac:dyDescent="0.35">
      <c r="B23" s="6" t="s">
        <v>175</v>
      </c>
      <c r="C23" s="7" t="s">
        <v>183</v>
      </c>
      <c r="D23" s="7" t="s">
        <v>184</v>
      </c>
      <c r="E23" s="11" t="s">
        <v>178</v>
      </c>
      <c r="F23" s="13" t="s">
        <v>185</v>
      </c>
      <c r="G23" s="12" t="s">
        <v>180</v>
      </c>
      <c r="H23" s="8" t="s">
        <v>181</v>
      </c>
    </row>
    <row r="24" spans="2:8" ht="34.950000000000003" customHeight="1" x14ac:dyDescent="0.3">
      <c r="B24" s="246">
        <v>1</v>
      </c>
      <c r="C24" s="245" t="s">
        <v>0</v>
      </c>
      <c r="D24" s="188" t="s">
        <v>1</v>
      </c>
      <c r="E24" s="185">
        <v>50</v>
      </c>
      <c r="F24" s="185" t="s">
        <v>2</v>
      </c>
      <c r="G24" s="224">
        <v>2300</v>
      </c>
      <c r="H24" s="199">
        <f t="shared" ref="H24:H36" si="7">19%*(G24*E24)+(G24*E24)</f>
        <v>136850</v>
      </c>
    </row>
    <row r="25" spans="2:8" ht="34.950000000000003" customHeight="1" thickBot="1" x14ac:dyDescent="0.35">
      <c r="B25" s="194"/>
      <c r="C25" s="153"/>
      <c r="D25" s="188"/>
      <c r="E25" s="187"/>
      <c r="F25" s="186"/>
      <c r="G25" s="225"/>
      <c r="H25" s="200"/>
    </row>
    <row r="26" spans="2:8" ht="34.950000000000003" customHeight="1" x14ac:dyDescent="0.3">
      <c r="B26" s="205">
        <v>2</v>
      </c>
      <c r="C26" s="153"/>
      <c r="D26" s="188" t="s">
        <v>26</v>
      </c>
      <c r="E26" s="185">
        <v>500</v>
      </c>
      <c r="F26" s="185" t="s">
        <v>2</v>
      </c>
      <c r="G26" s="224">
        <v>500</v>
      </c>
      <c r="H26" s="199">
        <f t="shared" si="7"/>
        <v>297500</v>
      </c>
    </row>
    <row r="27" spans="2:8" ht="34.950000000000003" customHeight="1" thickBot="1" x14ac:dyDescent="0.35">
      <c r="B27" s="194"/>
      <c r="C27" s="152"/>
      <c r="D27" s="188"/>
      <c r="E27" s="187"/>
      <c r="F27" s="186"/>
      <c r="G27" s="225"/>
      <c r="H27" s="200"/>
    </row>
    <row r="28" spans="2:8" ht="34.950000000000003" customHeight="1" x14ac:dyDescent="0.3">
      <c r="B28" s="218">
        <v>3</v>
      </c>
      <c r="C28" s="151" t="s">
        <v>17</v>
      </c>
      <c r="D28" s="188" t="s">
        <v>18</v>
      </c>
      <c r="E28" s="185">
        <v>4</v>
      </c>
      <c r="F28" s="185" t="s">
        <v>10</v>
      </c>
      <c r="G28" s="224">
        <v>360000</v>
      </c>
      <c r="H28" s="199">
        <f t="shared" si="7"/>
        <v>1713600</v>
      </c>
    </row>
    <row r="29" spans="2:8" ht="34.950000000000003" customHeight="1" thickBot="1" x14ac:dyDescent="0.35">
      <c r="B29" s="218"/>
      <c r="C29" s="153"/>
      <c r="D29" s="188"/>
      <c r="E29" s="187"/>
      <c r="F29" s="186"/>
      <c r="G29" s="225"/>
      <c r="H29" s="200"/>
    </row>
    <row r="30" spans="2:8" ht="34.950000000000003" customHeight="1" x14ac:dyDescent="0.3">
      <c r="B30" s="242">
        <v>4</v>
      </c>
      <c r="C30" s="153"/>
      <c r="D30" s="188" t="s">
        <v>19</v>
      </c>
      <c r="E30" s="185">
        <v>2</v>
      </c>
      <c r="F30" s="185" t="s">
        <v>2</v>
      </c>
      <c r="G30" s="224">
        <v>360000</v>
      </c>
      <c r="H30" s="199">
        <f t="shared" si="7"/>
        <v>856800</v>
      </c>
    </row>
    <row r="31" spans="2:8" ht="34.950000000000003" customHeight="1" thickBot="1" x14ac:dyDescent="0.35">
      <c r="B31" s="243"/>
      <c r="C31" s="152"/>
      <c r="D31" s="188"/>
      <c r="E31" s="187"/>
      <c r="F31" s="186"/>
      <c r="G31" s="225"/>
      <c r="H31" s="200"/>
    </row>
    <row r="32" spans="2:8" ht="34.950000000000003" customHeight="1" x14ac:dyDescent="0.3">
      <c r="B32" s="242">
        <v>5</v>
      </c>
      <c r="C32" s="151" t="s">
        <v>20</v>
      </c>
      <c r="D32" s="188" t="s">
        <v>21</v>
      </c>
      <c r="E32" s="185">
        <v>2</v>
      </c>
      <c r="F32" s="185" t="s">
        <v>22</v>
      </c>
      <c r="G32" s="224">
        <v>3000000</v>
      </c>
      <c r="H32" s="199">
        <f t="shared" si="7"/>
        <v>7140000</v>
      </c>
    </row>
    <row r="33" spans="2:8" ht="34.950000000000003" customHeight="1" thickBot="1" x14ac:dyDescent="0.35">
      <c r="B33" s="243"/>
      <c r="C33" s="152"/>
      <c r="D33" s="188"/>
      <c r="E33" s="187"/>
      <c r="F33" s="186"/>
      <c r="G33" s="225"/>
      <c r="H33" s="200"/>
    </row>
    <row r="34" spans="2:8" ht="34.950000000000003" customHeight="1" x14ac:dyDescent="0.3">
      <c r="B34" s="242">
        <v>6</v>
      </c>
      <c r="C34" s="151" t="s">
        <v>23</v>
      </c>
      <c r="D34" s="216" t="s">
        <v>327</v>
      </c>
      <c r="E34" s="185">
        <v>8</v>
      </c>
      <c r="F34" s="185" t="s">
        <v>24</v>
      </c>
      <c r="G34" s="224">
        <v>7000000</v>
      </c>
      <c r="H34" s="199">
        <f t="shared" si="7"/>
        <v>66640000</v>
      </c>
    </row>
    <row r="35" spans="2:8" ht="34.950000000000003" customHeight="1" thickBot="1" x14ac:dyDescent="0.35">
      <c r="B35" s="243"/>
      <c r="C35" s="152"/>
      <c r="D35" s="216"/>
      <c r="E35" s="187"/>
      <c r="F35" s="186"/>
      <c r="G35" s="225"/>
      <c r="H35" s="200"/>
    </row>
    <row r="36" spans="2:8" ht="34.950000000000003" customHeight="1" x14ac:dyDescent="0.3">
      <c r="B36" s="242">
        <v>7</v>
      </c>
      <c r="C36" s="151" t="s">
        <v>25</v>
      </c>
      <c r="D36" s="188" t="s">
        <v>182</v>
      </c>
      <c r="E36" s="185">
        <v>40</v>
      </c>
      <c r="F36" s="185" t="s">
        <v>8</v>
      </c>
      <c r="G36" s="224">
        <v>12000</v>
      </c>
      <c r="H36" s="199">
        <f t="shared" si="7"/>
        <v>571200</v>
      </c>
    </row>
    <row r="37" spans="2:8" ht="34.950000000000003" customHeight="1" thickBot="1" x14ac:dyDescent="0.35">
      <c r="B37" s="243"/>
      <c r="C37" s="244"/>
      <c r="D37" s="188"/>
      <c r="E37" s="187"/>
      <c r="F37" s="186"/>
      <c r="G37" s="225"/>
      <c r="H37" s="200"/>
    </row>
    <row r="38" spans="2:8" ht="15" thickBot="1" x14ac:dyDescent="0.35">
      <c r="B38" s="195" t="s">
        <v>281</v>
      </c>
      <c r="C38" s="196"/>
      <c r="D38" s="196"/>
      <c r="E38" s="196"/>
      <c r="F38" s="197"/>
      <c r="G38" s="4" t="s">
        <v>250</v>
      </c>
      <c r="H38" s="5">
        <f>SUM(H24:H37)</f>
        <v>77355950</v>
      </c>
    </row>
    <row r="39" spans="2:8" ht="15" thickBot="1" x14ac:dyDescent="0.35"/>
    <row r="40" spans="2:8" ht="15" thickBot="1" x14ac:dyDescent="0.35">
      <c r="B40" s="221" t="s">
        <v>283</v>
      </c>
      <c r="C40" s="222"/>
      <c r="D40" s="222"/>
      <c r="E40" s="222"/>
      <c r="F40" s="222"/>
      <c r="G40" s="222"/>
      <c r="H40" s="223"/>
    </row>
    <row r="41" spans="2:8" ht="55.8" thickBot="1" x14ac:dyDescent="0.35">
      <c r="B41" s="6" t="s">
        <v>175</v>
      </c>
      <c r="C41" s="7" t="s">
        <v>183</v>
      </c>
      <c r="D41" s="7" t="s">
        <v>184</v>
      </c>
      <c r="E41" s="11" t="s">
        <v>178</v>
      </c>
      <c r="F41" s="13" t="s">
        <v>185</v>
      </c>
      <c r="G41" s="12" t="s">
        <v>180</v>
      </c>
      <c r="H41" s="8" t="s">
        <v>181</v>
      </c>
    </row>
    <row r="42" spans="2:8" ht="34.950000000000003" customHeight="1" x14ac:dyDescent="0.3">
      <c r="B42" s="246">
        <v>1</v>
      </c>
      <c r="C42" s="245" t="s">
        <v>0</v>
      </c>
      <c r="D42" s="188" t="s">
        <v>1</v>
      </c>
      <c r="E42" s="185">
        <v>50</v>
      </c>
      <c r="F42" s="185" t="s">
        <v>2</v>
      </c>
      <c r="G42" s="224">
        <v>2300</v>
      </c>
      <c r="H42" s="199">
        <f t="shared" ref="H42:H58" si="8">19%*(G42*E42)+(G42*E42)</f>
        <v>136850</v>
      </c>
    </row>
    <row r="43" spans="2:8" ht="34.950000000000003" customHeight="1" thickBot="1" x14ac:dyDescent="0.35">
      <c r="B43" s="194"/>
      <c r="C43" s="153"/>
      <c r="D43" s="188"/>
      <c r="E43" s="187"/>
      <c r="F43" s="186"/>
      <c r="G43" s="225"/>
      <c r="H43" s="200"/>
    </row>
    <row r="44" spans="2:8" ht="34.950000000000003" customHeight="1" x14ac:dyDescent="0.3">
      <c r="B44" s="205">
        <v>2</v>
      </c>
      <c r="C44" s="153"/>
      <c r="D44" s="188" t="s">
        <v>27</v>
      </c>
      <c r="E44" s="185">
        <v>1000</v>
      </c>
      <c r="F44" s="185" t="s">
        <v>28</v>
      </c>
      <c r="G44" s="224">
        <v>500</v>
      </c>
      <c r="H44" s="199">
        <f t="shared" si="8"/>
        <v>595000</v>
      </c>
    </row>
    <row r="45" spans="2:8" ht="34.950000000000003" customHeight="1" thickBot="1" x14ac:dyDescent="0.35">
      <c r="B45" s="194"/>
      <c r="C45" s="152"/>
      <c r="D45" s="188"/>
      <c r="E45" s="187"/>
      <c r="F45" s="186"/>
      <c r="G45" s="225"/>
      <c r="H45" s="200"/>
    </row>
    <row r="46" spans="2:8" ht="34.950000000000003" customHeight="1" x14ac:dyDescent="0.3">
      <c r="B46" s="218">
        <v>3</v>
      </c>
      <c r="C46" s="245" t="s">
        <v>29</v>
      </c>
      <c r="D46" s="188" t="s">
        <v>30</v>
      </c>
      <c r="E46" s="185">
        <v>7</v>
      </c>
      <c r="F46" s="185" t="s">
        <v>31</v>
      </c>
      <c r="G46" s="224">
        <v>1093333</v>
      </c>
      <c r="H46" s="199">
        <f t="shared" si="8"/>
        <v>9107463.8900000006</v>
      </c>
    </row>
    <row r="47" spans="2:8" ht="34.950000000000003" customHeight="1" thickBot="1" x14ac:dyDescent="0.35">
      <c r="B47" s="218"/>
      <c r="C47" s="153"/>
      <c r="D47" s="188"/>
      <c r="E47" s="187"/>
      <c r="F47" s="186"/>
      <c r="G47" s="225"/>
      <c r="H47" s="200"/>
    </row>
    <row r="48" spans="2:8" ht="34.950000000000003" customHeight="1" x14ac:dyDescent="0.3">
      <c r="B48" s="242">
        <v>4</v>
      </c>
      <c r="C48" s="245" t="s">
        <v>282</v>
      </c>
      <c r="D48" s="188" t="s">
        <v>32</v>
      </c>
      <c r="E48" s="185">
        <v>680</v>
      </c>
      <c r="F48" s="185" t="s">
        <v>2</v>
      </c>
      <c r="G48" s="224">
        <v>16500</v>
      </c>
      <c r="H48" s="199">
        <f t="shared" si="8"/>
        <v>13351800</v>
      </c>
    </row>
    <row r="49" spans="2:8" ht="34.950000000000003" customHeight="1" thickBot="1" x14ac:dyDescent="0.35">
      <c r="B49" s="243"/>
      <c r="C49" s="153"/>
      <c r="D49" s="188"/>
      <c r="E49" s="187"/>
      <c r="F49" s="186"/>
      <c r="G49" s="225"/>
      <c r="H49" s="200"/>
    </row>
    <row r="50" spans="2:8" ht="34.950000000000003" customHeight="1" x14ac:dyDescent="0.3">
      <c r="B50" s="242">
        <v>5</v>
      </c>
      <c r="C50" s="153"/>
      <c r="D50" s="188" t="s">
        <v>33</v>
      </c>
      <c r="E50" s="185">
        <v>680</v>
      </c>
      <c r="F50" s="185" t="s">
        <v>2</v>
      </c>
      <c r="G50" s="224">
        <v>3400</v>
      </c>
      <c r="H50" s="199">
        <f t="shared" si="8"/>
        <v>2751280</v>
      </c>
    </row>
    <row r="51" spans="2:8" ht="34.950000000000003" customHeight="1" thickBot="1" x14ac:dyDescent="0.35">
      <c r="B51" s="243"/>
      <c r="C51" s="152"/>
      <c r="D51" s="188"/>
      <c r="E51" s="187"/>
      <c r="F51" s="186"/>
      <c r="G51" s="225"/>
      <c r="H51" s="200"/>
    </row>
    <row r="52" spans="2:8" ht="34.950000000000003" customHeight="1" x14ac:dyDescent="0.3">
      <c r="B52" s="242">
        <v>6</v>
      </c>
      <c r="C52" s="151" t="s">
        <v>34</v>
      </c>
      <c r="D52" s="188" t="s">
        <v>35</v>
      </c>
      <c r="E52" s="185">
        <v>1350</v>
      </c>
      <c r="F52" s="185" t="s">
        <v>36</v>
      </c>
      <c r="G52" s="224">
        <v>15000</v>
      </c>
      <c r="H52" s="199">
        <f t="shared" si="8"/>
        <v>24097500</v>
      </c>
    </row>
    <row r="53" spans="2:8" ht="34.950000000000003" customHeight="1" thickBot="1" x14ac:dyDescent="0.35">
      <c r="B53" s="243"/>
      <c r="C53" s="152"/>
      <c r="D53" s="188"/>
      <c r="E53" s="187"/>
      <c r="F53" s="186"/>
      <c r="G53" s="225"/>
      <c r="H53" s="200"/>
    </row>
    <row r="54" spans="2:8" ht="34.950000000000003" customHeight="1" x14ac:dyDescent="0.3">
      <c r="B54" s="242">
        <v>7</v>
      </c>
      <c r="C54" s="151" t="s">
        <v>37</v>
      </c>
      <c r="D54" s="188" t="s">
        <v>39</v>
      </c>
      <c r="E54" s="185">
        <v>675</v>
      </c>
      <c r="F54" s="185" t="s">
        <v>2</v>
      </c>
      <c r="G54" s="224">
        <v>35000</v>
      </c>
      <c r="H54" s="199">
        <f t="shared" si="8"/>
        <v>28113750</v>
      </c>
    </row>
    <row r="55" spans="2:8" ht="34.950000000000003" customHeight="1" thickBot="1" x14ac:dyDescent="0.35">
      <c r="B55" s="243"/>
      <c r="C55" s="152"/>
      <c r="D55" s="188"/>
      <c r="E55" s="187"/>
      <c r="F55" s="186"/>
      <c r="G55" s="225"/>
      <c r="H55" s="200"/>
    </row>
    <row r="56" spans="2:8" ht="34.950000000000003" customHeight="1" x14ac:dyDescent="0.3">
      <c r="B56" s="242">
        <v>8</v>
      </c>
      <c r="C56" s="151" t="s">
        <v>9</v>
      </c>
      <c r="D56" s="188" t="s">
        <v>38</v>
      </c>
      <c r="E56" s="185">
        <v>7</v>
      </c>
      <c r="F56" s="185" t="s">
        <v>10</v>
      </c>
      <c r="G56" s="224">
        <v>360000</v>
      </c>
      <c r="H56" s="199">
        <f t="shared" si="8"/>
        <v>2998800</v>
      </c>
    </row>
    <row r="57" spans="2:8" ht="34.950000000000003" customHeight="1" thickBot="1" x14ac:dyDescent="0.35">
      <c r="B57" s="243"/>
      <c r="C57" s="153"/>
      <c r="D57" s="188"/>
      <c r="E57" s="187"/>
      <c r="F57" s="186"/>
      <c r="G57" s="225"/>
      <c r="H57" s="200"/>
    </row>
    <row r="58" spans="2:8" ht="34.950000000000003" customHeight="1" x14ac:dyDescent="0.3">
      <c r="B58" s="242">
        <v>9</v>
      </c>
      <c r="C58" s="153"/>
      <c r="D58" s="188" t="s">
        <v>19</v>
      </c>
      <c r="E58" s="185">
        <v>7</v>
      </c>
      <c r="F58" s="185" t="s">
        <v>2</v>
      </c>
      <c r="G58" s="201">
        <v>417000</v>
      </c>
      <c r="H58" s="199">
        <f t="shared" si="8"/>
        <v>3473610</v>
      </c>
    </row>
    <row r="59" spans="2:8" ht="34.950000000000003" customHeight="1" thickBot="1" x14ac:dyDescent="0.35">
      <c r="B59" s="243"/>
      <c r="C59" s="244"/>
      <c r="D59" s="188"/>
      <c r="E59" s="187"/>
      <c r="F59" s="186"/>
      <c r="G59" s="202"/>
      <c r="H59" s="200"/>
    </row>
    <row r="60" spans="2:8" ht="15" thickBot="1" x14ac:dyDescent="0.35">
      <c r="B60" s="195" t="s">
        <v>284</v>
      </c>
      <c r="C60" s="196"/>
      <c r="D60" s="196"/>
      <c r="E60" s="196"/>
      <c r="F60" s="197"/>
      <c r="G60" s="14" t="s">
        <v>250</v>
      </c>
      <c r="H60" s="5">
        <f>SUM(H42:H59)</f>
        <v>84626053.890000001</v>
      </c>
    </row>
    <row r="61" spans="2:8" ht="15" thickBot="1" x14ac:dyDescent="0.35"/>
    <row r="62" spans="2:8" ht="15" thickBot="1" x14ac:dyDescent="0.35">
      <c r="B62" s="221" t="s">
        <v>285</v>
      </c>
      <c r="C62" s="222"/>
      <c r="D62" s="222"/>
      <c r="E62" s="222"/>
      <c r="F62" s="222"/>
      <c r="G62" s="222"/>
      <c r="H62" s="223"/>
    </row>
    <row r="63" spans="2:8" ht="55.8" thickBot="1" x14ac:dyDescent="0.35">
      <c r="B63" s="13" t="s">
        <v>175</v>
      </c>
      <c r="C63" s="13" t="s">
        <v>176</v>
      </c>
      <c r="D63" s="19" t="s">
        <v>177</v>
      </c>
      <c r="E63" s="13" t="s">
        <v>178</v>
      </c>
      <c r="F63" s="13" t="s">
        <v>185</v>
      </c>
      <c r="G63" s="12" t="s">
        <v>180</v>
      </c>
      <c r="H63" s="8" t="s">
        <v>181</v>
      </c>
    </row>
    <row r="64" spans="2:8" ht="34.950000000000003" customHeight="1" x14ac:dyDescent="0.3">
      <c r="B64" s="192">
        <v>1</v>
      </c>
      <c r="C64" s="151" t="s">
        <v>40</v>
      </c>
      <c r="D64" s="188" t="s">
        <v>134</v>
      </c>
      <c r="E64" s="185">
        <v>100</v>
      </c>
      <c r="F64" s="185" t="s">
        <v>2</v>
      </c>
      <c r="G64" s="201">
        <v>2300</v>
      </c>
      <c r="H64" s="199">
        <f>19%*(G64*E64)+(G64*E64)</f>
        <v>273700</v>
      </c>
    </row>
    <row r="65" spans="2:9" ht="34.950000000000003" customHeight="1" thickBot="1" x14ac:dyDescent="0.35">
      <c r="B65" s="193"/>
      <c r="C65" s="153"/>
      <c r="D65" s="188"/>
      <c r="E65" s="187"/>
      <c r="F65" s="186"/>
      <c r="G65" s="202"/>
      <c r="H65" s="200"/>
    </row>
    <row r="66" spans="2:9" ht="34.950000000000003" customHeight="1" x14ac:dyDescent="0.3">
      <c r="B66" s="192">
        <v>2</v>
      </c>
      <c r="C66" s="153"/>
      <c r="D66" s="188" t="s">
        <v>27</v>
      </c>
      <c r="E66" s="185">
        <v>1000</v>
      </c>
      <c r="F66" s="185" t="s">
        <v>28</v>
      </c>
      <c r="G66" s="201">
        <v>500</v>
      </c>
      <c r="H66" s="199">
        <f t="shared" ref="H66" si="9">19%*(G66*E66)+(G66*E66)</f>
        <v>595000</v>
      </c>
    </row>
    <row r="67" spans="2:9" ht="34.950000000000003" customHeight="1" thickBot="1" x14ac:dyDescent="0.35">
      <c r="B67" s="193"/>
      <c r="C67" s="153"/>
      <c r="D67" s="188"/>
      <c r="E67" s="187"/>
      <c r="F67" s="186"/>
      <c r="G67" s="202"/>
      <c r="H67" s="200"/>
    </row>
    <row r="68" spans="2:9" ht="34.950000000000003" customHeight="1" x14ac:dyDescent="0.3">
      <c r="B68" s="192">
        <v>3</v>
      </c>
      <c r="C68" s="153"/>
      <c r="D68" s="188" t="s">
        <v>41</v>
      </c>
      <c r="E68" s="185">
        <v>2</v>
      </c>
      <c r="F68" s="185" t="s">
        <v>42</v>
      </c>
      <c r="G68" s="201">
        <v>170000</v>
      </c>
      <c r="H68" s="199">
        <f t="shared" ref="H68" si="10">19%*(G68*E68)+(G68*E68)</f>
        <v>404600</v>
      </c>
    </row>
    <row r="69" spans="2:9" ht="34.950000000000003" customHeight="1" thickBot="1" x14ac:dyDescent="0.35">
      <c r="B69" s="193"/>
      <c r="C69" s="152"/>
      <c r="D69" s="188"/>
      <c r="E69" s="187"/>
      <c r="F69" s="186"/>
      <c r="G69" s="202"/>
      <c r="H69" s="200"/>
    </row>
    <row r="70" spans="2:9" ht="34.950000000000003" customHeight="1" x14ac:dyDescent="0.3">
      <c r="B70" s="192">
        <v>4</v>
      </c>
      <c r="C70" s="151" t="s">
        <v>9</v>
      </c>
      <c r="D70" s="188" t="s">
        <v>43</v>
      </c>
      <c r="E70" s="185">
        <v>1</v>
      </c>
      <c r="F70" s="185" t="s">
        <v>2</v>
      </c>
      <c r="G70" s="201">
        <v>3500000</v>
      </c>
      <c r="H70" s="199">
        <f t="shared" ref="H70" si="11">19%*(G70*E70)+(G70*E70)</f>
        <v>4165000</v>
      </c>
    </row>
    <row r="71" spans="2:9" ht="34.950000000000003" customHeight="1" thickBot="1" x14ac:dyDescent="0.35">
      <c r="B71" s="193"/>
      <c r="C71" s="153"/>
      <c r="D71" s="188"/>
      <c r="E71" s="187"/>
      <c r="F71" s="186"/>
      <c r="G71" s="202"/>
      <c r="H71" s="200"/>
    </row>
    <row r="72" spans="2:9" ht="34.950000000000003" customHeight="1" x14ac:dyDescent="0.3">
      <c r="B72" s="192">
        <v>5</v>
      </c>
      <c r="C72" s="153"/>
      <c r="D72" s="188" t="s">
        <v>44</v>
      </c>
      <c r="E72" s="185" t="s">
        <v>135</v>
      </c>
      <c r="F72" s="185" t="s">
        <v>2</v>
      </c>
      <c r="G72" s="201">
        <v>360000</v>
      </c>
      <c r="H72" s="199">
        <f>19%*(G72*3)+(G72*3)</f>
        <v>1285200</v>
      </c>
    </row>
    <row r="73" spans="2:9" ht="34.950000000000003" customHeight="1" thickBot="1" x14ac:dyDescent="0.35">
      <c r="B73" s="193"/>
      <c r="C73" s="153"/>
      <c r="D73" s="188"/>
      <c r="E73" s="187"/>
      <c r="F73" s="186"/>
      <c r="G73" s="202"/>
      <c r="H73" s="200"/>
    </row>
    <row r="74" spans="2:9" ht="34.950000000000003" customHeight="1" x14ac:dyDescent="0.3">
      <c r="B74" s="192">
        <v>6</v>
      </c>
      <c r="C74" s="153"/>
      <c r="D74" s="188" t="s">
        <v>45</v>
      </c>
      <c r="E74" s="185" t="s">
        <v>136</v>
      </c>
      <c r="F74" s="185" t="s">
        <v>2</v>
      </c>
      <c r="G74" s="226">
        <v>102800</v>
      </c>
      <c r="H74" s="228">
        <f>(19%*(G74*13)+(G74*13))*9</f>
        <v>14312844</v>
      </c>
    </row>
    <row r="75" spans="2:9" ht="34.950000000000003" customHeight="1" thickBot="1" x14ac:dyDescent="0.35">
      <c r="B75" s="193"/>
      <c r="C75" s="153"/>
      <c r="D75" s="188"/>
      <c r="E75" s="187"/>
      <c r="F75" s="186"/>
      <c r="G75" s="227"/>
      <c r="H75" s="229"/>
    </row>
    <row r="76" spans="2:9" ht="34.950000000000003" customHeight="1" x14ac:dyDescent="0.3">
      <c r="B76" s="192">
        <v>7</v>
      </c>
      <c r="C76" s="153"/>
      <c r="D76" s="188" t="s">
        <v>46</v>
      </c>
      <c r="E76" s="185" t="s">
        <v>137</v>
      </c>
      <c r="F76" s="185" t="s">
        <v>2</v>
      </c>
      <c r="G76" s="201">
        <v>103333.33333333333</v>
      </c>
      <c r="H76" s="199">
        <f>19%*(G76*60)+(G76*60)</f>
        <v>7378000</v>
      </c>
    </row>
    <row r="77" spans="2:9" ht="34.950000000000003" customHeight="1" thickBot="1" x14ac:dyDescent="0.35">
      <c r="B77" s="193"/>
      <c r="C77" s="153"/>
      <c r="D77" s="188"/>
      <c r="E77" s="187"/>
      <c r="F77" s="186"/>
      <c r="G77" s="202"/>
      <c r="H77" s="200"/>
    </row>
    <row r="78" spans="2:9" ht="34.950000000000003" customHeight="1" x14ac:dyDescent="0.3">
      <c r="B78" s="192">
        <v>8</v>
      </c>
      <c r="C78" s="153"/>
      <c r="D78" s="188" t="s">
        <v>47</v>
      </c>
      <c r="E78" s="185" t="s">
        <v>138</v>
      </c>
      <c r="F78" s="185" t="s">
        <v>2</v>
      </c>
      <c r="G78" s="224">
        <v>85667</v>
      </c>
      <c r="H78" s="199">
        <f>19%*(G78*402)+(G78*402)</f>
        <v>40981379.460000001</v>
      </c>
      <c r="I78">
        <v>6543245</v>
      </c>
    </row>
    <row r="79" spans="2:9" ht="34.950000000000003" customHeight="1" thickBot="1" x14ac:dyDescent="0.35">
      <c r="B79" s="193"/>
      <c r="C79" s="153"/>
      <c r="D79" s="188"/>
      <c r="E79" s="187"/>
      <c r="F79" s="186"/>
      <c r="G79" s="225"/>
      <c r="H79" s="200"/>
    </row>
    <row r="80" spans="2:9" ht="34.950000000000003" customHeight="1" x14ac:dyDescent="0.3">
      <c r="B80" s="192">
        <v>9</v>
      </c>
      <c r="C80" s="153"/>
      <c r="D80" s="188" t="s">
        <v>48</v>
      </c>
      <c r="E80" s="185" t="s">
        <v>139</v>
      </c>
      <c r="F80" s="185" t="s">
        <v>2</v>
      </c>
      <c r="G80" s="201">
        <v>128500</v>
      </c>
      <c r="H80" s="199">
        <f>19%*(G80*32)+(G80*32)</f>
        <v>4893280</v>
      </c>
    </row>
    <row r="81" spans="2:8" ht="34.950000000000003" customHeight="1" thickBot="1" x14ac:dyDescent="0.35">
      <c r="B81" s="193"/>
      <c r="C81" s="153"/>
      <c r="D81" s="188"/>
      <c r="E81" s="187"/>
      <c r="F81" s="186"/>
      <c r="G81" s="202"/>
      <c r="H81" s="200"/>
    </row>
    <row r="82" spans="2:8" ht="34.950000000000003" customHeight="1" x14ac:dyDescent="0.3">
      <c r="B82" s="192">
        <v>10</v>
      </c>
      <c r="C82" s="153"/>
      <c r="D82" s="188" t="s">
        <v>49</v>
      </c>
      <c r="E82" s="185" t="s">
        <v>140</v>
      </c>
      <c r="F82" s="185" t="s">
        <v>2</v>
      </c>
      <c r="G82" s="201">
        <v>3540000</v>
      </c>
      <c r="H82" s="199">
        <f>19%*(G82*9)+(G82*9)</f>
        <v>37913400</v>
      </c>
    </row>
    <row r="83" spans="2:8" ht="34.950000000000003" customHeight="1" thickBot="1" x14ac:dyDescent="0.35">
      <c r="B83" s="193"/>
      <c r="C83" s="152"/>
      <c r="D83" s="188"/>
      <c r="E83" s="187"/>
      <c r="F83" s="186"/>
      <c r="G83" s="202"/>
      <c r="H83" s="200"/>
    </row>
    <row r="84" spans="2:8" ht="34.950000000000003" customHeight="1" x14ac:dyDescent="0.3">
      <c r="B84" s="192">
        <v>11</v>
      </c>
      <c r="C84" s="151" t="s">
        <v>50</v>
      </c>
      <c r="D84" s="188" t="s">
        <v>141</v>
      </c>
      <c r="E84" s="185" t="s">
        <v>144</v>
      </c>
      <c r="F84" s="185" t="s">
        <v>143</v>
      </c>
      <c r="G84" s="201">
        <v>4266667</v>
      </c>
      <c r="H84" s="199">
        <f>19%*(G84*3)+(G84*3)</f>
        <v>15232001.189999999</v>
      </c>
    </row>
    <row r="85" spans="2:8" ht="34.950000000000003" customHeight="1" thickBot="1" x14ac:dyDescent="0.35">
      <c r="B85" s="193"/>
      <c r="C85" s="153"/>
      <c r="D85" s="188"/>
      <c r="E85" s="187"/>
      <c r="F85" s="186"/>
      <c r="G85" s="202"/>
      <c r="H85" s="200"/>
    </row>
    <row r="86" spans="2:8" ht="34.950000000000003" customHeight="1" x14ac:dyDescent="0.3">
      <c r="B86" s="192">
        <v>12</v>
      </c>
      <c r="C86" s="153"/>
      <c r="D86" s="188" t="s">
        <v>142</v>
      </c>
      <c r="E86" s="185" t="s">
        <v>144</v>
      </c>
      <c r="F86" s="185" t="s">
        <v>145</v>
      </c>
      <c r="G86" s="201">
        <v>4500000</v>
      </c>
      <c r="H86" s="199">
        <f>19%*(G86*3)+(G86*3)</f>
        <v>16065000</v>
      </c>
    </row>
    <row r="87" spans="2:8" ht="34.950000000000003" customHeight="1" thickBot="1" x14ac:dyDescent="0.35">
      <c r="B87" s="193"/>
      <c r="C87" s="153"/>
      <c r="D87" s="188"/>
      <c r="E87" s="187"/>
      <c r="F87" s="186"/>
      <c r="G87" s="202"/>
      <c r="H87" s="200"/>
    </row>
    <row r="88" spans="2:8" ht="34.950000000000003" customHeight="1" x14ac:dyDescent="0.3">
      <c r="B88" s="192">
        <v>13</v>
      </c>
      <c r="C88" s="153"/>
      <c r="D88" s="188" t="s">
        <v>51</v>
      </c>
      <c r="E88" s="185"/>
      <c r="F88" s="185"/>
      <c r="G88" s="201">
        <v>0</v>
      </c>
      <c r="H88" s="199">
        <f t="shared" ref="H88" si="12">19%*(G88*A88)+(G88*A88)</f>
        <v>0</v>
      </c>
    </row>
    <row r="89" spans="2:8" ht="34.950000000000003" customHeight="1" thickBot="1" x14ac:dyDescent="0.35">
      <c r="B89" s="193"/>
      <c r="C89" s="152"/>
      <c r="D89" s="188"/>
      <c r="E89" s="187"/>
      <c r="F89" s="186"/>
      <c r="G89" s="202"/>
      <c r="H89" s="200"/>
    </row>
    <row r="90" spans="2:8" ht="34.950000000000003" customHeight="1" x14ac:dyDescent="0.3">
      <c r="B90" s="192">
        <v>14</v>
      </c>
      <c r="C90" s="151" t="s">
        <v>52</v>
      </c>
      <c r="D90" s="188" t="s">
        <v>53</v>
      </c>
      <c r="E90" s="230">
        <v>3</v>
      </c>
      <c r="F90" s="230" t="s">
        <v>54</v>
      </c>
      <c r="G90" s="201">
        <v>6733333</v>
      </c>
      <c r="H90" s="199">
        <f>19%*(G90*3)+(G90*3)</f>
        <v>24037998.809999999</v>
      </c>
    </row>
    <row r="91" spans="2:8" ht="34.950000000000003" customHeight="1" thickBot="1" x14ac:dyDescent="0.35">
      <c r="B91" s="193"/>
      <c r="C91" s="153"/>
      <c r="D91" s="188"/>
      <c r="E91" s="231"/>
      <c r="F91" s="231"/>
      <c r="G91" s="202"/>
      <c r="H91" s="200"/>
    </row>
    <row r="92" spans="2:8" ht="34.950000000000003" customHeight="1" x14ac:dyDescent="0.3">
      <c r="B92" s="192">
        <v>15</v>
      </c>
      <c r="C92" s="153"/>
      <c r="D92" s="188" t="s">
        <v>149</v>
      </c>
      <c r="E92" s="231"/>
      <c r="F92" s="231"/>
      <c r="G92" s="201">
        <v>2416667</v>
      </c>
      <c r="H92" s="199">
        <f>19%*(G92*3)+(G92*3)</f>
        <v>8627501.1899999995</v>
      </c>
    </row>
    <row r="93" spans="2:8" ht="34.950000000000003" customHeight="1" thickBot="1" x14ac:dyDescent="0.35">
      <c r="B93" s="193"/>
      <c r="C93" s="153"/>
      <c r="D93" s="188"/>
      <c r="E93" s="231"/>
      <c r="F93" s="231"/>
      <c r="G93" s="202"/>
      <c r="H93" s="200"/>
    </row>
    <row r="94" spans="2:8" ht="34.950000000000003" customHeight="1" x14ac:dyDescent="0.3">
      <c r="B94" s="192">
        <v>16</v>
      </c>
      <c r="C94" s="153"/>
      <c r="D94" s="188" t="s">
        <v>146</v>
      </c>
      <c r="E94" s="231"/>
      <c r="F94" s="231"/>
      <c r="G94" s="201">
        <v>1780000</v>
      </c>
      <c r="H94" s="199">
        <f>19%*(G94*3)+(G94*3)</f>
        <v>6354600</v>
      </c>
    </row>
    <row r="95" spans="2:8" ht="34.950000000000003" customHeight="1" thickBot="1" x14ac:dyDescent="0.35">
      <c r="B95" s="193"/>
      <c r="C95" s="153"/>
      <c r="D95" s="188"/>
      <c r="E95" s="231"/>
      <c r="F95" s="231"/>
      <c r="G95" s="202"/>
      <c r="H95" s="200"/>
    </row>
    <row r="96" spans="2:8" ht="34.950000000000003" customHeight="1" x14ac:dyDescent="0.3">
      <c r="B96" s="192">
        <v>17</v>
      </c>
      <c r="C96" s="153"/>
      <c r="D96" s="188" t="s">
        <v>147</v>
      </c>
      <c r="E96" s="231"/>
      <c r="F96" s="231"/>
      <c r="G96" s="201">
        <v>983333</v>
      </c>
      <c r="H96" s="199">
        <f>19%*(G96*3)+(G96*3)</f>
        <v>3510498.81</v>
      </c>
    </row>
    <row r="97" spans="2:8" ht="34.950000000000003" customHeight="1" thickBot="1" x14ac:dyDescent="0.35">
      <c r="B97" s="193"/>
      <c r="C97" s="153"/>
      <c r="D97" s="188"/>
      <c r="E97" s="231"/>
      <c r="F97" s="231"/>
      <c r="G97" s="202"/>
      <c r="H97" s="200"/>
    </row>
    <row r="98" spans="2:8" ht="34.950000000000003" customHeight="1" x14ac:dyDescent="0.3">
      <c r="B98" s="192">
        <v>18</v>
      </c>
      <c r="C98" s="153"/>
      <c r="D98" s="188" t="s">
        <v>55</v>
      </c>
      <c r="E98" s="231"/>
      <c r="F98" s="231"/>
      <c r="G98" s="201">
        <v>0</v>
      </c>
      <c r="H98" s="199">
        <f>19%*(G98*3)+(G98*3)</f>
        <v>0</v>
      </c>
    </row>
    <row r="99" spans="2:8" ht="34.950000000000003" customHeight="1" thickBot="1" x14ac:dyDescent="0.35">
      <c r="B99" s="193"/>
      <c r="C99" s="153"/>
      <c r="D99" s="188"/>
      <c r="E99" s="231"/>
      <c r="F99" s="231"/>
      <c r="G99" s="202"/>
      <c r="H99" s="200"/>
    </row>
    <row r="100" spans="2:8" ht="34.950000000000003" customHeight="1" x14ac:dyDescent="0.3">
      <c r="B100" s="192">
        <v>19</v>
      </c>
      <c r="C100" s="153"/>
      <c r="D100" s="188" t="s">
        <v>148</v>
      </c>
      <c r="E100" s="231"/>
      <c r="F100" s="231"/>
      <c r="G100" s="201">
        <v>0</v>
      </c>
      <c r="H100" s="199">
        <f>19%*(G100*3)+(G100*3)</f>
        <v>0</v>
      </c>
    </row>
    <row r="101" spans="2:8" ht="34.950000000000003" customHeight="1" thickBot="1" x14ac:dyDescent="0.35">
      <c r="B101" s="193"/>
      <c r="C101" s="152"/>
      <c r="D101" s="188"/>
      <c r="E101" s="232"/>
      <c r="F101" s="232"/>
      <c r="G101" s="202"/>
      <c r="H101" s="200"/>
    </row>
    <row r="102" spans="2:8" ht="34.950000000000003" customHeight="1" x14ac:dyDescent="0.3">
      <c r="B102" s="192">
        <v>20</v>
      </c>
      <c r="C102" s="151" t="s">
        <v>56</v>
      </c>
      <c r="D102" s="188" t="s">
        <v>57</v>
      </c>
      <c r="E102" s="185" t="s">
        <v>150</v>
      </c>
      <c r="F102" s="185" t="s">
        <v>58</v>
      </c>
      <c r="G102" s="201">
        <v>4176667</v>
      </c>
      <c r="H102" s="199">
        <f>19%*(G102*3)+(G102*3)</f>
        <v>14910701.189999999</v>
      </c>
    </row>
    <row r="103" spans="2:8" ht="34.950000000000003" customHeight="1" thickBot="1" x14ac:dyDescent="0.35">
      <c r="B103" s="193"/>
      <c r="C103" s="152"/>
      <c r="D103" s="188"/>
      <c r="E103" s="187"/>
      <c r="F103" s="186"/>
      <c r="G103" s="202"/>
      <c r="H103" s="200"/>
    </row>
    <row r="104" spans="2:8" ht="34.950000000000003" customHeight="1" x14ac:dyDescent="0.3">
      <c r="B104" s="192">
        <v>21</v>
      </c>
      <c r="C104" s="151" t="s">
        <v>59</v>
      </c>
      <c r="D104" s="188" t="s">
        <v>60</v>
      </c>
      <c r="E104" s="185" t="s">
        <v>151</v>
      </c>
      <c r="F104" s="185" t="s">
        <v>8</v>
      </c>
      <c r="G104" s="201">
        <v>1330000</v>
      </c>
      <c r="H104" s="199">
        <f>19%*(G104*9)+(G104*9)</f>
        <v>14244300</v>
      </c>
    </row>
    <row r="105" spans="2:8" ht="34.950000000000003" customHeight="1" thickBot="1" x14ac:dyDescent="0.35">
      <c r="B105" s="193"/>
      <c r="C105" s="152"/>
      <c r="D105" s="188"/>
      <c r="E105" s="187"/>
      <c r="F105" s="186"/>
      <c r="G105" s="202"/>
      <c r="H105" s="200"/>
    </row>
    <row r="106" spans="2:8" ht="34.950000000000003" customHeight="1" x14ac:dyDescent="0.3">
      <c r="B106" s="192">
        <v>22</v>
      </c>
      <c r="C106" s="151" t="s">
        <v>61</v>
      </c>
      <c r="D106" s="188" t="s">
        <v>62</v>
      </c>
      <c r="E106" s="185" t="s">
        <v>153</v>
      </c>
      <c r="F106" s="185" t="s">
        <v>8</v>
      </c>
      <c r="G106" s="201">
        <v>119500</v>
      </c>
      <c r="H106" s="199">
        <f>19%*(G106*180)+(G106*180)</f>
        <v>25596900</v>
      </c>
    </row>
    <row r="107" spans="2:8" ht="34.950000000000003" customHeight="1" thickBot="1" x14ac:dyDescent="0.35">
      <c r="B107" s="193"/>
      <c r="C107" s="152"/>
      <c r="D107" s="188"/>
      <c r="E107" s="187"/>
      <c r="F107" s="186"/>
      <c r="G107" s="202"/>
      <c r="H107" s="200"/>
    </row>
    <row r="108" spans="2:8" ht="34.950000000000003" customHeight="1" x14ac:dyDescent="0.3">
      <c r="B108" s="192">
        <v>23</v>
      </c>
      <c r="C108" s="151" t="s">
        <v>61</v>
      </c>
      <c r="D108" s="188" t="s">
        <v>63</v>
      </c>
      <c r="E108" s="185" t="s">
        <v>152</v>
      </c>
      <c r="F108" s="185" t="s">
        <v>8</v>
      </c>
      <c r="G108" s="201">
        <v>114833</v>
      </c>
      <c r="H108" s="199">
        <f>19%*(G108*270)+(G108*270)</f>
        <v>36895842.899999999</v>
      </c>
    </row>
    <row r="109" spans="2:8" ht="34.950000000000003" customHeight="1" thickBot="1" x14ac:dyDescent="0.35">
      <c r="B109" s="193"/>
      <c r="C109" s="152"/>
      <c r="D109" s="188"/>
      <c r="E109" s="187"/>
      <c r="F109" s="186"/>
      <c r="G109" s="202"/>
      <c r="H109" s="200"/>
    </row>
    <row r="110" spans="2:8" ht="34.950000000000003" customHeight="1" x14ac:dyDescent="0.3">
      <c r="B110" s="192">
        <v>24</v>
      </c>
      <c r="C110" s="151" t="s">
        <v>64</v>
      </c>
      <c r="D110" s="188" t="s">
        <v>65</v>
      </c>
      <c r="E110" s="185" t="s">
        <v>152</v>
      </c>
      <c r="F110" s="185" t="s">
        <v>8</v>
      </c>
      <c r="G110" s="201">
        <v>10850</v>
      </c>
      <c r="H110" s="199">
        <f>19%*(G110*270)+(G110*270)</f>
        <v>3486105</v>
      </c>
    </row>
    <row r="111" spans="2:8" ht="34.950000000000003" customHeight="1" thickBot="1" x14ac:dyDescent="0.35">
      <c r="B111" s="193"/>
      <c r="C111" s="152"/>
      <c r="D111" s="188"/>
      <c r="E111" s="187"/>
      <c r="F111" s="186"/>
      <c r="G111" s="202"/>
      <c r="H111" s="200"/>
    </row>
    <row r="112" spans="2:8" ht="34.950000000000003" customHeight="1" x14ac:dyDescent="0.3">
      <c r="B112" s="192">
        <v>25</v>
      </c>
      <c r="C112" s="151" t="s">
        <v>66</v>
      </c>
      <c r="D112" s="240" t="s">
        <v>345</v>
      </c>
      <c r="E112" s="185" t="s">
        <v>154</v>
      </c>
      <c r="F112" s="185" t="s">
        <v>8</v>
      </c>
      <c r="G112" s="201">
        <v>12000</v>
      </c>
      <c r="H112" s="199">
        <f>19%*(G112*1080)+(G112*1080)</f>
        <v>15422400</v>
      </c>
    </row>
    <row r="113" spans="2:8" ht="34.950000000000003" customHeight="1" thickBot="1" x14ac:dyDescent="0.35">
      <c r="B113" s="193"/>
      <c r="C113" s="152"/>
      <c r="D113" s="241"/>
      <c r="E113" s="187"/>
      <c r="F113" s="186"/>
      <c r="G113" s="202"/>
      <c r="H113" s="200"/>
    </row>
    <row r="114" spans="2:8" ht="34.950000000000003" customHeight="1" x14ac:dyDescent="0.3">
      <c r="B114" s="192">
        <v>26</v>
      </c>
      <c r="C114" s="151" t="s">
        <v>67</v>
      </c>
      <c r="D114" s="188" t="s">
        <v>68</v>
      </c>
      <c r="E114" s="185" t="s">
        <v>166</v>
      </c>
      <c r="F114" s="185" t="s">
        <v>8</v>
      </c>
      <c r="G114" s="201">
        <v>950</v>
      </c>
      <c r="H114" s="199">
        <f>19%*(G114*900)+(G114*900)</f>
        <v>1017450</v>
      </c>
    </row>
    <row r="115" spans="2:8" ht="34.950000000000003" customHeight="1" thickBot="1" x14ac:dyDescent="0.35">
      <c r="B115" s="193"/>
      <c r="C115" s="152"/>
      <c r="D115" s="188"/>
      <c r="E115" s="187"/>
      <c r="F115" s="186"/>
      <c r="G115" s="202"/>
      <c r="H115" s="200"/>
    </row>
    <row r="116" spans="2:8" ht="34.950000000000003" customHeight="1" x14ac:dyDescent="0.3">
      <c r="B116" s="192">
        <v>27</v>
      </c>
      <c r="C116" s="151" t="s">
        <v>69</v>
      </c>
      <c r="D116" s="240" t="s">
        <v>346</v>
      </c>
      <c r="E116" s="185" t="s">
        <v>165</v>
      </c>
      <c r="F116" s="185" t="s">
        <v>8</v>
      </c>
      <c r="G116" s="201">
        <v>18000</v>
      </c>
      <c r="H116" s="199">
        <f>19%*(G116*1080)+(G116*1080)</f>
        <v>23133600</v>
      </c>
    </row>
    <row r="117" spans="2:8" ht="34.950000000000003" customHeight="1" thickBot="1" x14ac:dyDescent="0.35">
      <c r="B117" s="193"/>
      <c r="C117" s="152"/>
      <c r="D117" s="241"/>
      <c r="E117" s="187"/>
      <c r="F117" s="186"/>
      <c r="G117" s="202"/>
      <c r="H117" s="200"/>
    </row>
    <row r="118" spans="2:8" ht="34.950000000000003" customHeight="1" x14ac:dyDescent="0.3">
      <c r="B118" s="192">
        <v>28</v>
      </c>
      <c r="C118" s="151" t="s">
        <v>70</v>
      </c>
      <c r="D118" s="188" t="s">
        <v>156</v>
      </c>
      <c r="E118" s="185">
        <v>2100</v>
      </c>
      <c r="F118" s="185" t="s">
        <v>158</v>
      </c>
      <c r="G118" s="201">
        <v>560</v>
      </c>
      <c r="H118" s="199">
        <f>19%*(G118*E118)+(G118*E118)</f>
        <v>1399440</v>
      </c>
    </row>
    <row r="119" spans="2:8" ht="34.950000000000003" customHeight="1" thickBot="1" x14ac:dyDescent="0.35">
      <c r="B119" s="193"/>
      <c r="C119" s="153"/>
      <c r="D119" s="188"/>
      <c r="E119" s="187"/>
      <c r="F119" s="186"/>
      <c r="G119" s="202"/>
      <c r="H119" s="200"/>
    </row>
    <row r="120" spans="2:8" ht="34.950000000000003" customHeight="1" x14ac:dyDescent="0.3">
      <c r="B120" s="192">
        <v>29</v>
      </c>
      <c r="C120" s="153"/>
      <c r="D120" s="188" t="s">
        <v>167</v>
      </c>
      <c r="E120" s="185">
        <v>1050</v>
      </c>
      <c r="F120" s="185" t="s">
        <v>158</v>
      </c>
      <c r="G120" s="201">
        <v>1150</v>
      </c>
      <c r="H120" s="199">
        <f>19%*(G120*E120)+(G120*E120)</f>
        <v>1436925</v>
      </c>
    </row>
    <row r="121" spans="2:8" ht="34.950000000000003" customHeight="1" thickBot="1" x14ac:dyDescent="0.35">
      <c r="B121" s="193"/>
      <c r="C121" s="153"/>
      <c r="D121" s="188"/>
      <c r="E121" s="187"/>
      <c r="F121" s="186"/>
      <c r="G121" s="202"/>
      <c r="H121" s="200"/>
    </row>
    <row r="122" spans="2:8" ht="34.950000000000003" customHeight="1" x14ac:dyDescent="0.3">
      <c r="B122" s="192">
        <v>30</v>
      </c>
      <c r="C122" s="153"/>
      <c r="D122" s="188" t="s">
        <v>155</v>
      </c>
      <c r="E122" s="185">
        <v>1050</v>
      </c>
      <c r="F122" s="185" t="s">
        <v>158</v>
      </c>
      <c r="G122" s="201">
        <v>600</v>
      </c>
      <c r="H122" s="199">
        <f>19%*(G122*E122)+(G122*E122)</f>
        <v>749700</v>
      </c>
    </row>
    <row r="123" spans="2:8" ht="34.950000000000003" customHeight="1" thickBot="1" x14ac:dyDescent="0.35">
      <c r="B123" s="193"/>
      <c r="C123" s="152"/>
      <c r="D123" s="188"/>
      <c r="E123" s="187"/>
      <c r="F123" s="186"/>
      <c r="G123" s="202"/>
      <c r="H123" s="200"/>
    </row>
    <row r="124" spans="2:8" ht="34.950000000000003" customHeight="1" x14ac:dyDescent="0.3">
      <c r="B124" s="192">
        <v>31</v>
      </c>
      <c r="C124" s="151" t="s">
        <v>71</v>
      </c>
      <c r="D124" s="188" t="s">
        <v>72</v>
      </c>
      <c r="E124" s="185" t="s">
        <v>164</v>
      </c>
      <c r="F124" s="185" t="s">
        <v>8</v>
      </c>
      <c r="G124" s="201">
        <v>130000</v>
      </c>
      <c r="H124" s="199">
        <f>19%*(G124*78)+(G124*78)</f>
        <v>12066600</v>
      </c>
    </row>
    <row r="125" spans="2:8" ht="34.950000000000003" customHeight="1" thickBot="1" x14ac:dyDescent="0.35">
      <c r="B125" s="193"/>
      <c r="C125" s="152"/>
      <c r="D125" s="188"/>
      <c r="E125" s="187"/>
      <c r="F125" s="186"/>
      <c r="G125" s="202"/>
      <c r="H125" s="200"/>
    </row>
    <row r="126" spans="2:8" ht="34.950000000000003" customHeight="1" x14ac:dyDescent="0.3">
      <c r="B126" s="192">
        <v>32</v>
      </c>
      <c r="C126" s="151" t="s">
        <v>73</v>
      </c>
      <c r="D126" s="188" t="s">
        <v>74</v>
      </c>
      <c r="E126" s="185" t="s">
        <v>347</v>
      </c>
      <c r="F126" s="185" t="s">
        <v>8</v>
      </c>
      <c r="G126" s="201">
        <v>17500</v>
      </c>
      <c r="H126" s="199">
        <f>19%*(G126*1000)+(G126*1000)</f>
        <v>20825000</v>
      </c>
    </row>
    <row r="127" spans="2:8" ht="34.950000000000003" customHeight="1" thickBot="1" x14ac:dyDescent="0.35">
      <c r="B127" s="193"/>
      <c r="C127" s="152"/>
      <c r="D127" s="188"/>
      <c r="E127" s="187"/>
      <c r="F127" s="186"/>
      <c r="G127" s="202"/>
      <c r="H127" s="200"/>
    </row>
    <row r="128" spans="2:8" ht="34.950000000000003" customHeight="1" x14ac:dyDescent="0.3">
      <c r="B128" s="192">
        <v>33</v>
      </c>
      <c r="C128" s="151" t="s">
        <v>75</v>
      </c>
      <c r="D128" s="188" t="s">
        <v>76</v>
      </c>
      <c r="E128" s="185" t="s">
        <v>163</v>
      </c>
      <c r="F128" s="185" t="s">
        <v>158</v>
      </c>
      <c r="G128" s="201">
        <v>18900</v>
      </c>
      <c r="H128" s="199">
        <f>19%*(G128*150)+(G128*150)</f>
        <v>3373650</v>
      </c>
    </row>
    <row r="129" spans="2:8" ht="34.950000000000003" customHeight="1" thickBot="1" x14ac:dyDescent="0.35">
      <c r="B129" s="193"/>
      <c r="C129" s="152"/>
      <c r="D129" s="188"/>
      <c r="E129" s="187"/>
      <c r="F129" s="186"/>
      <c r="G129" s="202"/>
      <c r="H129" s="200"/>
    </row>
    <row r="130" spans="2:8" ht="34.950000000000003" customHeight="1" x14ac:dyDescent="0.3">
      <c r="B130" s="192">
        <v>34</v>
      </c>
      <c r="C130" s="151" t="s">
        <v>77</v>
      </c>
      <c r="D130" s="188" t="s">
        <v>78</v>
      </c>
      <c r="E130" s="185">
        <v>1</v>
      </c>
      <c r="F130" s="185" t="s">
        <v>2</v>
      </c>
      <c r="G130" s="201">
        <v>2900000</v>
      </c>
      <c r="H130" s="199">
        <f t="shared" ref="H130" si="13">19%*(G130*E130)+(G130*E130)</f>
        <v>3451000</v>
      </c>
    </row>
    <row r="131" spans="2:8" ht="34.950000000000003" customHeight="1" thickBot="1" x14ac:dyDescent="0.35">
      <c r="B131" s="193"/>
      <c r="C131" s="152"/>
      <c r="D131" s="188"/>
      <c r="E131" s="187"/>
      <c r="F131" s="186"/>
      <c r="G131" s="202"/>
      <c r="H131" s="200"/>
    </row>
    <row r="132" spans="2:8" ht="34.950000000000003" customHeight="1" x14ac:dyDescent="0.3">
      <c r="B132" s="192">
        <v>35</v>
      </c>
      <c r="C132" s="151" t="s">
        <v>79</v>
      </c>
      <c r="D132" s="188" t="s">
        <v>80</v>
      </c>
      <c r="E132" s="185" t="s">
        <v>159</v>
      </c>
      <c r="F132" s="185" t="s">
        <v>8</v>
      </c>
      <c r="G132" s="201">
        <v>2780</v>
      </c>
      <c r="H132" s="199">
        <f>19%*(G132*1620)+(G132*1620)</f>
        <v>5359284</v>
      </c>
    </row>
    <row r="133" spans="2:8" ht="34.950000000000003" customHeight="1" thickBot="1" x14ac:dyDescent="0.35">
      <c r="B133" s="193"/>
      <c r="C133" s="152"/>
      <c r="D133" s="188"/>
      <c r="E133" s="187"/>
      <c r="F133" s="186"/>
      <c r="G133" s="202"/>
      <c r="H133" s="200"/>
    </row>
    <row r="134" spans="2:8" ht="34.950000000000003" customHeight="1" x14ac:dyDescent="0.3">
      <c r="B134" s="192">
        <v>36</v>
      </c>
      <c r="C134" s="151" t="s">
        <v>81</v>
      </c>
      <c r="D134" s="188" t="s">
        <v>157</v>
      </c>
      <c r="E134" s="185" t="s">
        <v>162</v>
      </c>
      <c r="F134" s="185" t="s">
        <v>8</v>
      </c>
      <c r="G134" s="201">
        <v>375</v>
      </c>
      <c r="H134" s="199">
        <f>19%*(G134*1620)+(G134*1620)</f>
        <v>722925</v>
      </c>
    </row>
    <row r="135" spans="2:8" ht="34.950000000000003" customHeight="1" thickBot="1" x14ac:dyDescent="0.35">
      <c r="B135" s="193"/>
      <c r="C135" s="153"/>
      <c r="D135" s="188"/>
      <c r="E135" s="187"/>
      <c r="F135" s="186"/>
      <c r="G135" s="202"/>
      <c r="H135" s="200"/>
    </row>
    <row r="136" spans="2:8" ht="34.950000000000003" customHeight="1" x14ac:dyDescent="0.3">
      <c r="B136" s="192">
        <v>37</v>
      </c>
      <c r="C136" s="153"/>
      <c r="D136" s="188" t="s">
        <v>160</v>
      </c>
      <c r="E136" s="185" t="s">
        <v>161</v>
      </c>
      <c r="F136" s="185" t="s">
        <v>158</v>
      </c>
      <c r="G136" s="201">
        <v>482</v>
      </c>
      <c r="H136" s="199">
        <f>19%*(G136*3240)+(G136*3240)</f>
        <v>1858399.2</v>
      </c>
    </row>
    <row r="137" spans="2:8" ht="34.950000000000003" customHeight="1" thickBot="1" x14ac:dyDescent="0.35">
      <c r="B137" s="193"/>
      <c r="C137" s="153"/>
      <c r="D137" s="188"/>
      <c r="E137" s="187"/>
      <c r="F137" s="186"/>
      <c r="G137" s="202"/>
      <c r="H137" s="200"/>
    </row>
    <row r="138" spans="2:8" ht="34.950000000000003" customHeight="1" x14ac:dyDescent="0.3">
      <c r="B138" s="192">
        <v>38</v>
      </c>
      <c r="C138" s="153"/>
      <c r="D138" s="188" t="s">
        <v>168</v>
      </c>
      <c r="E138" s="185" t="s">
        <v>162</v>
      </c>
      <c r="F138" s="185" t="s">
        <v>2</v>
      </c>
      <c r="G138" s="201">
        <v>517</v>
      </c>
      <c r="H138" s="199">
        <f>19%*(G138*1620)+(G138*1620)</f>
        <v>996672.6</v>
      </c>
    </row>
    <row r="139" spans="2:8" ht="34.950000000000003" customHeight="1" thickBot="1" x14ac:dyDescent="0.35">
      <c r="B139" s="193"/>
      <c r="C139" s="153"/>
      <c r="D139" s="188"/>
      <c r="E139" s="187"/>
      <c r="F139" s="186"/>
      <c r="G139" s="202"/>
      <c r="H139" s="200"/>
    </row>
    <row r="140" spans="2:8" ht="34.950000000000003" customHeight="1" x14ac:dyDescent="0.3">
      <c r="B140" s="192">
        <v>39</v>
      </c>
      <c r="C140" s="153"/>
      <c r="D140" s="188" t="s">
        <v>169</v>
      </c>
      <c r="E140" s="185" t="s">
        <v>162</v>
      </c>
      <c r="F140" s="185" t="s">
        <v>28</v>
      </c>
      <c r="G140" s="201">
        <v>2400</v>
      </c>
      <c r="H140" s="199">
        <f>19%*(G140*1620)+(G140*1620)</f>
        <v>4626720</v>
      </c>
    </row>
    <row r="141" spans="2:8" ht="34.950000000000003" customHeight="1" thickBot="1" x14ac:dyDescent="0.35">
      <c r="B141" s="193"/>
      <c r="C141" s="152"/>
      <c r="D141" s="188"/>
      <c r="E141" s="187"/>
      <c r="F141" s="186"/>
      <c r="G141" s="202"/>
      <c r="H141" s="200"/>
    </row>
    <row r="142" spans="2:8" ht="34.950000000000003" customHeight="1" x14ac:dyDescent="0.3">
      <c r="B142" s="192">
        <v>40</v>
      </c>
      <c r="C142" s="151" t="s">
        <v>82</v>
      </c>
      <c r="D142" s="188" t="s">
        <v>83</v>
      </c>
      <c r="E142" s="185">
        <v>10</v>
      </c>
      <c r="F142" s="185" t="s">
        <v>84</v>
      </c>
      <c r="G142" s="201">
        <v>1093333</v>
      </c>
      <c r="H142" s="199">
        <f t="shared" ref="H142" si="14">19%*(G142*E142)+(G142*E142)</f>
        <v>13010662.699999999</v>
      </c>
    </row>
    <row r="143" spans="2:8" ht="34.950000000000003" customHeight="1" thickBot="1" x14ac:dyDescent="0.35">
      <c r="B143" s="193"/>
      <c r="C143" s="152"/>
      <c r="D143" s="188"/>
      <c r="E143" s="187"/>
      <c r="F143" s="186"/>
      <c r="G143" s="202"/>
      <c r="H143" s="200"/>
    </row>
    <row r="144" spans="2:8" ht="34.950000000000003" customHeight="1" x14ac:dyDescent="0.3">
      <c r="B144" s="192">
        <v>41</v>
      </c>
      <c r="C144" s="151" t="s">
        <v>85</v>
      </c>
      <c r="D144" s="188" t="s">
        <v>86</v>
      </c>
      <c r="E144" s="185">
        <v>8</v>
      </c>
      <c r="F144" s="185" t="s">
        <v>87</v>
      </c>
      <c r="G144" s="201">
        <v>2500000</v>
      </c>
      <c r="H144" s="199">
        <f t="shared" ref="H144" si="15">19%*(G144*E144)+(G144*E144)</f>
        <v>23800000</v>
      </c>
    </row>
    <row r="145" spans="2:8" ht="34.950000000000003" customHeight="1" thickBot="1" x14ac:dyDescent="0.35">
      <c r="B145" s="193"/>
      <c r="C145" s="152"/>
      <c r="D145" s="188"/>
      <c r="E145" s="187"/>
      <c r="F145" s="186"/>
      <c r="G145" s="202"/>
      <c r="H145" s="200"/>
    </row>
    <row r="146" spans="2:8" ht="34.950000000000003" customHeight="1" x14ac:dyDescent="0.3">
      <c r="B146" s="192">
        <v>42</v>
      </c>
      <c r="C146" s="151" t="s">
        <v>88</v>
      </c>
      <c r="D146" s="188" t="s">
        <v>89</v>
      </c>
      <c r="E146" s="185">
        <v>2</v>
      </c>
      <c r="F146" s="185" t="s">
        <v>170</v>
      </c>
      <c r="G146" s="201">
        <v>23000000</v>
      </c>
      <c r="H146" s="199">
        <f t="shared" ref="H146" si="16">19%*(G146*E146)+(G146*E146)</f>
        <v>54740000</v>
      </c>
    </row>
    <row r="147" spans="2:8" ht="34.950000000000003" customHeight="1" thickBot="1" x14ac:dyDescent="0.35">
      <c r="B147" s="193"/>
      <c r="C147" s="152"/>
      <c r="D147" s="188"/>
      <c r="E147" s="187"/>
      <c r="F147" s="186"/>
      <c r="G147" s="202"/>
      <c r="H147" s="200"/>
    </row>
    <row r="148" spans="2:8" ht="34.950000000000003" customHeight="1" x14ac:dyDescent="0.3">
      <c r="B148" s="192">
        <v>43</v>
      </c>
      <c r="C148" s="151" t="s">
        <v>90</v>
      </c>
      <c r="D148" s="185" t="s">
        <v>91</v>
      </c>
      <c r="E148" s="185" t="s">
        <v>93</v>
      </c>
      <c r="F148" s="185" t="s">
        <v>92</v>
      </c>
      <c r="G148" s="201">
        <v>3000000</v>
      </c>
      <c r="H148" s="199">
        <f>19%*(G148)+(G148)</f>
        <v>3570000</v>
      </c>
    </row>
    <row r="149" spans="2:8" ht="34.950000000000003" customHeight="1" thickBot="1" x14ac:dyDescent="0.35">
      <c r="B149" s="193"/>
      <c r="C149" s="153"/>
      <c r="D149" s="186"/>
      <c r="E149" s="187"/>
      <c r="F149" s="186"/>
      <c r="G149" s="202"/>
      <c r="H149" s="200"/>
    </row>
    <row r="150" spans="2:8" ht="34.950000000000003" customHeight="1" x14ac:dyDescent="0.3">
      <c r="B150" s="192">
        <v>44</v>
      </c>
      <c r="C150" s="153"/>
      <c r="D150" s="186"/>
      <c r="E150" s="185" t="s">
        <v>95</v>
      </c>
      <c r="F150" s="185" t="s">
        <v>94</v>
      </c>
      <c r="G150" s="201">
        <v>5000000</v>
      </c>
      <c r="H150" s="199">
        <f>19%*(G150)+(G150)</f>
        <v>5950000</v>
      </c>
    </row>
    <row r="151" spans="2:8" ht="34.950000000000003" customHeight="1" thickBot="1" x14ac:dyDescent="0.35">
      <c r="B151" s="193"/>
      <c r="C151" s="153"/>
      <c r="D151" s="186"/>
      <c r="E151" s="187"/>
      <c r="F151" s="186"/>
      <c r="G151" s="202"/>
      <c r="H151" s="200"/>
    </row>
    <row r="152" spans="2:8" ht="34.950000000000003" customHeight="1" x14ac:dyDescent="0.3">
      <c r="B152" s="192">
        <v>45</v>
      </c>
      <c r="C152" s="153"/>
      <c r="D152" s="186"/>
      <c r="E152" s="185" t="s">
        <v>97</v>
      </c>
      <c r="F152" s="185" t="s">
        <v>96</v>
      </c>
      <c r="G152" s="201">
        <v>7000000</v>
      </c>
      <c r="H152" s="199">
        <f>19%*(G152)+(G152)</f>
        <v>8330000</v>
      </c>
    </row>
    <row r="153" spans="2:8" ht="34.950000000000003" customHeight="1" thickBot="1" x14ac:dyDescent="0.35">
      <c r="B153" s="193"/>
      <c r="C153" s="153"/>
      <c r="D153" s="187"/>
      <c r="E153" s="187"/>
      <c r="F153" s="186"/>
      <c r="G153" s="202"/>
      <c r="H153" s="200"/>
    </row>
    <row r="154" spans="2:8" ht="34.950000000000003" customHeight="1" x14ac:dyDescent="0.3">
      <c r="B154" s="192">
        <v>46</v>
      </c>
      <c r="C154" s="153"/>
      <c r="D154" s="188" t="s">
        <v>98</v>
      </c>
      <c r="E154" s="185" t="s">
        <v>100</v>
      </c>
      <c r="F154" s="185" t="s">
        <v>99</v>
      </c>
      <c r="G154" s="201">
        <v>4000000</v>
      </c>
      <c r="H154" s="199">
        <f t="shared" ref="H154" si="17">19%*(G154)+(G154)</f>
        <v>4760000</v>
      </c>
    </row>
    <row r="155" spans="2:8" ht="34.950000000000003" customHeight="1" thickBot="1" x14ac:dyDescent="0.35">
      <c r="B155" s="193"/>
      <c r="C155" s="152"/>
      <c r="D155" s="188"/>
      <c r="E155" s="187"/>
      <c r="F155" s="186"/>
      <c r="G155" s="202"/>
      <c r="H155" s="200"/>
    </row>
    <row r="156" spans="2:8" ht="34.950000000000003" customHeight="1" x14ac:dyDescent="0.3">
      <c r="B156" s="192">
        <v>47</v>
      </c>
      <c r="C156" s="151" t="s">
        <v>101</v>
      </c>
      <c r="D156" s="237" t="s">
        <v>102</v>
      </c>
      <c r="E156" s="185" t="s">
        <v>104</v>
      </c>
      <c r="F156" s="185" t="s">
        <v>103</v>
      </c>
      <c r="G156" s="201">
        <v>3000000</v>
      </c>
      <c r="H156" s="199">
        <f t="shared" ref="H156" si="18">19%*(G156)+(G156)</f>
        <v>3570000</v>
      </c>
    </row>
    <row r="157" spans="2:8" ht="34.950000000000003" customHeight="1" thickBot="1" x14ac:dyDescent="0.35">
      <c r="B157" s="193"/>
      <c r="C157" s="153"/>
      <c r="D157" s="238"/>
      <c r="E157" s="187"/>
      <c r="F157" s="186"/>
      <c r="G157" s="202"/>
      <c r="H157" s="200"/>
    </row>
    <row r="158" spans="2:8" ht="34.950000000000003" customHeight="1" x14ac:dyDescent="0.3">
      <c r="B158" s="192">
        <v>48</v>
      </c>
      <c r="C158" s="153"/>
      <c r="D158" s="238"/>
      <c r="E158" s="185" t="s">
        <v>106</v>
      </c>
      <c r="F158" s="185" t="s">
        <v>105</v>
      </c>
      <c r="G158" s="201">
        <v>4000000</v>
      </c>
      <c r="H158" s="199">
        <f t="shared" ref="H158:H162" si="19">19%*(G158)+(G158)</f>
        <v>4760000</v>
      </c>
    </row>
    <row r="159" spans="2:8" ht="34.950000000000003" customHeight="1" thickBot="1" x14ac:dyDescent="0.35">
      <c r="B159" s="193"/>
      <c r="C159" s="153"/>
      <c r="D159" s="238"/>
      <c r="E159" s="187"/>
      <c r="F159" s="186"/>
      <c r="G159" s="202"/>
      <c r="H159" s="200"/>
    </row>
    <row r="160" spans="2:8" ht="34.950000000000003" customHeight="1" x14ac:dyDescent="0.3">
      <c r="B160" s="192">
        <v>49</v>
      </c>
      <c r="C160" s="153"/>
      <c r="D160" s="238"/>
      <c r="E160" s="185" t="s">
        <v>108</v>
      </c>
      <c r="F160" s="185" t="s">
        <v>107</v>
      </c>
      <c r="G160" s="201">
        <v>5000000</v>
      </c>
      <c r="H160" s="199">
        <f t="shared" si="19"/>
        <v>5950000</v>
      </c>
    </row>
    <row r="161" spans="2:8" ht="34.950000000000003" customHeight="1" thickBot="1" x14ac:dyDescent="0.35">
      <c r="B161" s="193"/>
      <c r="C161" s="152"/>
      <c r="D161" s="239"/>
      <c r="E161" s="187"/>
      <c r="F161" s="186"/>
      <c r="G161" s="202"/>
      <c r="H161" s="200"/>
    </row>
    <row r="162" spans="2:8" ht="34.950000000000003" customHeight="1" x14ac:dyDescent="0.3">
      <c r="B162" s="192">
        <v>50</v>
      </c>
      <c r="C162" s="151" t="s">
        <v>109</v>
      </c>
      <c r="D162" s="188" t="s">
        <v>110</v>
      </c>
      <c r="E162" s="185" t="s">
        <v>171</v>
      </c>
      <c r="F162" s="185" t="s">
        <v>28</v>
      </c>
      <c r="G162" s="201">
        <v>2340000</v>
      </c>
      <c r="H162" s="199">
        <f t="shared" si="19"/>
        <v>2784600</v>
      </c>
    </row>
    <row r="163" spans="2:8" ht="34.950000000000003" customHeight="1" thickBot="1" x14ac:dyDescent="0.35">
      <c r="B163" s="193"/>
      <c r="C163" s="152"/>
      <c r="D163" s="188"/>
      <c r="E163" s="187"/>
      <c r="F163" s="186"/>
      <c r="G163" s="202"/>
      <c r="H163" s="200"/>
    </row>
    <row r="164" spans="2:8" ht="34.950000000000003" customHeight="1" x14ac:dyDescent="0.3">
      <c r="B164" s="192">
        <v>51</v>
      </c>
      <c r="C164" s="151" t="s">
        <v>111</v>
      </c>
      <c r="D164" s="188" t="s">
        <v>112</v>
      </c>
      <c r="E164" s="185" t="s">
        <v>172</v>
      </c>
      <c r="F164" s="185" t="s">
        <v>2</v>
      </c>
      <c r="G164" s="201">
        <v>7500000</v>
      </c>
      <c r="H164" s="199">
        <f>19%*(G164*3)+(G164*3)</f>
        <v>26775000</v>
      </c>
    </row>
    <row r="165" spans="2:8" ht="34.950000000000003" customHeight="1" thickBot="1" x14ac:dyDescent="0.35">
      <c r="B165" s="193"/>
      <c r="C165" s="153"/>
      <c r="D165" s="188"/>
      <c r="E165" s="187"/>
      <c r="F165" s="186"/>
      <c r="G165" s="202"/>
      <c r="H165" s="200"/>
    </row>
    <row r="166" spans="2:8" ht="34.950000000000003" customHeight="1" x14ac:dyDescent="0.3">
      <c r="B166" s="192">
        <v>52</v>
      </c>
      <c r="C166" s="153" t="s">
        <v>113</v>
      </c>
      <c r="D166" s="188" t="s">
        <v>114</v>
      </c>
      <c r="E166" s="185">
        <v>6</v>
      </c>
      <c r="F166" s="185" t="s">
        <v>2</v>
      </c>
      <c r="G166" s="201">
        <v>60000</v>
      </c>
      <c r="H166" s="199">
        <f t="shared" ref="H166:H180" si="20">19%*(G166*E166)+(G166*E166)</f>
        <v>428400</v>
      </c>
    </row>
    <row r="167" spans="2:8" ht="34.950000000000003" customHeight="1" thickBot="1" x14ac:dyDescent="0.35">
      <c r="B167" s="193"/>
      <c r="C167" s="152"/>
      <c r="D167" s="188"/>
      <c r="E167" s="187"/>
      <c r="F167" s="186"/>
      <c r="G167" s="202"/>
      <c r="H167" s="200"/>
    </row>
    <row r="168" spans="2:8" ht="34.950000000000003" customHeight="1" x14ac:dyDescent="0.3">
      <c r="B168" s="192">
        <v>53</v>
      </c>
      <c r="C168" s="151" t="s">
        <v>115</v>
      </c>
      <c r="D168" s="188" t="s">
        <v>116</v>
      </c>
      <c r="E168" s="185">
        <v>6</v>
      </c>
      <c r="F168" s="185" t="s">
        <v>2</v>
      </c>
      <c r="G168" s="201">
        <v>60000</v>
      </c>
      <c r="H168" s="199">
        <f t="shared" si="20"/>
        <v>428400</v>
      </c>
    </row>
    <row r="169" spans="2:8" ht="34.950000000000003" customHeight="1" thickBot="1" x14ac:dyDescent="0.35">
      <c r="B169" s="193"/>
      <c r="C169" s="152"/>
      <c r="D169" s="188"/>
      <c r="E169" s="187"/>
      <c r="F169" s="186"/>
      <c r="G169" s="202"/>
      <c r="H169" s="200"/>
    </row>
    <row r="170" spans="2:8" ht="34.950000000000003" customHeight="1" x14ac:dyDescent="0.3">
      <c r="B170" s="192">
        <v>54</v>
      </c>
      <c r="C170" s="151" t="s">
        <v>117</v>
      </c>
      <c r="D170" s="188" t="s">
        <v>118</v>
      </c>
      <c r="E170" s="185">
        <v>1</v>
      </c>
      <c r="F170" s="185" t="s">
        <v>2</v>
      </c>
      <c r="G170" s="201">
        <v>1800</v>
      </c>
      <c r="H170" s="199">
        <f t="shared" si="20"/>
        <v>2142</v>
      </c>
    </row>
    <row r="171" spans="2:8" ht="34.950000000000003" customHeight="1" thickBot="1" x14ac:dyDescent="0.35">
      <c r="B171" s="193"/>
      <c r="C171" s="152"/>
      <c r="D171" s="188"/>
      <c r="E171" s="187"/>
      <c r="F171" s="186"/>
      <c r="G171" s="202"/>
      <c r="H171" s="200"/>
    </row>
    <row r="172" spans="2:8" ht="34.950000000000003" customHeight="1" x14ac:dyDescent="0.3">
      <c r="B172" s="192">
        <v>55</v>
      </c>
      <c r="C172" s="235" t="s">
        <v>173</v>
      </c>
      <c r="D172" s="188" t="s">
        <v>119</v>
      </c>
      <c r="E172" s="185">
        <v>2</v>
      </c>
      <c r="F172" s="185" t="s">
        <v>174</v>
      </c>
      <c r="G172" s="201">
        <v>12000000</v>
      </c>
      <c r="H172" s="199">
        <f t="shared" si="20"/>
        <v>28560000</v>
      </c>
    </row>
    <row r="173" spans="2:8" ht="34.950000000000003" customHeight="1" thickBot="1" x14ac:dyDescent="0.35">
      <c r="B173" s="193"/>
      <c r="C173" s="236"/>
      <c r="D173" s="188"/>
      <c r="E173" s="187"/>
      <c r="F173" s="186"/>
      <c r="G173" s="202"/>
      <c r="H173" s="200"/>
    </row>
    <row r="174" spans="2:8" ht="34.950000000000003" customHeight="1" x14ac:dyDescent="0.3">
      <c r="B174" s="192">
        <v>56</v>
      </c>
      <c r="C174" s="151" t="s">
        <v>120</v>
      </c>
      <c r="D174" s="188" t="s">
        <v>121</v>
      </c>
      <c r="E174" s="185" t="s">
        <v>122</v>
      </c>
      <c r="F174" s="185" t="s">
        <v>2</v>
      </c>
      <c r="G174" s="201">
        <v>363333.33333333331</v>
      </c>
      <c r="H174" s="199">
        <f>19%*(G174*16)+(G174*16)</f>
        <v>6917866.666666666</v>
      </c>
    </row>
    <row r="175" spans="2:8" ht="34.950000000000003" customHeight="1" thickBot="1" x14ac:dyDescent="0.35">
      <c r="B175" s="193"/>
      <c r="C175" s="152"/>
      <c r="D175" s="188"/>
      <c r="E175" s="187"/>
      <c r="F175" s="186"/>
      <c r="G175" s="202"/>
      <c r="H175" s="200"/>
    </row>
    <row r="176" spans="2:8" ht="34.950000000000003" customHeight="1" x14ac:dyDescent="0.3">
      <c r="B176" s="192">
        <v>57</v>
      </c>
      <c r="C176" s="151" t="s">
        <v>123</v>
      </c>
      <c r="D176" s="188" t="s">
        <v>124</v>
      </c>
      <c r="E176" s="185">
        <v>3</v>
      </c>
      <c r="F176" s="185" t="s">
        <v>54</v>
      </c>
      <c r="G176" s="201">
        <v>506666.66666666669</v>
      </c>
      <c r="H176" s="199">
        <f t="shared" si="20"/>
        <v>1808800</v>
      </c>
    </row>
    <row r="177" spans="2:8" ht="34.950000000000003" customHeight="1" thickBot="1" x14ac:dyDescent="0.35">
      <c r="B177" s="193"/>
      <c r="C177" s="152"/>
      <c r="D177" s="188"/>
      <c r="E177" s="187"/>
      <c r="F177" s="186"/>
      <c r="G177" s="202"/>
      <c r="H177" s="200"/>
    </row>
    <row r="178" spans="2:8" ht="34.950000000000003" customHeight="1" x14ac:dyDescent="0.3">
      <c r="B178" s="192">
        <v>58</v>
      </c>
      <c r="C178" s="151" t="s">
        <v>125</v>
      </c>
      <c r="D178" s="233" t="s">
        <v>348</v>
      </c>
      <c r="E178" s="185">
        <v>28000</v>
      </c>
      <c r="F178" s="185" t="s">
        <v>2</v>
      </c>
      <c r="G178" s="201">
        <v>842</v>
      </c>
      <c r="H178" s="199">
        <f t="shared" si="20"/>
        <v>28055440</v>
      </c>
    </row>
    <row r="179" spans="2:8" ht="34.950000000000003" customHeight="1" thickBot="1" x14ac:dyDescent="0.35">
      <c r="B179" s="193"/>
      <c r="C179" s="152"/>
      <c r="D179" s="234"/>
      <c r="E179" s="187"/>
      <c r="F179" s="186"/>
      <c r="G179" s="202"/>
      <c r="H179" s="200"/>
    </row>
    <row r="180" spans="2:8" ht="34.950000000000003" customHeight="1" x14ac:dyDescent="0.3">
      <c r="B180" s="192">
        <v>59</v>
      </c>
      <c r="C180" s="151" t="s">
        <v>126</v>
      </c>
      <c r="D180" s="188" t="s">
        <v>127</v>
      </c>
      <c r="E180" s="185">
        <v>20</v>
      </c>
      <c r="F180" s="185" t="s">
        <v>2</v>
      </c>
      <c r="G180" s="201">
        <v>2100</v>
      </c>
      <c r="H180" s="199">
        <f t="shared" si="20"/>
        <v>49980</v>
      </c>
    </row>
    <row r="181" spans="2:8" ht="34.950000000000003" customHeight="1" thickBot="1" x14ac:dyDescent="0.35">
      <c r="B181" s="193"/>
      <c r="C181" s="152"/>
      <c r="D181" s="188"/>
      <c r="E181" s="187"/>
      <c r="F181" s="186"/>
      <c r="G181" s="202"/>
      <c r="H181" s="200"/>
    </row>
    <row r="182" spans="2:8" ht="34.950000000000003" customHeight="1" x14ac:dyDescent="0.3">
      <c r="B182" s="192">
        <v>60</v>
      </c>
      <c r="C182" s="151" t="s">
        <v>128</v>
      </c>
      <c r="D182" s="188" t="s">
        <v>129</v>
      </c>
      <c r="E182" s="185" t="s">
        <v>131</v>
      </c>
      <c r="F182" s="185" t="s">
        <v>130</v>
      </c>
      <c r="G182" s="201">
        <v>3076000</v>
      </c>
      <c r="H182" s="199">
        <f>19%*(G182*7)+(G182*7)</f>
        <v>25623080</v>
      </c>
    </row>
    <row r="183" spans="2:8" ht="34.950000000000003" customHeight="1" thickBot="1" x14ac:dyDescent="0.35">
      <c r="B183" s="193"/>
      <c r="C183" s="152"/>
      <c r="D183" s="188"/>
      <c r="E183" s="187"/>
      <c r="F183" s="186"/>
      <c r="G183" s="202"/>
      <c r="H183" s="200"/>
    </row>
    <row r="184" spans="2:8" ht="34.950000000000003" customHeight="1" x14ac:dyDescent="0.3">
      <c r="B184" s="192">
        <v>61</v>
      </c>
      <c r="C184" s="151" t="s">
        <v>128</v>
      </c>
      <c r="D184" s="188" t="s">
        <v>132</v>
      </c>
      <c r="E184" s="185" t="s">
        <v>131</v>
      </c>
      <c r="F184" s="185" t="s">
        <v>130</v>
      </c>
      <c r="G184" s="201">
        <v>2876000</v>
      </c>
      <c r="H184" s="199">
        <f>19%*(G184*7)+(G184*7)</f>
        <v>23957080</v>
      </c>
    </row>
    <row r="185" spans="2:8" ht="34.950000000000003" customHeight="1" thickBot="1" x14ac:dyDescent="0.35">
      <c r="B185" s="193"/>
      <c r="C185" s="152"/>
      <c r="D185" s="188"/>
      <c r="E185" s="187"/>
      <c r="F185" s="186"/>
      <c r="G185" s="202"/>
      <c r="H185" s="200"/>
    </row>
    <row r="186" spans="2:8" ht="15" thickBot="1" x14ac:dyDescent="0.35">
      <c r="B186" s="195" t="s">
        <v>286</v>
      </c>
      <c r="C186" s="196"/>
      <c r="D186" s="196"/>
      <c r="E186" s="196"/>
      <c r="F186" s="197"/>
      <c r="G186" s="14" t="s">
        <v>250</v>
      </c>
      <c r="H186" s="5">
        <f>SUM(H64:H185)</f>
        <v>651435069.71666658</v>
      </c>
    </row>
    <row r="187" spans="2:8" ht="15" thickBot="1" x14ac:dyDescent="0.35">
      <c r="B187" s="9"/>
      <c r="C187" s="9"/>
      <c r="D187" s="9"/>
      <c r="E187" s="9"/>
      <c r="F187" s="9"/>
      <c r="G187" s="10"/>
      <c r="H187" s="10"/>
    </row>
    <row r="188" spans="2:8" ht="15" customHeight="1" thickBot="1" x14ac:dyDescent="0.35">
      <c r="B188" s="221" t="s">
        <v>287</v>
      </c>
      <c r="C188" s="222"/>
      <c r="D188" s="222"/>
      <c r="E188" s="222"/>
      <c r="F188" s="222"/>
      <c r="G188" s="222"/>
      <c r="H188" s="223"/>
    </row>
    <row r="189" spans="2:8" ht="55.8" thickBot="1" x14ac:dyDescent="0.35">
      <c r="B189" s="15" t="s">
        <v>175</v>
      </c>
      <c r="C189" s="15" t="s">
        <v>183</v>
      </c>
      <c r="D189" s="18" t="s">
        <v>184</v>
      </c>
      <c r="E189" s="15" t="s">
        <v>178</v>
      </c>
      <c r="F189" s="15" t="s">
        <v>185</v>
      </c>
      <c r="G189" s="16" t="s">
        <v>180</v>
      </c>
      <c r="H189" s="17" t="s">
        <v>181</v>
      </c>
    </row>
    <row r="190" spans="2:8" ht="34.950000000000003" customHeight="1" x14ac:dyDescent="0.3">
      <c r="B190" s="218">
        <v>1</v>
      </c>
      <c r="C190" s="220" t="s">
        <v>186</v>
      </c>
      <c r="D190" s="188" t="s">
        <v>187</v>
      </c>
      <c r="E190" s="185">
        <v>2</v>
      </c>
      <c r="F190" s="185" t="s">
        <v>188</v>
      </c>
      <c r="G190" s="201">
        <v>4108000</v>
      </c>
      <c r="H190" s="199">
        <f>G190*E190</f>
        <v>8216000</v>
      </c>
    </row>
    <row r="191" spans="2:8" ht="34.950000000000003" customHeight="1" thickBot="1" x14ac:dyDescent="0.35">
      <c r="B191" s="218"/>
      <c r="C191" s="219"/>
      <c r="D191" s="188"/>
      <c r="E191" s="187"/>
      <c r="F191" s="186"/>
      <c r="G191" s="202"/>
      <c r="H191" s="200"/>
    </row>
    <row r="192" spans="2:8" ht="34.950000000000003" customHeight="1" x14ac:dyDescent="0.3">
      <c r="B192" s="218">
        <v>2</v>
      </c>
      <c r="C192" s="219" t="s">
        <v>189</v>
      </c>
      <c r="D192" s="188" t="s">
        <v>190</v>
      </c>
      <c r="E192" s="185">
        <v>1</v>
      </c>
      <c r="F192" s="185" t="s">
        <v>188</v>
      </c>
      <c r="G192" s="201">
        <v>3234000</v>
      </c>
      <c r="H192" s="199">
        <f t="shared" ref="H192" si="21">G192*E192</f>
        <v>3234000</v>
      </c>
    </row>
    <row r="193" spans="2:8" ht="34.950000000000003" customHeight="1" thickBot="1" x14ac:dyDescent="0.35">
      <c r="B193" s="218"/>
      <c r="C193" s="219"/>
      <c r="D193" s="188"/>
      <c r="E193" s="187"/>
      <c r="F193" s="186"/>
      <c r="G193" s="202"/>
      <c r="H193" s="200"/>
    </row>
    <row r="194" spans="2:8" ht="34.950000000000003" customHeight="1" x14ac:dyDescent="0.3">
      <c r="B194" s="218">
        <v>3</v>
      </c>
      <c r="C194" s="188" t="s">
        <v>191</v>
      </c>
      <c r="D194" s="188" t="s">
        <v>291</v>
      </c>
      <c r="E194" s="185">
        <v>2</v>
      </c>
      <c r="F194" s="185" t="s">
        <v>192</v>
      </c>
      <c r="G194" s="201">
        <v>84100</v>
      </c>
      <c r="H194" s="199">
        <f t="shared" ref="H194" si="22">G194*E194</f>
        <v>168200</v>
      </c>
    </row>
    <row r="195" spans="2:8" ht="34.950000000000003" customHeight="1" thickBot="1" x14ac:dyDescent="0.35">
      <c r="B195" s="218"/>
      <c r="C195" s="219"/>
      <c r="D195" s="188"/>
      <c r="E195" s="187"/>
      <c r="F195" s="186"/>
      <c r="G195" s="202"/>
      <c r="H195" s="200"/>
    </row>
    <row r="196" spans="2:8" ht="34.950000000000003" customHeight="1" x14ac:dyDescent="0.3">
      <c r="B196" s="218">
        <v>4</v>
      </c>
      <c r="C196" s="219" t="s">
        <v>193</v>
      </c>
      <c r="D196" s="188" t="s">
        <v>194</v>
      </c>
      <c r="E196" s="185">
        <v>20</v>
      </c>
      <c r="F196" s="185" t="s">
        <v>195</v>
      </c>
      <c r="G196" s="201">
        <v>66566</v>
      </c>
      <c r="H196" s="199">
        <f t="shared" ref="H196" si="23">G196*E196</f>
        <v>1331320</v>
      </c>
    </row>
    <row r="197" spans="2:8" ht="34.950000000000003" customHeight="1" thickBot="1" x14ac:dyDescent="0.35">
      <c r="B197" s="218"/>
      <c r="C197" s="219"/>
      <c r="D197" s="188"/>
      <c r="E197" s="187"/>
      <c r="F197" s="186"/>
      <c r="G197" s="202"/>
      <c r="H197" s="200"/>
    </row>
    <row r="198" spans="2:8" ht="34.950000000000003" customHeight="1" x14ac:dyDescent="0.3">
      <c r="B198" s="218">
        <v>5</v>
      </c>
      <c r="C198" s="188" t="s">
        <v>196</v>
      </c>
      <c r="D198" s="188" t="s">
        <v>197</v>
      </c>
      <c r="E198" s="185">
        <v>1</v>
      </c>
      <c r="F198" s="185" t="s">
        <v>195</v>
      </c>
      <c r="G198" s="201">
        <v>136230</v>
      </c>
      <c r="H198" s="199">
        <f t="shared" ref="H198" si="24">G198*E198</f>
        <v>136230</v>
      </c>
    </row>
    <row r="199" spans="2:8" ht="34.950000000000003" customHeight="1" thickBot="1" x14ac:dyDescent="0.35">
      <c r="B199" s="218"/>
      <c r="C199" s="188"/>
      <c r="D199" s="188"/>
      <c r="E199" s="187"/>
      <c r="F199" s="186"/>
      <c r="G199" s="202"/>
      <c r="H199" s="200"/>
    </row>
    <row r="200" spans="2:8" ht="34.950000000000003" customHeight="1" x14ac:dyDescent="0.3">
      <c r="B200" s="218">
        <v>6</v>
      </c>
      <c r="C200" s="219" t="s">
        <v>198</v>
      </c>
      <c r="D200" s="188" t="s">
        <v>199</v>
      </c>
      <c r="E200" s="185">
        <v>10</v>
      </c>
      <c r="F200" s="185" t="s">
        <v>200</v>
      </c>
      <c r="G200" s="201">
        <v>78630</v>
      </c>
      <c r="H200" s="199">
        <f t="shared" ref="H200" si="25">G200*E200</f>
        <v>786300</v>
      </c>
    </row>
    <row r="201" spans="2:8" ht="34.950000000000003" customHeight="1" thickBot="1" x14ac:dyDescent="0.35">
      <c r="B201" s="218"/>
      <c r="C201" s="219"/>
      <c r="D201" s="188"/>
      <c r="E201" s="187"/>
      <c r="F201" s="186"/>
      <c r="G201" s="202"/>
      <c r="H201" s="200"/>
    </row>
    <row r="202" spans="2:8" ht="34.950000000000003" customHeight="1" x14ac:dyDescent="0.3">
      <c r="B202" s="218">
        <v>7</v>
      </c>
      <c r="C202" s="188" t="s">
        <v>201</v>
      </c>
      <c r="D202" s="188" t="s">
        <v>202</v>
      </c>
      <c r="E202" s="185">
        <v>3</v>
      </c>
      <c r="F202" s="185" t="s">
        <v>201</v>
      </c>
      <c r="G202" s="201">
        <v>600000</v>
      </c>
      <c r="H202" s="199">
        <f>19%*(G202*E202)+(G202*E202)</f>
        <v>2142000</v>
      </c>
    </row>
    <row r="203" spans="2:8" ht="34.950000000000003" customHeight="1" thickBot="1" x14ac:dyDescent="0.35">
      <c r="B203" s="218"/>
      <c r="C203" s="188"/>
      <c r="D203" s="188"/>
      <c r="E203" s="187"/>
      <c r="F203" s="186"/>
      <c r="G203" s="202"/>
      <c r="H203" s="200"/>
    </row>
    <row r="204" spans="2:8" ht="34.950000000000003" customHeight="1" x14ac:dyDescent="0.3">
      <c r="B204" s="217">
        <v>8</v>
      </c>
      <c r="C204" s="198" t="s">
        <v>201</v>
      </c>
      <c r="D204" s="188" t="s">
        <v>203</v>
      </c>
      <c r="E204" s="185">
        <v>3</v>
      </c>
      <c r="F204" s="185" t="s">
        <v>204</v>
      </c>
      <c r="G204" s="201">
        <v>600000</v>
      </c>
      <c r="H204" s="199">
        <f t="shared" ref="H204" si="26">19%*(G204*E204)+(G204*E204)</f>
        <v>2142000</v>
      </c>
    </row>
    <row r="205" spans="2:8" ht="34.950000000000003" customHeight="1" thickBot="1" x14ac:dyDescent="0.35">
      <c r="B205" s="217"/>
      <c r="C205" s="198"/>
      <c r="D205" s="188"/>
      <c r="E205" s="187"/>
      <c r="F205" s="186"/>
      <c r="G205" s="202"/>
      <c r="H205" s="200"/>
    </row>
    <row r="206" spans="2:8" ht="34.950000000000003" customHeight="1" x14ac:dyDescent="0.3">
      <c r="B206" s="215">
        <v>9</v>
      </c>
      <c r="C206" s="198" t="s">
        <v>205</v>
      </c>
      <c r="D206" s="188" t="s">
        <v>206</v>
      </c>
      <c r="E206" s="185">
        <v>100</v>
      </c>
      <c r="F206" s="185" t="s">
        <v>205</v>
      </c>
      <c r="G206" s="201">
        <v>2400</v>
      </c>
      <c r="H206" s="199">
        <f t="shared" ref="H206" si="27">19%*(G206*E206)+(G206*E206)</f>
        <v>285600</v>
      </c>
    </row>
    <row r="207" spans="2:8" ht="34.950000000000003" customHeight="1" thickBot="1" x14ac:dyDescent="0.35">
      <c r="B207" s="215"/>
      <c r="C207" s="198"/>
      <c r="D207" s="188"/>
      <c r="E207" s="187"/>
      <c r="F207" s="186"/>
      <c r="G207" s="202"/>
      <c r="H207" s="200"/>
    </row>
    <row r="208" spans="2:8" ht="34.950000000000003" customHeight="1" x14ac:dyDescent="0.3">
      <c r="B208" s="215">
        <v>10</v>
      </c>
      <c r="C208" s="189" t="s">
        <v>207</v>
      </c>
      <c r="D208" s="188" t="s">
        <v>292</v>
      </c>
      <c r="E208" s="185">
        <v>1</v>
      </c>
      <c r="F208" s="185" t="s">
        <v>208</v>
      </c>
      <c r="G208" s="201">
        <v>280000</v>
      </c>
      <c r="H208" s="199">
        <f t="shared" ref="H208" si="28">19%*(G208*E208)+(G208*E208)</f>
        <v>333200</v>
      </c>
    </row>
    <row r="209" spans="2:8" ht="34.950000000000003" customHeight="1" thickBot="1" x14ac:dyDescent="0.35">
      <c r="B209" s="215"/>
      <c r="C209" s="189"/>
      <c r="D209" s="188"/>
      <c r="E209" s="187"/>
      <c r="F209" s="186"/>
      <c r="G209" s="202"/>
      <c r="H209" s="200"/>
    </row>
    <row r="210" spans="2:8" ht="34.950000000000003" customHeight="1" x14ac:dyDescent="0.3">
      <c r="B210" s="215">
        <v>11</v>
      </c>
      <c r="C210" s="216" t="s">
        <v>209</v>
      </c>
      <c r="D210" s="188" t="s">
        <v>210</v>
      </c>
      <c r="E210" s="185">
        <v>2</v>
      </c>
      <c r="F210" s="185" t="s">
        <v>211</v>
      </c>
      <c r="G210" s="201">
        <v>280000</v>
      </c>
      <c r="H210" s="199">
        <f t="shared" ref="H210" si="29">19%*(G210*E210)+(G210*E210)</f>
        <v>666400</v>
      </c>
    </row>
    <row r="211" spans="2:8" ht="34.950000000000003" customHeight="1" thickBot="1" x14ac:dyDescent="0.35">
      <c r="B211" s="215"/>
      <c r="C211" s="216"/>
      <c r="D211" s="188"/>
      <c r="E211" s="187"/>
      <c r="F211" s="186"/>
      <c r="G211" s="202"/>
      <c r="H211" s="200"/>
    </row>
    <row r="212" spans="2:8" ht="34.950000000000003" customHeight="1" x14ac:dyDescent="0.3">
      <c r="B212" s="217">
        <v>12</v>
      </c>
      <c r="C212" s="198" t="s">
        <v>212</v>
      </c>
      <c r="D212" s="188" t="s">
        <v>213</v>
      </c>
      <c r="E212" s="185">
        <v>1</v>
      </c>
      <c r="F212" s="185" t="s">
        <v>214</v>
      </c>
      <c r="G212" s="201">
        <v>1100000</v>
      </c>
      <c r="H212" s="199">
        <f>19%*(G212*10)+(G212*10)</f>
        <v>13090000</v>
      </c>
    </row>
    <row r="213" spans="2:8" ht="34.950000000000003" customHeight="1" thickBot="1" x14ac:dyDescent="0.35">
      <c r="B213" s="217"/>
      <c r="C213" s="198"/>
      <c r="D213" s="188"/>
      <c r="E213" s="187"/>
      <c r="F213" s="186"/>
      <c r="G213" s="202"/>
      <c r="H213" s="200"/>
    </row>
    <row r="214" spans="2:8" ht="34.950000000000003" customHeight="1" x14ac:dyDescent="0.3">
      <c r="B214" s="215">
        <v>13</v>
      </c>
      <c r="C214" s="198" t="s">
        <v>215</v>
      </c>
      <c r="D214" s="188" t="s">
        <v>216</v>
      </c>
      <c r="E214" s="185">
        <v>8</v>
      </c>
      <c r="F214" s="185" t="s">
        <v>158</v>
      </c>
      <c r="G214" s="201">
        <v>130000</v>
      </c>
      <c r="H214" s="199">
        <f t="shared" ref="H214" si="30">19%*(G214*E214)+(G214*E214)</f>
        <v>1237600</v>
      </c>
    </row>
    <row r="215" spans="2:8" ht="34.950000000000003" customHeight="1" thickBot="1" x14ac:dyDescent="0.35">
      <c r="B215" s="215"/>
      <c r="C215" s="198"/>
      <c r="D215" s="188"/>
      <c r="E215" s="187"/>
      <c r="F215" s="186"/>
      <c r="G215" s="202"/>
      <c r="H215" s="200"/>
    </row>
    <row r="216" spans="2:8" ht="34.950000000000003" customHeight="1" x14ac:dyDescent="0.3">
      <c r="B216" s="215">
        <v>14</v>
      </c>
      <c r="C216" s="198" t="s">
        <v>215</v>
      </c>
      <c r="D216" s="188" t="s">
        <v>217</v>
      </c>
      <c r="E216" s="185">
        <v>2</v>
      </c>
      <c r="F216" s="185" t="s">
        <v>158</v>
      </c>
      <c r="G216" s="201">
        <v>170000</v>
      </c>
      <c r="H216" s="199">
        <f t="shared" ref="H216" si="31">19%*(G216*E216)+(G216*E216)</f>
        <v>404600</v>
      </c>
    </row>
    <row r="217" spans="2:8" ht="34.950000000000003" customHeight="1" thickBot="1" x14ac:dyDescent="0.35">
      <c r="B217" s="215"/>
      <c r="C217" s="198"/>
      <c r="D217" s="188"/>
      <c r="E217" s="187"/>
      <c r="F217" s="186"/>
      <c r="G217" s="202"/>
      <c r="H217" s="200"/>
    </row>
    <row r="218" spans="2:8" ht="34.950000000000003" customHeight="1" x14ac:dyDescent="0.3">
      <c r="B218" s="215">
        <v>15</v>
      </c>
      <c r="C218" s="198" t="s">
        <v>218</v>
      </c>
      <c r="D218" s="188" t="s">
        <v>219</v>
      </c>
      <c r="E218" s="185">
        <v>3</v>
      </c>
      <c r="F218" s="185" t="s">
        <v>220</v>
      </c>
      <c r="G218" s="201">
        <v>1250000</v>
      </c>
      <c r="H218" s="199">
        <f t="shared" ref="H218" si="32">19%*(G218*E218)+(G218*E218)</f>
        <v>4462500</v>
      </c>
    </row>
    <row r="219" spans="2:8" ht="34.950000000000003" customHeight="1" thickBot="1" x14ac:dyDescent="0.35">
      <c r="B219" s="215"/>
      <c r="C219" s="198"/>
      <c r="D219" s="188"/>
      <c r="E219" s="187"/>
      <c r="F219" s="186"/>
      <c r="G219" s="202"/>
      <c r="H219" s="200"/>
    </row>
    <row r="220" spans="2:8" ht="34.950000000000003" customHeight="1" x14ac:dyDescent="0.3">
      <c r="B220" s="215">
        <v>16</v>
      </c>
      <c r="C220" s="189" t="s">
        <v>221</v>
      </c>
      <c r="D220" s="188" t="s">
        <v>222</v>
      </c>
      <c r="E220" s="185">
        <v>3</v>
      </c>
      <c r="F220" s="185" t="s">
        <v>158</v>
      </c>
      <c r="G220" s="201">
        <v>500000</v>
      </c>
      <c r="H220" s="199">
        <f t="shared" ref="H220" si="33">19%*(G220*E220)+(G220*E220)</f>
        <v>1785000</v>
      </c>
    </row>
    <row r="221" spans="2:8" ht="34.950000000000003" customHeight="1" thickBot="1" x14ac:dyDescent="0.35">
      <c r="B221" s="215"/>
      <c r="C221" s="189"/>
      <c r="D221" s="188"/>
      <c r="E221" s="187"/>
      <c r="F221" s="186"/>
      <c r="G221" s="202"/>
      <c r="H221" s="200"/>
    </row>
    <row r="222" spans="2:8" ht="34.950000000000003" customHeight="1" x14ac:dyDescent="0.3">
      <c r="B222" s="215">
        <v>17</v>
      </c>
      <c r="C222" s="189" t="s">
        <v>223</v>
      </c>
      <c r="D222" s="188" t="s">
        <v>224</v>
      </c>
      <c r="E222" s="185">
        <v>160</v>
      </c>
      <c r="F222" s="185" t="s">
        <v>158</v>
      </c>
      <c r="G222" s="201">
        <v>22000</v>
      </c>
      <c r="H222" s="199">
        <f t="shared" ref="H222" si="34">19%*(G222*E222)+(G222*E222)</f>
        <v>4188800</v>
      </c>
    </row>
    <row r="223" spans="2:8" ht="34.950000000000003" customHeight="1" thickBot="1" x14ac:dyDescent="0.35">
      <c r="B223" s="215"/>
      <c r="C223" s="189"/>
      <c r="D223" s="188"/>
      <c r="E223" s="187"/>
      <c r="F223" s="186"/>
      <c r="G223" s="202"/>
      <c r="H223" s="200"/>
    </row>
    <row r="224" spans="2:8" ht="34.950000000000003" customHeight="1" x14ac:dyDescent="0.3">
      <c r="B224" s="215">
        <v>18</v>
      </c>
      <c r="C224" s="189" t="s">
        <v>225</v>
      </c>
      <c r="D224" s="188" t="s">
        <v>293</v>
      </c>
      <c r="E224" s="185">
        <v>24</v>
      </c>
      <c r="F224" s="185" t="s">
        <v>294</v>
      </c>
      <c r="G224" s="201">
        <v>150000</v>
      </c>
      <c r="H224" s="199">
        <f t="shared" ref="H224" si="35">19%*(G224*E224)+(G224*E224)</f>
        <v>4284000</v>
      </c>
    </row>
    <row r="225" spans="2:8" ht="34.950000000000003" customHeight="1" thickBot="1" x14ac:dyDescent="0.35">
      <c r="B225" s="215"/>
      <c r="C225" s="189"/>
      <c r="D225" s="188"/>
      <c r="E225" s="187"/>
      <c r="F225" s="186"/>
      <c r="G225" s="202"/>
      <c r="H225" s="200"/>
    </row>
    <row r="226" spans="2:8" ht="34.950000000000003" customHeight="1" x14ac:dyDescent="0.3">
      <c r="B226" s="215">
        <v>19</v>
      </c>
      <c r="C226" s="189" t="s">
        <v>226</v>
      </c>
      <c r="D226" s="188" t="s">
        <v>227</v>
      </c>
      <c r="E226" s="185">
        <v>3</v>
      </c>
      <c r="F226" s="185" t="s">
        <v>228</v>
      </c>
      <c r="G226" s="201">
        <v>3200000</v>
      </c>
      <c r="H226" s="199">
        <f t="shared" ref="H226" si="36">19%*(G226*E226)+(G226*E226)</f>
        <v>11424000</v>
      </c>
    </row>
    <row r="227" spans="2:8" ht="34.950000000000003" customHeight="1" thickBot="1" x14ac:dyDescent="0.35">
      <c r="B227" s="215"/>
      <c r="C227" s="189"/>
      <c r="D227" s="188"/>
      <c r="E227" s="187"/>
      <c r="F227" s="186"/>
      <c r="G227" s="202"/>
      <c r="H227" s="200"/>
    </row>
    <row r="228" spans="2:8" ht="34.950000000000003" customHeight="1" x14ac:dyDescent="0.3">
      <c r="B228" s="215">
        <v>20</v>
      </c>
      <c r="C228" s="189" t="s">
        <v>229</v>
      </c>
      <c r="D228" s="188" t="s">
        <v>230</v>
      </c>
      <c r="E228" s="185">
        <v>300</v>
      </c>
      <c r="F228" s="185" t="s">
        <v>158</v>
      </c>
      <c r="G228" s="201">
        <v>18000</v>
      </c>
      <c r="H228" s="199">
        <f t="shared" ref="H228" si="37">19%*(G228*E228)+(G228*E228)</f>
        <v>6426000</v>
      </c>
    </row>
    <row r="229" spans="2:8" ht="34.950000000000003" customHeight="1" thickBot="1" x14ac:dyDescent="0.35">
      <c r="B229" s="215"/>
      <c r="C229" s="189"/>
      <c r="D229" s="188"/>
      <c r="E229" s="187"/>
      <c r="F229" s="186"/>
      <c r="G229" s="202"/>
      <c r="H229" s="200"/>
    </row>
    <row r="230" spans="2:8" ht="34.950000000000003" customHeight="1" x14ac:dyDescent="0.3">
      <c r="B230" s="215">
        <v>21</v>
      </c>
      <c r="C230" s="189" t="s">
        <v>231</v>
      </c>
      <c r="D230" s="188" t="s">
        <v>232</v>
      </c>
      <c r="E230" s="185">
        <v>300</v>
      </c>
      <c r="F230" s="185" t="s">
        <v>158</v>
      </c>
      <c r="G230" s="201">
        <v>2500</v>
      </c>
      <c r="H230" s="199">
        <f t="shared" ref="H230" si="38">19%*(G230*E230)+(G230*E230)</f>
        <v>892500</v>
      </c>
    </row>
    <row r="231" spans="2:8" ht="34.950000000000003" customHeight="1" thickBot="1" x14ac:dyDescent="0.35">
      <c r="B231" s="215"/>
      <c r="C231" s="189"/>
      <c r="D231" s="188"/>
      <c r="E231" s="187"/>
      <c r="F231" s="186"/>
      <c r="G231" s="202"/>
      <c r="H231" s="200"/>
    </row>
    <row r="232" spans="2:8" ht="34.950000000000003" customHeight="1" x14ac:dyDescent="0.3">
      <c r="B232" s="215">
        <v>22</v>
      </c>
      <c r="C232" s="189" t="s">
        <v>233</v>
      </c>
      <c r="D232" s="188" t="s">
        <v>234</v>
      </c>
      <c r="E232" s="185">
        <v>300</v>
      </c>
      <c r="F232" s="185" t="s">
        <v>158</v>
      </c>
      <c r="G232" s="201">
        <v>900</v>
      </c>
      <c r="H232" s="199">
        <f t="shared" ref="H232" si="39">19%*(G232*E232)+(G232*E232)</f>
        <v>321300</v>
      </c>
    </row>
    <row r="233" spans="2:8" ht="34.950000000000003" customHeight="1" thickBot="1" x14ac:dyDescent="0.35">
      <c r="B233" s="215"/>
      <c r="C233" s="189"/>
      <c r="D233" s="188"/>
      <c r="E233" s="187"/>
      <c r="F233" s="186"/>
      <c r="G233" s="202"/>
      <c r="H233" s="200"/>
    </row>
    <row r="234" spans="2:8" ht="34.950000000000003" customHeight="1" x14ac:dyDescent="0.3">
      <c r="B234" s="215">
        <v>23</v>
      </c>
      <c r="C234" s="189" t="s">
        <v>235</v>
      </c>
      <c r="D234" s="188" t="s">
        <v>236</v>
      </c>
      <c r="E234" s="185">
        <v>300</v>
      </c>
      <c r="F234" s="185" t="s">
        <v>158</v>
      </c>
      <c r="G234" s="201">
        <v>22000</v>
      </c>
      <c r="H234" s="199">
        <f t="shared" ref="H234" si="40">19%*(G234*E234)+(G234*E234)</f>
        <v>7854000</v>
      </c>
    </row>
    <row r="235" spans="2:8" ht="34.950000000000003" customHeight="1" thickBot="1" x14ac:dyDescent="0.35">
      <c r="B235" s="215"/>
      <c r="C235" s="189"/>
      <c r="D235" s="188"/>
      <c r="E235" s="187"/>
      <c r="F235" s="186"/>
      <c r="G235" s="202"/>
      <c r="H235" s="200"/>
    </row>
    <row r="236" spans="2:8" ht="34.950000000000003" customHeight="1" x14ac:dyDescent="0.3">
      <c r="B236" s="215">
        <v>24</v>
      </c>
      <c r="C236" s="189" t="s">
        <v>237</v>
      </c>
      <c r="D236" s="188" t="s">
        <v>238</v>
      </c>
      <c r="E236" s="185">
        <v>300</v>
      </c>
      <c r="F236" s="185" t="s">
        <v>158</v>
      </c>
      <c r="G236" s="201">
        <v>6000</v>
      </c>
      <c r="H236" s="199">
        <f t="shared" ref="H236" si="41">19%*(G236*E236)+(G236*E236)</f>
        <v>2142000</v>
      </c>
    </row>
    <row r="237" spans="2:8" ht="34.950000000000003" customHeight="1" thickBot="1" x14ac:dyDescent="0.35">
      <c r="B237" s="215"/>
      <c r="C237" s="189"/>
      <c r="D237" s="188"/>
      <c r="E237" s="187"/>
      <c r="F237" s="186"/>
      <c r="G237" s="202"/>
      <c r="H237" s="200"/>
    </row>
    <row r="238" spans="2:8" ht="34.950000000000003" customHeight="1" x14ac:dyDescent="0.3">
      <c r="B238" s="215">
        <v>25</v>
      </c>
      <c r="C238" s="189" t="s">
        <v>295</v>
      </c>
      <c r="D238" s="188" t="s">
        <v>239</v>
      </c>
      <c r="E238" s="185">
        <v>1</v>
      </c>
      <c r="F238" s="185" t="s">
        <v>240</v>
      </c>
      <c r="G238" s="201">
        <v>250000</v>
      </c>
      <c r="H238" s="199">
        <f t="shared" ref="H238" si="42">19%*(G238*E238)+(G238*E238)</f>
        <v>297500</v>
      </c>
    </row>
    <row r="239" spans="2:8" ht="34.950000000000003" customHeight="1" thickBot="1" x14ac:dyDescent="0.35">
      <c r="B239" s="215"/>
      <c r="C239" s="189"/>
      <c r="D239" s="188"/>
      <c r="E239" s="187"/>
      <c r="F239" s="186"/>
      <c r="G239" s="202"/>
      <c r="H239" s="200"/>
    </row>
    <row r="240" spans="2:8" ht="34.950000000000003" customHeight="1" x14ac:dyDescent="0.3">
      <c r="B240" s="215">
        <v>26</v>
      </c>
      <c r="C240" s="189" t="s">
        <v>241</v>
      </c>
      <c r="D240" s="188" t="s">
        <v>242</v>
      </c>
      <c r="E240" s="185">
        <v>5</v>
      </c>
      <c r="F240" s="185" t="s">
        <v>158</v>
      </c>
      <c r="G240" s="201">
        <v>400000</v>
      </c>
      <c r="H240" s="199">
        <f t="shared" ref="H240" si="43">19%*(G240*E240)+(G240*E240)</f>
        <v>2380000</v>
      </c>
    </row>
    <row r="241" spans="2:8" ht="34.950000000000003" customHeight="1" thickBot="1" x14ac:dyDescent="0.35">
      <c r="B241" s="215"/>
      <c r="C241" s="189"/>
      <c r="D241" s="188"/>
      <c r="E241" s="187"/>
      <c r="F241" s="186"/>
      <c r="G241" s="202"/>
      <c r="H241" s="200"/>
    </row>
    <row r="242" spans="2:8" ht="34.950000000000003" customHeight="1" x14ac:dyDescent="0.3">
      <c r="B242" s="215">
        <v>27</v>
      </c>
      <c r="C242" s="189" t="s">
        <v>296</v>
      </c>
      <c r="D242" s="188" t="s">
        <v>243</v>
      </c>
      <c r="E242" s="185">
        <v>1</v>
      </c>
      <c r="F242" s="185" t="s">
        <v>158</v>
      </c>
      <c r="G242" s="201">
        <v>500000</v>
      </c>
      <c r="H242" s="199">
        <f t="shared" ref="H242" si="44">19%*(G242*E242)+(G242*E242)</f>
        <v>595000</v>
      </c>
    </row>
    <row r="243" spans="2:8" ht="34.950000000000003" customHeight="1" thickBot="1" x14ac:dyDescent="0.35">
      <c r="B243" s="215"/>
      <c r="C243" s="189"/>
      <c r="D243" s="188"/>
      <c r="E243" s="187"/>
      <c r="F243" s="186"/>
      <c r="G243" s="202"/>
      <c r="H243" s="200"/>
    </row>
    <row r="244" spans="2:8" ht="34.950000000000003" customHeight="1" x14ac:dyDescent="0.3">
      <c r="B244" s="215">
        <v>28</v>
      </c>
      <c r="C244" s="189" t="s">
        <v>297</v>
      </c>
      <c r="D244" s="188" t="s">
        <v>243</v>
      </c>
      <c r="E244" s="185">
        <v>1</v>
      </c>
      <c r="F244" s="185" t="s">
        <v>158</v>
      </c>
      <c r="G244" s="201">
        <v>400000</v>
      </c>
      <c r="H244" s="199">
        <f t="shared" ref="H244" si="45">19%*(G244*E244)+(G244*E244)</f>
        <v>476000</v>
      </c>
    </row>
    <row r="245" spans="2:8" ht="34.950000000000003" customHeight="1" thickBot="1" x14ac:dyDescent="0.35">
      <c r="B245" s="215"/>
      <c r="C245" s="189"/>
      <c r="D245" s="188"/>
      <c r="E245" s="187"/>
      <c r="F245" s="186"/>
      <c r="G245" s="202"/>
      <c r="H245" s="200"/>
    </row>
    <row r="246" spans="2:8" ht="34.950000000000003" customHeight="1" x14ac:dyDescent="0.3">
      <c r="B246" s="215">
        <v>29</v>
      </c>
      <c r="C246" s="189" t="s">
        <v>298</v>
      </c>
      <c r="D246" s="188" t="s">
        <v>243</v>
      </c>
      <c r="E246" s="185">
        <v>1</v>
      </c>
      <c r="F246" s="185" t="s">
        <v>158</v>
      </c>
      <c r="G246" s="201">
        <v>300000</v>
      </c>
      <c r="H246" s="199">
        <f t="shared" ref="H246" si="46">19%*(G246*E246)+(G246*E246)</f>
        <v>357000</v>
      </c>
    </row>
    <row r="247" spans="2:8" ht="34.950000000000003" customHeight="1" thickBot="1" x14ac:dyDescent="0.35">
      <c r="B247" s="215"/>
      <c r="C247" s="189"/>
      <c r="D247" s="188"/>
      <c r="E247" s="187"/>
      <c r="F247" s="186"/>
      <c r="G247" s="202"/>
      <c r="H247" s="200"/>
    </row>
    <row r="248" spans="2:8" ht="34.950000000000003" customHeight="1" x14ac:dyDescent="0.3">
      <c r="B248" s="215">
        <v>30</v>
      </c>
      <c r="C248" s="189" t="s">
        <v>299</v>
      </c>
      <c r="D248" s="188" t="s">
        <v>243</v>
      </c>
      <c r="E248" s="185">
        <v>1</v>
      </c>
      <c r="F248" s="185" t="s">
        <v>158</v>
      </c>
      <c r="G248" s="201">
        <v>250000</v>
      </c>
      <c r="H248" s="199">
        <f t="shared" ref="H248" si="47">19%*(G248*E248)+(G248*E248)</f>
        <v>297500</v>
      </c>
    </row>
    <row r="249" spans="2:8" ht="34.950000000000003" customHeight="1" thickBot="1" x14ac:dyDescent="0.35">
      <c r="B249" s="215"/>
      <c r="C249" s="189"/>
      <c r="D249" s="188"/>
      <c r="E249" s="187"/>
      <c r="F249" s="186"/>
      <c r="G249" s="202"/>
      <c r="H249" s="200"/>
    </row>
    <row r="250" spans="2:8" ht="34.950000000000003" customHeight="1" x14ac:dyDescent="0.3">
      <c r="B250" s="215">
        <v>31</v>
      </c>
      <c r="C250" s="189" t="s">
        <v>300</v>
      </c>
      <c r="D250" s="188" t="s">
        <v>243</v>
      </c>
      <c r="E250" s="185">
        <v>1</v>
      </c>
      <c r="F250" s="185" t="s">
        <v>158</v>
      </c>
      <c r="G250" s="201">
        <v>500000</v>
      </c>
      <c r="H250" s="199">
        <f t="shared" ref="H250" si="48">19%*(G250*E250)+(G250*E250)</f>
        <v>595000</v>
      </c>
    </row>
    <row r="251" spans="2:8" ht="34.950000000000003" customHeight="1" thickBot="1" x14ac:dyDescent="0.35">
      <c r="B251" s="215"/>
      <c r="C251" s="189"/>
      <c r="D251" s="188"/>
      <c r="E251" s="187"/>
      <c r="F251" s="186"/>
      <c r="G251" s="202"/>
      <c r="H251" s="200"/>
    </row>
    <row r="252" spans="2:8" ht="34.950000000000003" customHeight="1" x14ac:dyDescent="0.3">
      <c r="B252" s="215">
        <v>32</v>
      </c>
      <c r="C252" s="189" t="s">
        <v>301</v>
      </c>
      <c r="D252" s="188" t="s">
        <v>243</v>
      </c>
      <c r="E252" s="185">
        <v>1</v>
      </c>
      <c r="F252" s="185" t="s">
        <v>158</v>
      </c>
      <c r="G252" s="201">
        <v>400000</v>
      </c>
      <c r="H252" s="199">
        <f t="shared" ref="H252" si="49">19%*(G252*E252)+(G252*E252)</f>
        <v>476000</v>
      </c>
    </row>
    <row r="253" spans="2:8" ht="34.950000000000003" customHeight="1" thickBot="1" x14ac:dyDescent="0.35">
      <c r="B253" s="215"/>
      <c r="C253" s="189"/>
      <c r="D253" s="188"/>
      <c r="E253" s="187"/>
      <c r="F253" s="186"/>
      <c r="G253" s="202"/>
      <c r="H253" s="200"/>
    </row>
    <row r="254" spans="2:8" ht="34.950000000000003" customHeight="1" x14ac:dyDescent="0.3">
      <c r="B254" s="215">
        <v>33</v>
      </c>
      <c r="C254" s="189" t="s">
        <v>302</v>
      </c>
      <c r="D254" s="188" t="s">
        <v>243</v>
      </c>
      <c r="E254" s="185">
        <v>1</v>
      </c>
      <c r="F254" s="185" t="s">
        <v>158</v>
      </c>
      <c r="G254" s="201">
        <v>300000</v>
      </c>
      <c r="H254" s="199">
        <f t="shared" ref="H254" si="50">19%*(G254*E254)+(G254*E254)</f>
        <v>357000</v>
      </c>
    </row>
    <row r="255" spans="2:8" ht="34.950000000000003" customHeight="1" thickBot="1" x14ac:dyDescent="0.35">
      <c r="B255" s="215"/>
      <c r="C255" s="189"/>
      <c r="D255" s="188"/>
      <c r="E255" s="187"/>
      <c r="F255" s="186"/>
      <c r="G255" s="202"/>
      <c r="H255" s="200"/>
    </row>
    <row r="256" spans="2:8" ht="34.950000000000003" customHeight="1" x14ac:dyDescent="0.3">
      <c r="B256" s="188">
        <v>34</v>
      </c>
      <c r="C256" s="189" t="s">
        <v>303</v>
      </c>
      <c r="D256" s="188" t="s">
        <v>243</v>
      </c>
      <c r="E256" s="185">
        <v>1</v>
      </c>
      <c r="F256" s="185" t="s">
        <v>158</v>
      </c>
      <c r="G256" s="201">
        <v>250000</v>
      </c>
      <c r="H256" s="199">
        <f t="shared" ref="H256" si="51">19%*(G256*E256)+(G256*E256)</f>
        <v>297500</v>
      </c>
    </row>
    <row r="257" spans="2:8" ht="34.950000000000003" customHeight="1" thickBot="1" x14ac:dyDescent="0.35">
      <c r="B257" s="188"/>
      <c r="C257" s="189"/>
      <c r="D257" s="188"/>
      <c r="E257" s="187"/>
      <c r="F257" s="186"/>
      <c r="G257" s="202"/>
      <c r="H257" s="200"/>
    </row>
    <row r="258" spans="2:8" ht="34.950000000000003" customHeight="1" x14ac:dyDescent="0.3">
      <c r="B258" s="188">
        <v>35</v>
      </c>
      <c r="C258" s="189" t="s">
        <v>304</v>
      </c>
      <c r="D258" s="188" t="s">
        <v>243</v>
      </c>
      <c r="E258" s="185">
        <v>1</v>
      </c>
      <c r="F258" s="185" t="s">
        <v>158</v>
      </c>
      <c r="G258" s="201">
        <v>500000</v>
      </c>
      <c r="H258" s="199">
        <f t="shared" ref="H258" si="52">19%*(G258*E258)+(G258*E258)</f>
        <v>595000</v>
      </c>
    </row>
    <row r="259" spans="2:8" ht="34.950000000000003" customHeight="1" thickBot="1" x14ac:dyDescent="0.35">
      <c r="B259" s="188"/>
      <c r="C259" s="189"/>
      <c r="D259" s="188"/>
      <c r="E259" s="187"/>
      <c r="F259" s="186"/>
      <c r="G259" s="202"/>
      <c r="H259" s="200"/>
    </row>
    <row r="260" spans="2:8" ht="34.950000000000003" customHeight="1" x14ac:dyDescent="0.3">
      <c r="B260" s="188">
        <v>36</v>
      </c>
      <c r="C260" s="189" t="s">
        <v>305</v>
      </c>
      <c r="D260" s="188" t="s">
        <v>243</v>
      </c>
      <c r="E260" s="185">
        <v>1</v>
      </c>
      <c r="F260" s="185" t="s">
        <v>158</v>
      </c>
      <c r="G260" s="201">
        <v>400000</v>
      </c>
      <c r="H260" s="199">
        <f t="shared" ref="H260" si="53">19%*(G260*E260)+(G260*E260)</f>
        <v>476000</v>
      </c>
    </row>
    <row r="261" spans="2:8" ht="34.950000000000003" customHeight="1" thickBot="1" x14ac:dyDescent="0.35">
      <c r="B261" s="188"/>
      <c r="C261" s="189"/>
      <c r="D261" s="188"/>
      <c r="E261" s="187"/>
      <c r="F261" s="186"/>
      <c r="G261" s="202"/>
      <c r="H261" s="200"/>
    </row>
    <row r="262" spans="2:8" ht="34.950000000000003" customHeight="1" x14ac:dyDescent="0.3">
      <c r="B262" s="188">
        <v>37</v>
      </c>
      <c r="C262" s="189" t="s">
        <v>306</v>
      </c>
      <c r="D262" s="188" t="s">
        <v>243</v>
      </c>
      <c r="E262" s="185">
        <v>1</v>
      </c>
      <c r="F262" s="185" t="s">
        <v>158</v>
      </c>
      <c r="G262" s="201">
        <v>300000</v>
      </c>
      <c r="H262" s="199">
        <f t="shared" ref="H262" si="54">19%*(G262*E262)+(G262*E262)</f>
        <v>357000</v>
      </c>
    </row>
    <row r="263" spans="2:8" ht="34.950000000000003" customHeight="1" thickBot="1" x14ac:dyDescent="0.35">
      <c r="B263" s="188"/>
      <c r="C263" s="189"/>
      <c r="D263" s="188"/>
      <c r="E263" s="187"/>
      <c r="F263" s="186"/>
      <c r="G263" s="202"/>
      <c r="H263" s="200"/>
    </row>
    <row r="264" spans="2:8" ht="34.950000000000003" customHeight="1" x14ac:dyDescent="0.3">
      <c r="B264" s="188">
        <v>38</v>
      </c>
      <c r="C264" s="189" t="s">
        <v>307</v>
      </c>
      <c r="D264" s="188" t="s">
        <v>243</v>
      </c>
      <c r="E264" s="185">
        <v>1</v>
      </c>
      <c r="F264" s="185" t="s">
        <v>158</v>
      </c>
      <c r="G264" s="201">
        <v>250000</v>
      </c>
      <c r="H264" s="199">
        <f t="shared" ref="H264" si="55">19%*(G264*E264)+(G264*E264)</f>
        <v>297500</v>
      </c>
    </row>
    <row r="265" spans="2:8" ht="34.950000000000003" customHeight="1" thickBot="1" x14ac:dyDescent="0.35">
      <c r="B265" s="188"/>
      <c r="C265" s="189"/>
      <c r="D265" s="188"/>
      <c r="E265" s="187"/>
      <c r="F265" s="186"/>
      <c r="G265" s="202"/>
      <c r="H265" s="200"/>
    </row>
    <row r="266" spans="2:8" ht="34.950000000000003" customHeight="1" x14ac:dyDescent="0.3">
      <c r="B266" s="188">
        <v>39</v>
      </c>
      <c r="C266" s="189" t="s">
        <v>308</v>
      </c>
      <c r="D266" s="188" t="s">
        <v>243</v>
      </c>
      <c r="E266" s="185">
        <v>1</v>
      </c>
      <c r="F266" s="185" t="s">
        <v>158</v>
      </c>
      <c r="G266" s="201">
        <v>500000</v>
      </c>
      <c r="H266" s="199">
        <f t="shared" ref="H266" si="56">19%*(G266*E266)+(G266*E266)</f>
        <v>595000</v>
      </c>
    </row>
    <row r="267" spans="2:8" ht="34.950000000000003" customHeight="1" thickBot="1" x14ac:dyDescent="0.35">
      <c r="B267" s="188"/>
      <c r="C267" s="189"/>
      <c r="D267" s="188"/>
      <c r="E267" s="187"/>
      <c r="F267" s="186"/>
      <c r="G267" s="202"/>
      <c r="H267" s="200"/>
    </row>
    <row r="268" spans="2:8" ht="34.950000000000003" customHeight="1" x14ac:dyDescent="0.3">
      <c r="B268" s="188">
        <v>40</v>
      </c>
      <c r="C268" s="189" t="s">
        <v>309</v>
      </c>
      <c r="D268" s="188" t="s">
        <v>243</v>
      </c>
      <c r="E268" s="185">
        <v>1</v>
      </c>
      <c r="F268" s="185" t="s">
        <v>158</v>
      </c>
      <c r="G268" s="201">
        <v>400000</v>
      </c>
      <c r="H268" s="199">
        <f t="shared" ref="H268" si="57">19%*(G268*E268)+(G268*E268)</f>
        <v>476000</v>
      </c>
    </row>
    <row r="269" spans="2:8" ht="34.950000000000003" customHeight="1" thickBot="1" x14ac:dyDescent="0.35">
      <c r="B269" s="188"/>
      <c r="C269" s="189"/>
      <c r="D269" s="188"/>
      <c r="E269" s="187"/>
      <c r="F269" s="186"/>
      <c r="G269" s="202"/>
      <c r="H269" s="200"/>
    </row>
    <row r="270" spans="2:8" ht="34.950000000000003" customHeight="1" x14ac:dyDescent="0.3">
      <c r="B270" s="188">
        <v>41</v>
      </c>
      <c r="C270" s="189" t="s">
        <v>310</v>
      </c>
      <c r="D270" s="188" t="s">
        <v>243</v>
      </c>
      <c r="E270" s="185">
        <v>1</v>
      </c>
      <c r="F270" s="185" t="s">
        <v>158</v>
      </c>
      <c r="G270" s="201">
        <v>300000</v>
      </c>
      <c r="H270" s="199">
        <f t="shared" ref="H270" si="58">19%*(G270*E270)+(G270*E270)</f>
        <v>357000</v>
      </c>
    </row>
    <row r="271" spans="2:8" ht="34.950000000000003" customHeight="1" thickBot="1" x14ac:dyDescent="0.35">
      <c r="B271" s="188"/>
      <c r="C271" s="189"/>
      <c r="D271" s="188"/>
      <c r="E271" s="187"/>
      <c r="F271" s="186"/>
      <c r="G271" s="202"/>
      <c r="H271" s="200"/>
    </row>
    <row r="272" spans="2:8" ht="34.950000000000003" customHeight="1" x14ac:dyDescent="0.3">
      <c r="B272" s="188">
        <v>42</v>
      </c>
      <c r="C272" s="189" t="s">
        <v>311</v>
      </c>
      <c r="D272" s="188" t="s">
        <v>243</v>
      </c>
      <c r="E272" s="185">
        <v>1</v>
      </c>
      <c r="F272" s="185" t="s">
        <v>158</v>
      </c>
      <c r="G272" s="201">
        <v>250000</v>
      </c>
      <c r="H272" s="199">
        <f t="shared" ref="H272" si="59">19%*(G272*E272)+(G272*E272)</f>
        <v>297500</v>
      </c>
    </row>
    <row r="273" spans="2:8" ht="34.950000000000003" customHeight="1" thickBot="1" x14ac:dyDescent="0.35">
      <c r="B273" s="188"/>
      <c r="C273" s="189"/>
      <c r="D273" s="188"/>
      <c r="E273" s="187"/>
      <c r="F273" s="186"/>
      <c r="G273" s="202"/>
      <c r="H273" s="200"/>
    </row>
    <row r="274" spans="2:8" ht="34.950000000000003" customHeight="1" x14ac:dyDescent="0.3">
      <c r="B274" s="188">
        <v>43</v>
      </c>
      <c r="C274" s="189" t="s">
        <v>312</v>
      </c>
      <c r="D274" s="188" t="s">
        <v>313</v>
      </c>
      <c r="E274" s="185">
        <v>2</v>
      </c>
      <c r="F274" s="185" t="s">
        <v>158</v>
      </c>
      <c r="G274" s="201">
        <v>65000</v>
      </c>
      <c r="H274" s="199">
        <f t="shared" ref="H274" si="60">19%*(G274*E274)+(G274*E274)</f>
        <v>154700</v>
      </c>
    </row>
    <row r="275" spans="2:8" ht="34.950000000000003" customHeight="1" thickBot="1" x14ac:dyDescent="0.35">
      <c r="B275" s="188"/>
      <c r="C275" s="189"/>
      <c r="D275" s="188"/>
      <c r="E275" s="187"/>
      <c r="F275" s="186"/>
      <c r="G275" s="202"/>
      <c r="H275" s="200"/>
    </row>
    <row r="276" spans="2:8" ht="34.950000000000003" customHeight="1" x14ac:dyDescent="0.3">
      <c r="B276" s="188">
        <v>44</v>
      </c>
      <c r="C276" s="189" t="s">
        <v>312</v>
      </c>
      <c r="D276" s="188" t="s">
        <v>314</v>
      </c>
      <c r="E276" s="185">
        <v>2</v>
      </c>
      <c r="F276" s="185" t="s">
        <v>158</v>
      </c>
      <c r="G276" s="201">
        <v>65000</v>
      </c>
      <c r="H276" s="199">
        <f t="shared" ref="H276" si="61">19%*(G276*E276)+(G276*E276)</f>
        <v>154700</v>
      </c>
    </row>
    <row r="277" spans="2:8" ht="34.950000000000003" customHeight="1" thickBot="1" x14ac:dyDescent="0.35">
      <c r="B277" s="188"/>
      <c r="C277" s="189"/>
      <c r="D277" s="188"/>
      <c r="E277" s="187"/>
      <c r="F277" s="186"/>
      <c r="G277" s="202"/>
      <c r="H277" s="200"/>
    </row>
    <row r="278" spans="2:8" ht="34.950000000000003" customHeight="1" x14ac:dyDescent="0.3">
      <c r="B278" s="188">
        <v>45</v>
      </c>
      <c r="C278" s="198" t="s">
        <v>315</v>
      </c>
      <c r="D278" s="188" t="s">
        <v>316</v>
      </c>
      <c r="E278" s="185">
        <v>2</v>
      </c>
      <c r="F278" s="185" t="s">
        <v>158</v>
      </c>
      <c r="G278" s="201">
        <v>65000</v>
      </c>
      <c r="H278" s="199">
        <f t="shared" ref="H278" si="62">19%*(G278*E278)+(G278*E278)</f>
        <v>154700</v>
      </c>
    </row>
    <row r="279" spans="2:8" ht="34.950000000000003" customHeight="1" thickBot="1" x14ac:dyDescent="0.35">
      <c r="B279" s="188"/>
      <c r="C279" s="198"/>
      <c r="D279" s="188"/>
      <c r="E279" s="187"/>
      <c r="F279" s="186"/>
      <c r="G279" s="202"/>
      <c r="H279" s="200"/>
    </row>
    <row r="280" spans="2:8" ht="34.950000000000003" customHeight="1" x14ac:dyDescent="0.3">
      <c r="B280" s="188">
        <v>46</v>
      </c>
      <c r="C280" s="198" t="s">
        <v>315</v>
      </c>
      <c r="D280" s="188" t="s">
        <v>317</v>
      </c>
      <c r="E280" s="185">
        <v>2</v>
      </c>
      <c r="F280" s="185" t="s">
        <v>158</v>
      </c>
      <c r="G280" s="201">
        <v>65000</v>
      </c>
      <c r="H280" s="199">
        <f t="shared" ref="H280" si="63">19%*(G280*E280)+(G280*E280)</f>
        <v>154700</v>
      </c>
    </row>
    <row r="281" spans="2:8" ht="34.950000000000003" customHeight="1" thickBot="1" x14ac:dyDescent="0.35">
      <c r="B281" s="188"/>
      <c r="C281" s="198"/>
      <c r="D281" s="188"/>
      <c r="E281" s="187"/>
      <c r="F281" s="186"/>
      <c r="G281" s="202"/>
      <c r="H281" s="200"/>
    </row>
    <row r="282" spans="2:8" ht="34.950000000000003" customHeight="1" x14ac:dyDescent="0.3">
      <c r="B282" s="188">
        <v>47</v>
      </c>
      <c r="C282" s="189" t="s">
        <v>318</v>
      </c>
      <c r="D282" s="188" t="s">
        <v>319</v>
      </c>
      <c r="E282" s="185">
        <v>2</v>
      </c>
      <c r="F282" s="185" t="s">
        <v>158</v>
      </c>
      <c r="G282" s="201">
        <v>65000</v>
      </c>
      <c r="H282" s="199">
        <f t="shared" ref="H282" si="64">19%*(G282*E282)+(G282*E282)</f>
        <v>154700</v>
      </c>
    </row>
    <row r="283" spans="2:8" ht="34.950000000000003" customHeight="1" thickBot="1" x14ac:dyDescent="0.35">
      <c r="B283" s="188"/>
      <c r="C283" s="189"/>
      <c r="D283" s="188"/>
      <c r="E283" s="187"/>
      <c r="F283" s="186"/>
      <c r="G283" s="202"/>
      <c r="H283" s="200"/>
    </row>
    <row r="284" spans="2:8" ht="34.950000000000003" customHeight="1" x14ac:dyDescent="0.3">
      <c r="B284" s="188">
        <v>48</v>
      </c>
      <c r="C284" s="189" t="s">
        <v>318</v>
      </c>
      <c r="D284" s="188" t="s">
        <v>320</v>
      </c>
      <c r="E284" s="185">
        <v>2</v>
      </c>
      <c r="F284" s="185" t="s">
        <v>158</v>
      </c>
      <c r="G284" s="201">
        <v>65000</v>
      </c>
      <c r="H284" s="199">
        <f t="shared" ref="H284" si="65">19%*(G284*E284)+(G284*E284)</f>
        <v>154700</v>
      </c>
    </row>
    <row r="285" spans="2:8" ht="34.950000000000003" customHeight="1" thickBot="1" x14ac:dyDescent="0.35">
      <c r="B285" s="188"/>
      <c r="C285" s="189"/>
      <c r="D285" s="188"/>
      <c r="E285" s="187"/>
      <c r="F285" s="186"/>
      <c r="G285" s="202"/>
      <c r="H285" s="200"/>
    </row>
    <row r="286" spans="2:8" ht="34.950000000000003" customHeight="1" x14ac:dyDescent="0.3">
      <c r="B286" s="188">
        <v>49</v>
      </c>
      <c r="C286" s="189" t="s">
        <v>321</v>
      </c>
      <c r="D286" s="188" t="s">
        <v>322</v>
      </c>
      <c r="E286" s="185">
        <v>2</v>
      </c>
      <c r="F286" s="185" t="s">
        <v>158</v>
      </c>
      <c r="G286" s="201">
        <v>65000</v>
      </c>
      <c r="H286" s="199">
        <f t="shared" ref="H286" si="66">19%*(G286*E286)+(G286*E286)</f>
        <v>154700</v>
      </c>
    </row>
    <row r="287" spans="2:8" ht="34.950000000000003" customHeight="1" thickBot="1" x14ac:dyDescent="0.35">
      <c r="B287" s="188"/>
      <c r="C287" s="189"/>
      <c r="D287" s="188"/>
      <c r="E287" s="187"/>
      <c r="F287" s="186"/>
      <c r="G287" s="202"/>
      <c r="H287" s="200"/>
    </row>
    <row r="288" spans="2:8" ht="34.950000000000003" customHeight="1" x14ac:dyDescent="0.3">
      <c r="B288" s="188">
        <v>50</v>
      </c>
      <c r="C288" s="189" t="s">
        <v>321</v>
      </c>
      <c r="D288" s="188" t="s">
        <v>323</v>
      </c>
      <c r="E288" s="185">
        <v>2</v>
      </c>
      <c r="F288" s="185" t="s">
        <v>158</v>
      </c>
      <c r="G288" s="201">
        <v>65000</v>
      </c>
      <c r="H288" s="199">
        <f t="shared" ref="H288" si="67">19%*(G288*E288)+(G288*E288)</f>
        <v>154700</v>
      </c>
    </row>
    <row r="289" spans="2:8" ht="34.950000000000003" customHeight="1" thickBot="1" x14ac:dyDescent="0.35">
      <c r="B289" s="188"/>
      <c r="C289" s="189"/>
      <c r="D289" s="188"/>
      <c r="E289" s="187"/>
      <c r="F289" s="186"/>
      <c r="G289" s="202"/>
      <c r="H289" s="200"/>
    </row>
    <row r="290" spans="2:8" ht="34.950000000000003" customHeight="1" x14ac:dyDescent="0.3">
      <c r="B290" s="188">
        <v>51</v>
      </c>
      <c r="C290" s="189" t="s">
        <v>244</v>
      </c>
      <c r="D290" s="188" t="s">
        <v>324</v>
      </c>
      <c r="E290" s="185">
        <v>2</v>
      </c>
      <c r="F290" s="185" t="s">
        <v>158</v>
      </c>
      <c r="G290" s="201">
        <v>4000</v>
      </c>
      <c r="H290" s="199">
        <f t="shared" ref="H290" si="68">19%*(G290*E290)+(G290*E290)</f>
        <v>9520</v>
      </c>
    </row>
    <row r="291" spans="2:8" ht="34.950000000000003" customHeight="1" thickBot="1" x14ac:dyDescent="0.35">
      <c r="B291" s="188"/>
      <c r="C291" s="189"/>
      <c r="D291" s="188"/>
      <c r="E291" s="187"/>
      <c r="F291" s="186"/>
      <c r="G291" s="202"/>
      <c r="H291" s="200"/>
    </row>
    <row r="292" spans="2:8" ht="34.950000000000003" customHeight="1" x14ac:dyDescent="0.3">
      <c r="B292" s="188">
        <v>52</v>
      </c>
      <c r="C292" s="189" t="s">
        <v>244</v>
      </c>
      <c r="D292" s="188" t="s">
        <v>325</v>
      </c>
      <c r="E292" s="185">
        <v>2</v>
      </c>
      <c r="F292" s="185" t="s">
        <v>158</v>
      </c>
      <c r="G292" s="201">
        <v>4000</v>
      </c>
      <c r="H292" s="199">
        <f t="shared" ref="H292" si="69">19%*(G292*E292)+(G292*E292)</f>
        <v>9520</v>
      </c>
    </row>
    <row r="293" spans="2:8" ht="34.950000000000003" customHeight="1" thickBot="1" x14ac:dyDescent="0.35">
      <c r="B293" s="188"/>
      <c r="C293" s="189"/>
      <c r="D293" s="188"/>
      <c r="E293" s="187"/>
      <c r="F293" s="186"/>
      <c r="G293" s="202"/>
      <c r="H293" s="200"/>
    </row>
    <row r="294" spans="2:8" ht="34.950000000000003" customHeight="1" x14ac:dyDescent="0.3">
      <c r="B294" s="188">
        <v>53</v>
      </c>
      <c r="C294" s="189" t="s">
        <v>245</v>
      </c>
      <c r="D294" s="188" t="s">
        <v>324</v>
      </c>
      <c r="E294" s="185">
        <v>2</v>
      </c>
      <c r="F294" s="185" t="s">
        <v>158</v>
      </c>
      <c r="G294" s="201">
        <v>4000</v>
      </c>
      <c r="H294" s="199">
        <f t="shared" ref="H294" si="70">19%*(G294*E294)+(G294*E294)</f>
        <v>9520</v>
      </c>
    </row>
    <row r="295" spans="2:8" ht="34.950000000000003" customHeight="1" thickBot="1" x14ac:dyDescent="0.35">
      <c r="B295" s="188"/>
      <c r="C295" s="189"/>
      <c r="D295" s="188"/>
      <c r="E295" s="187"/>
      <c r="F295" s="186"/>
      <c r="G295" s="202"/>
      <c r="H295" s="200"/>
    </row>
    <row r="296" spans="2:8" ht="34.950000000000003" customHeight="1" x14ac:dyDescent="0.3">
      <c r="B296" s="188">
        <v>54</v>
      </c>
      <c r="C296" s="189" t="s">
        <v>245</v>
      </c>
      <c r="D296" s="188" t="s">
        <v>325</v>
      </c>
      <c r="E296" s="185">
        <v>2</v>
      </c>
      <c r="F296" s="185" t="s">
        <v>158</v>
      </c>
      <c r="G296" s="201">
        <v>4000</v>
      </c>
      <c r="H296" s="199">
        <f t="shared" ref="H296" si="71">19%*(G296*E296)+(G296*E296)</f>
        <v>9520</v>
      </c>
    </row>
    <row r="297" spans="2:8" ht="34.950000000000003" customHeight="1" thickBot="1" x14ac:dyDescent="0.35">
      <c r="B297" s="188"/>
      <c r="C297" s="189"/>
      <c r="D297" s="188"/>
      <c r="E297" s="187"/>
      <c r="F297" s="186"/>
      <c r="G297" s="202"/>
      <c r="H297" s="200"/>
    </row>
    <row r="298" spans="2:8" ht="34.950000000000003" customHeight="1" x14ac:dyDescent="0.3">
      <c r="B298" s="188">
        <v>55</v>
      </c>
      <c r="C298" s="189" t="s">
        <v>246</v>
      </c>
      <c r="D298" s="188" t="s">
        <v>324</v>
      </c>
      <c r="E298" s="185">
        <v>2</v>
      </c>
      <c r="F298" s="185" t="s">
        <v>158</v>
      </c>
      <c r="G298" s="201">
        <v>4000</v>
      </c>
      <c r="H298" s="199">
        <f t="shared" ref="H298" si="72">19%*(G298*E298)+(G298*E298)</f>
        <v>9520</v>
      </c>
    </row>
    <row r="299" spans="2:8" ht="34.950000000000003" customHeight="1" thickBot="1" x14ac:dyDescent="0.35">
      <c r="B299" s="188"/>
      <c r="C299" s="189"/>
      <c r="D299" s="188"/>
      <c r="E299" s="187"/>
      <c r="F299" s="186"/>
      <c r="G299" s="202"/>
      <c r="H299" s="200"/>
    </row>
    <row r="300" spans="2:8" ht="34.950000000000003" customHeight="1" x14ac:dyDescent="0.3">
      <c r="B300" s="188">
        <v>56</v>
      </c>
      <c r="C300" s="189" t="s">
        <v>246</v>
      </c>
      <c r="D300" s="188" t="s">
        <v>325</v>
      </c>
      <c r="E300" s="185">
        <v>2</v>
      </c>
      <c r="F300" s="185" t="s">
        <v>158</v>
      </c>
      <c r="G300" s="201">
        <v>4000</v>
      </c>
      <c r="H300" s="199">
        <f t="shared" ref="H300" si="73">19%*(G300*E300)+(G300*E300)</f>
        <v>9520</v>
      </c>
    </row>
    <row r="301" spans="2:8" ht="34.950000000000003" customHeight="1" thickBot="1" x14ac:dyDescent="0.35">
      <c r="B301" s="188"/>
      <c r="C301" s="189"/>
      <c r="D301" s="188"/>
      <c r="E301" s="187"/>
      <c r="F301" s="186"/>
      <c r="G301" s="202"/>
      <c r="H301" s="200"/>
    </row>
    <row r="302" spans="2:8" ht="34.950000000000003" customHeight="1" x14ac:dyDescent="0.3">
      <c r="B302" s="188">
        <v>57</v>
      </c>
      <c r="C302" s="189" t="s">
        <v>247</v>
      </c>
      <c r="D302" s="188" t="s">
        <v>324</v>
      </c>
      <c r="E302" s="185">
        <v>2</v>
      </c>
      <c r="F302" s="185" t="s">
        <v>158</v>
      </c>
      <c r="G302" s="201">
        <v>4000</v>
      </c>
      <c r="H302" s="199">
        <f t="shared" ref="H302" si="74">19%*(G302*E302)+(G302*E302)</f>
        <v>9520</v>
      </c>
    </row>
    <row r="303" spans="2:8" ht="34.950000000000003" customHeight="1" thickBot="1" x14ac:dyDescent="0.35">
      <c r="B303" s="188"/>
      <c r="C303" s="189"/>
      <c r="D303" s="188"/>
      <c r="E303" s="187"/>
      <c r="F303" s="186"/>
      <c r="G303" s="202"/>
      <c r="H303" s="200"/>
    </row>
    <row r="304" spans="2:8" ht="34.950000000000003" customHeight="1" x14ac:dyDescent="0.3">
      <c r="B304" s="188">
        <v>58</v>
      </c>
      <c r="C304" s="189" t="s">
        <v>247</v>
      </c>
      <c r="D304" s="188" t="s">
        <v>325</v>
      </c>
      <c r="E304" s="185">
        <v>2</v>
      </c>
      <c r="F304" s="185" t="s">
        <v>158</v>
      </c>
      <c r="G304" s="201">
        <v>4000</v>
      </c>
      <c r="H304" s="199">
        <f t="shared" ref="H304" si="75">19%*(G304*E304)+(G304*E304)</f>
        <v>9520</v>
      </c>
    </row>
    <row r="305" spans="2:8" ht="34.950000000000003" customHeight="1" thickBot="1" x14ac:dyDescent="0.35">
      <c r="B305" s="188"/>
      <c r="C305" s="189"/>
      <c r="D305" s="188"/>
      <c r="E305" s="187"/>
      <c r="F305" s="186"/>
      <c r="G305" s="202"/>
      <c r="H305" s="200"/>
    </row>
    <row r="306" spans="2:8" ht="34.950000000000003" customHeight="1" x14ac:dyDescent="0.3">
      <c r="B306" s="188">
        <v>59</v>
      </c>
      <c r="C306" s="188" t="s">
        <v>248</v>
      </c>
      <c r="D306" s="188" t="s">
        <v>249</v>
      </c>
      <c r="E306" s="185">
        <v>300</v>
      </c>
      <c r="F306" s="185" t="s">
        <v>158</v>
      </c>
      <c r="G306" s="201">
        <v>800</v>
      </c>
      <c r="H306" s="199">
        <f t="shared" ref="H306" si="76">19%*(G306*E306)+(G306*E306)</f>
        <v>285600</v>
      </c>
    </row>
    <row r="307" spans="2:8" ht="34.950000000000003" customHeight="1" thickBot="1" x14ac:dyDescent="0.35">
      <c r="B307" s="188"/>
      <c r="C307" s="188"/>
      <c r="D307" s="188"/>
      <c r="E307" s="187"/>
      <c r="F307" s="186"/>
      <c r="G307" s="202"/>
      <c r="H307" s="200"/>
    </row>
    <row r="308" spans="2:8" ht="15" thickBot="1" x14ac:dyDescent="0.35">
      <c r="B308" s="195" t="s">
        <v>326</v>
      </c>
      <c r="C308" s="196"/>
      <c r="D308" s="196"/>
      <c r="E308" s="196"/>
      <c r="F308" s="197"/>
      <c r="G308" s="14" t="s">
        <v>250</v>
      </c>
      <c r="H308" s="5">
        <f>SUM(H190:H307)</f>
        <v>89132410</v>
      </c>
    </row>
    <row r="309" spans="2:8" ht="15" hidden="1" thickBot="1" x14ac:dyDescent="0.35"/>
    <row r="310" spans="2:8" ht="15" hidden="1" thickBot="1" x14ac:dyDescent="0.35">
      <c r="B310" s="250" t="s">
        <v>288</v>
      </c>
      <c r="C310" s="251"/>
      <c r="D310" s="251"/>
      <c r="E310" s="251"/>
      <c r="F310" s="251"/>
      <c r="G310" s="251"/>
      <c r="H310" s="252"/>
    </row>
    <row r="311" spans="2:8" ht="42" hidden="1" thickBot="1" x14ac:dyDescent="0.35">
      <c r="B311" s="6" t="s">
        <v>175</v>
      </c>
      <c r="C311" s="7" t="s">
        <v>176</v>
      </c>
      <c r="D311" s="7" t="s">
        <v>177</v>
      </c>
      <c r="E311" s="7" t="s">
        <v>178</v>
      </c>
      <c r="F311" s="7" t="s">
        <v>179</v>
      </c>
      <c r="G311" s="7" t="s">
        <v>180</v>
      </c>
      <c r="H311" s="8" t="s">
        <v>181</v>
      </c>
    </row>
    <row r="312" spans="2:8" ht="34.950000000000003" hidden="1" customHeight="1" x14ac:dyDescent="0.3">
      <c r="B312" s="194">
        <v>1</v>
      </c>
      <c r="C312" s="191" t="s">
        <v>252</v>
      </c>
      <c r="D312" s="210" t="s">
        <v>271</v>
      </c>
      <c r="E312" s="208">
        <v>1000</v>
      </c>
      <c r="F312" s="203" t="s">
        <v>158</v>
      </c>
      <c r="G312" s="201">
        <v>2000</v>
      </c>
      <c r="H312" s="199">
        <f>19%*(G312*E312)+(G312*E312)</f>
        <v>2380000</v>
      </c>
    </row>
    <row r="313" spans="2:8" ht="34.950000000000003" hidden="1" customHeight="1" thickBot="1" x14ac:dyDescent="0.35">
      <c r="B313" s="190"/>
      <c r="C313" s="191"/>
      <c r="D313" s="210"/>
      <c r="E313" s="209"/>
      <c r="F313" s="204"/>
      <c r="G313" s="202"/>
      <c r="H313" s="200"/>
    </row>
    <row r="314" spans="2:8" ht="34.950000000000003" hidden="1" customHeight="1" x14ac:dyDescent="0.3">
      <c r="B314" s="190">
        <v>2</v>
      </c>
      <c r="C314" s="191" t="s">
        <v>253</v>
      </c>
      <c r="D314" s="210" t="s">
        <v>1</v>
      </c>
      <c r="E314" s="208">
        <v>50</v>
      </c>
      <c r="F314" s="203" t="s">
        <v>158</v>
      </c>
      <c r="G314" s="201">
        <v>2400</v>
      </c>
      <c r="H314" s="199">
        <f t="shared" ref="H314" si="77">19%*(G314*E314)+(G314*E314)</f>
        <v>142800</v>
      </c>
    </row>
    <row r="315" spans="2:8" ht="34.950000000000003" hidden="1" customHeight="1" thickBot="1" x14ac:dyDescent="0.35">
      <c r="B315" s="190"/>
      <c r="C315" s="191"/>
      <c r="D315" s="210"/>
      <c r="E315" s="209"/>
      <c r="F315" s="204"/>
      <c r="G315" s="202"/>
      <c r="H315" s="200"/>
    </row>
    <row r="316" spans="2:8" ht="34.950000000000003" hidden="1" customHeight="1" x14ac:dyDescent="0.3">
      <c r="B316" s="190">
        <v>3</v>
      </c>
      <c r="C316" s="191" t="s">
        <v>270</v>
      </c>
      <c r="D316" s="210" t="s">
        <v>331</v>
      </c>
      <c r="E316" s="208">
        <v>50</v>
      </c>
      <c r="F316" s="203" t="s">
        <v>340</v>
      </c>
      <c r="G316" s="201">
        <v>42637</v>
      </c>
      <c r="H316" s="199">
        <f t="shared" ref="H316" si="78">19%*(G316*E316)+(G316*E316)</f>
        <v>2536901.5</v>
      </c>
    </row>
    <row r="317" spans="2:8" ht="34.950000000000003" hidden="1" customHeight="1" thickBot="1" x14ac:dyDescent="0.35">
      <c r="B317" s="190"/>
      <c r="C317" s="191"/>
      <c r="D317" s="210"/>
      <c r="E317" s="209"/>
      <c r="F317" s="204"/>
      <c r="G317" s="202"/>
      <c r="H317" s="200"/>
    </row>
    <row r="318" spans="2:8" ht="34.950000000000003" hidden="1" customHeight="1" x14ac:dyDescent="0.3">
      <c r="B318" s="190">
        <v>4</v>
      </c>
      <c r="C318" s="191" t="s">
        <v>254</v>
      </c>
      <c r="D318" s="210" t="s">
        <v>332</v>
      </c>
      <c r="E318" s="208">
        <v>2</v>
      </c>
      <c r="F318" s="203" t="s">
        <v>341</v>
      </c>
      <c r="G318" s="201">
        <v>300000</v>
      </c>
      <c r="H318" s="199">
        <f t="shared" ref="H318" si="79">19%*(G318*E318)+(G318*E318)</f>
        <v>714000</v>
      </c>
    </row>
    <row r="319" spans="2:8" ht="34.950000000000003" hidden="1" customHeight="1" thickBot="1" x14ac:dyDescent="0.35">
      <c r="B319" s="190"/>
      <c r="C319" s="191"/>
      <c r="D319" s="210"/>
      <c r="E319" s="209"/>
      <c r="F319" s="204"/>
      <c r="G319" s="202"/>
      <c r="H319" s="200"/>
    </row>
    <row r="320" spans="2:8" ht="34.950000000000003" hidden="1" customHeight="1" x14ac:dyDescent="0.3">
      <c r="B320" s="190">
        <v>5</v>
      </c>
      <c r="C320" s="207" t="s">
        <v>328</v>
      </c>
      <c r="D320" s="210" t="s">
        <v>333</v>
      </c>
      <c r="E320" s="208">
        <v>40</v>
      </c>
      <c r="F320" s="203" t="s">
        <v>342</v>
      </c>
      <c r="G320" s="201">
        <v>45500</v>
      </c>
      <c r="H320" s="199">
        <f t="shared" ref="H320" si="80">19%*(G320*E320)+(G320*E320)</f>
        <v>2165800</v>
      </c>
    </row>
    <row r="321" spans="2:8" ht="34.950000000000003" hidden="1" customHeight="1" thickBot="1" x14ac:dyDescent="0.35">
      <c r="B321" s="190"/>
      <c r="C321" s="191"/>
      <c r="D321" s="210"/>
      <c r="E321" s="209"/>
      <c r="F321" s="204"/>
      <c r="G321" s="202"/>
      <c r="H321" s="200"/>
    </row>
    <row r="322" spans="2:8" ht="34.950000000000003" hidden="1" customHeight="1" x14ac:dyDescent="0.3">
      <c r="B322" s="190">
        <v>6</v>
      </c>
      <c r="C322" s="192" t="s">
        <v>255</v>
      </c>
      <c r="D322" s="211" t="s">
        <v>334</v>
      </c>
      <c r="E322" s="208">
        <v>20</v>
      </c>
      <c r="F322" s="203" t="s">
        <v>343</v>
      </c>
      <c r="G322" s="201">
        <v>300000</v>
      </c>
      <c r="H322" s="199">
        <f t="shared" ref="H322" si="81">19%*(G322*E322)+(G322*E322)</f>
        <v>7140000</v>
      </c>
    </row>
    <row r="323" spans="2:8" ht="34.950000000000003" hidden="1" customHeight="1" thickBot="1" x14ac:dyDescent="0.35">
      <c r="B323" s="190"/>
      <c r="C323" s="193"/>
      <c r="D323" s="212"/>
      <c r="E323" s="209"/>
      <c r="F323" s="204"/>
      <c r="G323" s="202"/>
      <c r="H323" s="200"/>
    </row>
    <row r="324" spans="2:8" ht="34.950000000000003" hidden="1" customHeight="1" x14ac:dyDescent="0.3">
      <c r="B324" s="190">
        <v>7</v>
      </c>
      <c r="C324" s="192" t="s">
        <v>329</v>
      </c>
      <c r="D324" s="192" t="s">
        <v>335</v>
      </c>
      <c r="E324" s="208">
        <v>20</v>
      </c>
      <c r="F324" s="203" t="s">
        <v>344</v>
      </c>
      <c r="G324" s="201">
        <v>500000</v>
      </c>
      <c r="H324" s="199">
        <f t="shared" ref="H324" si="82">19%*(G324*E324)+(G324*E324)</f>
        <v>11900000</v>
      </c>
    </row>
    <row r="325" spans="2:8" ht="34.950000000000003" hidden="1" customHeight="1" thickBot="1" x14ac:dyDescent="0.35">
      <c r="B325" s="190"/>
      <c r="C325" s="193"/>
      <c r="D325" s="193"/>
      <c r="E325" s="209"/>
      <c r="F325" s="204"/>
      <c r="G325" s="202"/>
      <c r="H325" s="200"/>
    </row>
    <row r="326" spans="2:8" ht="34.950000000000003" hidden="1" customHeight="1" x14ac:dyDescent="0.3">
      <c r="B326" s="190">
        <v>8</v>
      </c>
      <c r="C326" s="211" t="s">
        <v>261</v>
      </c>
      <c r="D326" s="213" t="s">
        <v>74</v>
      </c>
      <c r="E326" s="208">
        <v>60</v>
      </c>
      <c r="F326" s="203" t="s">
        <v>158</v>
      </c>
      <c r="G326" s="201">
        <v>15000</v>
      </c>
      <c r="H326" s="199">
        <f t="shared" ref="H326" si="83">19%*(G326*E326)+(G326*E326)</f>
        <v>1071000</v>
      </c>
    </row>
    <row r="327" spans="2:8" ht="34.950000000000003" hidden="1" customHeight="1" thickBot="1" x14ac:dyDescent="0.35">
      <c r="B327" s="190"/>
      <c r="C327" s="212"/>
      <c r="D327" s="214"/>
      <c r="E327" s="209"/>
      <c r="F327" s="204"/>
      <c r="G327" s="202"/>
      <c r="H327" s="200"/>
    </row>
    <row r="328" spans="2:8" ht="34.950000000000003" hidden="1" customHeight="1" x14ac:dyDescent="0.3">
      <c r="B328" s="190">
        <v>9</v>
      </c>
      <c r="C328" s="191" t="s">
        <v>262</v>
      </c>
      <c r="D328" s="210" t="s">
        <v>272</v>
      </c>
      <c r="E328" s="208">
        <v>25</v>
      </c>
      <c r="F328" s="203" t="s">
        <v>158</v>
      </c>
      <c r="G328" s="201">
        <v>22000</v>
      </c>
      <c r="H328" s="199">
        <f t="shared" ref="H328" si="84">19%*(G328*E328)+(G328*E328)</f>
        <v>654500</v>
      </c>
    </row>
    <row r="329" spans="2:8" ht="34.950000000000003" hidden="1" customHeight="1" thickBot="1" x14ac:dyDescent="0.35">
      <c r="B329" s="190"/>
      <c r="C329" s="191"/>
      <c r="D329" s="210"/>
      <c r="E329" s="209"/>
      <c r="F329" s="204"/>
      <c r="G329" s="202"/>
      <c r="H329" s="200"/>
    </row>
    <row r="330" spans="2:8" ht="34.950000000000003" hidden="1" customHeight="1" x14ac:dyDescent="0.3">
      <c r="B330" s="190">
        <v>10</v>
      </c>
      <c r="C330" s="191" t="s">
        <v>263</v>
      </c>
      <c r="D330" s="188" t="s">
        <v>273</v>
      </c>
      <c r="E330" s="208">
        <v>2</v>
      </c>
      <c r="F330" s="203" t="s">
        <v>158</v>
      </c>
      <c r="G330" s="201">
        <v>1350000</v>
      </c>
      <c r="H330" s="199">
        <f t="shared" ref="H330" si="85">19%*(G330*E330)+(G330*E330)</f>
        <v>3213000</v>
      </c>
    </row>
    <row r="331" spans="2:8" ht="34.950000000000003" hidden="1" customHeight="1" thickBot="1" x14ac:dyDescent="0.35">
      <c r="B331" s="190"/>
      <c r="C331" s="191"/>
      <c r="D331" s="188"/>
      <c r="E331" s="209"/>
      <c r="F331" s="204"/>
      <c r="G331" s="202"/>
      <c r="H331" s="200"/>
    </row>
    <row r="332" spans="2:8" ht="34.950000000000003" hidden="1" customHeight="1" x14ac:dyDescent="0.3">
      <c r="B332" s="190">
        <v>11</v>
      </c>
      <c r="C332" s="191" t="s">
        <v>264</v>
      </c>
      <c r="D332" s="210" t="s">
        <v>72</v>
      </c>
      <c r="E332" s="208">
        <v>10</v>
      </c>
      <c r="F332" s="203" t="s">
        <v>158</v>
      </c>
      <c r="G332" s="201">
        <v>170000</v>
      </c>
      <c r="H332" s="199">
        <f t="shared" ref="H332" si="86">19%*(G332*E332)+(G332*E332)</f>
        <v>2023000</v>
      </c>
    </row>
    <row r="333" spans="2:8" ht="34.950000000000003" hidden="1" customHeight="1" thickBot="1" x14ac:dyDescent="0.35">
      <c r="B333" s="190"/>
      <c r="C333" s="191"/>
      <c r="D333" s="210"/>
      <c r="E333" s="209"/>
      <c r="F333" s="204"/>
      <c r="G333" s="202"/>
      <c r="H333" s="200"/>
    </row>
    <row r="334" spans="2:8" ht="34.950000000000003" hidden="1" customHeight="1" x14ac:dyDescent="0.3">
      <c r="B334" s="190">
        <v>12</v>
      </c>
      <c r="C334" s="191" t="s">
        <v>61</v>
      </c>
      <c r="D334" s="210" t="s">
        <v>62</v>
      </c>
      <c r="E334" s="208">
        <v>30</v>
      </c>
      <c r="F334" s="203" t="s">
        <v>158</v>
      </c>
      <c r="G334" s="201">
        <v>170000</v>
      </c>
      <c r="H334" s="199">
        <f t="shared" ref="H334" si="87">19%*(G334*E334)+(G334*E334)</f>
        <v>6069000</v>
      </c>
    </row>
    <row r="335" spans="2:8" ht="34.950000000000003" hidden="1" customHeight="1" thickBot="1" x14ac:dyDescent="0.35">
      <c r="B335" s="190"/>
      <c r="C335" s="191"/>
      <c r="D335" s="210"/>
      <c r="E335" s="209"/>
      <c r="F335" s="204"/>
      <c r="G335" s="202"/>
      <c r="H335" s="200"/>
    </row>
    <row r="336" spans="2:8" ht="34.950000000000003" hidden="1" customHeight="1" x14ac:dyDescent="0.3">
      <c r="B336" s="190">
        <v>13</v>
      </c>
      <c r="C336" s="191" t="s">
        <v>256</v>
      </c>
      <c r="D336" s="210" t="s">
        <v>274</v>
      </c>
      <c r="E336" s="208">
        <v>1</v>
      </c>
      <c r="F336" s="203" t="s">
        <v>192</v>
      </c>
      <c r="G336" s="201">
        <v>4000000</v>
      </c>
      <c r="H336" s="199">
        <f t="shared" ref="H336" si="88">19%*(G336*E336)+(G336*E336)</f>
        <v>4760000</v>
      </c>
    </row>
    <row r="337" spans="2:8" ht="34.950000000000003" hidden="1" customHeight="1" thickBot="1" x14ac:dyDescent="0.35">
      <c r="B337" s="190"/>
      <c r="C337" s="191"/>
      <c r="D337" s="210"/>
      <c r="E337" s="209"/>
      <c r="F337" s="204"/>
      <c r="G337" s="202"/>
      <c r="H337" s="200"/>
    </row>
    <row r="338" spans="2:8" ht="34.950000000000003" hidden="1" customHeight="1" x14ac:dyDescent="0.3">
      <c r="B338" s="190">
        <v>14</v>
      </c>
      <c r="C338" s="191" t="s">
        <v>56</v>
      </c>
      <c r="D338" s="210" t="s">
        <v>57</v>
      </c>
      <c r="E338" s="208">
        <v>1</v>
      </c>
      <c r="F338" s="203" t="s">
        <v>192</v>
      </c>
      <c r="G338" s="201">
        <v>1000000</v>
      </c>
      <c r="H338" s="199">
        <f t="shared" ref="H338" si="89">19%*(G338*E338)+(G338*E338)</f>
        <v>1190000</v>
      </c>
    </row>
    <row r="339" spans="2:8" ht="34.950000000000003" hidden="1" customHeight="1" thickBot="1" x14ac:dyDescent="0.35">
      <c r="B339" s="190"/>
      <c r="C339" s="191"/>
      <c r="D339" s="210"/>
      <c r="E339" s="209"/>
      <c r="F339" s="204"/>
      <c r="G339" s="202"/>
      <c r="H339" s="200"/>
    </row>
    <row r="340" spans="2:8" ht="34.950000000000003" hidden="1" customHeight="1" x14ac:dyDescent="0.3">
      <c r="B340" s="190">
        <v>15</v>
      </c>
      <c r="C340" s="191" t="s">
        <v>257</v>
      </c>
      <c r="D340" s="210" t="s">
        <v>275</v>
      </c>
      <c r="E340" s="208">
        <v>10</v>
      </c>
      <c r="F340" s="203" t="s">
        <v>192</v>
      </c>
      <c r="G340" s="201">
        <v>5000000</v>
      </c>
      <c r="H340" s="199">
        <f t="shared" ref="H340" si="90">19%*(G340*E340)+(G340*E340)</f>
        <v>59500000</v>
      </c>
    </row>
    <row r="341" spans="2:8" ht="34.950000000000003" hidden="1" customHeight="1" thickBot="1" x14ac:dyDescent="0.35">
      <c r="B341" s="190"/>
      <c r="C341" s="191"/>
      <c r="D341" s="210"/>
      <c r="E341" s="209"/>
      <c r="F341" s="204"/>
      <c r="G341" s="202"/>
      <c r="H341" s="200"/>
    </row>
    <row r="342" spans="2:8" ht="34.950000000000003" hidden="1" customHeight="1" x14ac:dyDescent="0.3">
      <c r="B342" s="190">
        <v>16</v>
      </c>
      <c r="C342" s="191" t="s">
        <v>258</v>
      </c>
      <c r="D342" s="210" t="s">
        <v>30</v>
      </c>
      <c r="E342" s="208">
        <v>10</v>
      </c>
      <c r="F342" s="203" t="s">
        <v>276</v>
      </c>
      <c r="G342" s="201">
        <v>1600000</v>
      </c>
      <c r="H342" s="199">
        <f t="shared" ref="H342" si="91">19%*(G342*E342)+(G342*E342)</f>
        <v>19040000</v>
      </c>
    </row>
    <row r="343" spans="2:8" ht="34.950000000000003" hidden="1" customHeight="1" thickBot="1" x14ac:dyDescent="0.35">
      <c r="B343" s="190"/>
      <c r="C343" s="191"/>
      <c r="D343" s="210"/>
      <c r="E343" s="209"/>
      <c r="F343" s="204"/>
      <c r="G343" s="202"/>
      <c r="H343" s="200"/>
    </row>
    <row r="344" spans="2:8" ht="34.950000000000003" hidden="1" customHeight="1" x14ac:dyDescent="0.3">
      <c r="B344" s="190">
        <v>17</v>
      </c>
      <c r="C344" s="191" t="s">
        <v>259</v>
      </c>
      <c r="D344" s="210" t="s">
        <v>86</v>
      </c>
      <c r="E344" s="208">
        <v>2</v>
      </c>
      <c r="F344" s="203" t="s">
        <v>276</v>
      </c>
      <c r="G344" s="201">
        <v>2100000</v>
      </c>
      <c r="H344" s="199">
        <f t="shared" ref="H344" si="92">19%*(G344*E344)+(G344*E344)</f>
        <v>4998000</v>
      </c>
    </row>
    <row r="345" spans="2:8" ht="34.950000000000003" hidden="1" customHeight="1" thickBot="1" x14ac:dyDescent="0.35">
      <c r="B345" s="190"/>
      <c r="C345" s="191"/>
      <c r="D345" s="210"/>
      <c r="E345" s="209"/>
      <c r="F345" s="204"/>
      <c r="G345" s="202"/>
      <c r="H345" s="200"/>
    </row>
    <row r="346" spans="2:8" ht="34.950000000000003" hidden="1" customHeight="1" x14ac:dyDescent="0.3">
      <c r="B346" s="190">
        <v>18</v>
      </c>
      <c r="C346" s="191" t="s">
        <v>260</v>
      </c>
      <c r="D346" s="210" t="s">
        <v>89</v>
      </c>
      <c r="E346" s="208">
        <v>1</v>
      </c>
      <c r="F346" s="203" t="s">
        <v>277</v>
      </c>
      <c r="G346" s="201">
        <v>22000000</v>
      </c>
      <c r="H346" s="199">
        <f t="shared" ref="H346" si="93">19%*(G346*E346)+(G346*E346)</f>
        <v>26180000</v>
      </c>
    </row>
    <row r="347" spans="2:8" ht="34.950000000000003" hidden="1" customHeight="1" thickBot="1" x14ac:dyDescent="0.35">
      <c r="B347" s="190"/>
      <c r="C347" s="191"/>
      <c r="D347" s="210"/>
      <c r="E347" s="209"/>
      <c r="F347" s="204"/>
      <c r="G347" s="202"/>
      <c r="H347" s="200"/>
    </row>
    <row r="348" spans="2:8" ht="34.950000000000003" hidden="1" customHeight="1" x14ac:dyDescent="0.3">
      <c r="B348" s="190">
        <v>19</v>
      </c>
      <c r="C348" s="191" t="s">
        <v>330</v>
      </c>
      <c r="D348" s="188" t="s">
        <v>336</v>
      </c>
      <c r="E348" s="208">
        <v>40</v>
      </c>
      <c r="F348" s="203" t="s">
        <v>158</v>
      </c>
      <c r="G348" s="201">
        <v>4500</v>
      </c>
      <c r="H348" s="199">
        <f t="shared" ref="H348" si="94">19%*(G348*E348)+(G348*E348)</f>
        <v>214200</v>
      </c>
    </row>
    <row r="349" spans="2:8" ht="34.950000000000003" hidden="1" customHeight="1" thickBot="1" x14ac:dyDescent="0.35">
      <c r="B349" s="190"/>
      <c r="C349" s="191"/>
      <c r="D349" s="188"/>
      <c r="E349" s="209"/>
      <c r="F349" s="204"/>
      <c r="G349" s="202"/>
      <c r="H349" s="200"/>
    </row>
    <row r="350" spans="2:8" ht="34.950000000000003" hidden="1" customHeight="1" x14ac:dyDescent="0.3">
      <c r="B350" s="190">
        <v>20</v>
      </c>
      <c r="C350" s="191" t="s">
        <v>265</v>
      </c>
      <c r="D350" s="188" t="s">
        <v>160</v>
      </c>
      <c r="E350" s="208">
        <v>30</v>
      </c>
      <c r="F350" s="203" t="s">
        <v>158</v>
      </c>
      <c r="G350" s="201">
        <v>1350</v>
      </c>
      <c r="H350" s="199">
        <f t="shared" ref="H350" si="95">19%*(G350*E350)+(G350*E350)</f>
        <v>48195</v>
      </c>
    </row>
    <row r="351" spans="2:8" ht="34.950000000000003" hidden="1" customHeight="1" thickBot="1" x14ac:dyDescent="0.35">
      <c r="B351" s="190"/>
      <c r="C351" s="191"/>
      <c r="D351" s="188"/>
      <c r="E351" s="209"/>
      <c r="F351" s="204"/>
      <c r="G351" s="202"/>
      <c r="H351" s="200"/>
    </row>
    <row r="352" spans="2:8" ht="34.950000000000003" hidden="1" customHeight="1" x14ac:dyDescent="0.3">
      <c r="B352" s="190">
        <v>21</v>
      </c>
      <c r="C352" s="191" t="s">
        <v>266</v>
      </c>
      <c r="D352" s="188" t="s">
        <v>155</v>
      </c>
      <c r="E352" s="208">
        <v>30</v>
      </c>
      <c r="F352" s="203" t="s">
        <v>278</v>
      </c>
      <c r="G352" s="201">
        <v>1350</v>
      </c>
      <c r="H352" s="199">
        <f t="shared" ref="H352" si="96">19%*(G352*E352)+(G352*E352)</f>
        <v>48195</v>
      </c>
    </row>
    <row r="353" spans="2:8" ht="34.950000000000003" hidden="1" customHeight="1" thickBot="1" x14ac:dyDescent="0.35">
      <c r="B353" s="190"/>
      <c r="C353" s="191"/>
      <c r="D353" s="188"/>
      <c r="E353" s="209"/>
      <c r="F353" s="204"/>
      <c r="G353" s="202"/>
      <c r="H353" s="200"/>
    </row>
    <row r="354" spans="2:8" ht="34.950000000000003" hidden="1" customHeight="1" x14ac:dyDescent="0.3">
      <c r="B354" s="190">
        <v>22</v>
      </c>
      <c r="C354" s="207" t="s">
        <v>267</v>
      </c>
      <c r="D354" s="188" t="s">
        <v>337</v>
      </c>
      <c r="E354" s="208">
        <v>30</v>
      </c>
      <c r="F354" s="203" t="s">
        <v>158</v>
      </c>
      <c r="G354" s="201">
        <v>1350</v>
      </c>
      <c r="H354" s="199">
        <f t="shared" ref="H354" si="97">19%*(G354*E354)+(G354*E354)</f>
        <v>48195</v>
      </c>
    </row>
    <row r="355" spans="2:8" ht="34.950000000000003" hidden="1" customHeight="1" thickBot="1" x14ac:dyDescent="0.35">
      <c r="B355" s="190"/>
      <c r="C355" s="207"/>
      <c r="D355" s="188"/>
      <c r="E355" s="209"/>
      <c r="F355" s="204"/>
      <c r="G355" s="202"/>
      <c r="H355" s="200"/>
    </row>
    <row r="356" spans="2:8" ht="34.950000000000003" hidden="1" customHeight="1" x14ac:dyDescent="0.3">
      <c r="B356" s="205">
        <v>23</v>
      </c>
      <c r="C356" s="191" t="s">
        <v>268</v>
      </c>
      <c r="D356" s="188" t="s">
        <v>338</v>
      </c>
      <c r="E356" s="208">
        <v>30</v>
      </c>
      <c r="F356" s="203" t="s">
        <v>158</v>
      </c>
      <c r="G356" s="201">
        <v>1350</v>
      </c>
      <c r="H356" s="199">
        <f t="shared" ref="H356" si="98">19%*(G356*E356)+(G356*E356)</f>
        <v>48195</v>
      </c>
    </row>
    <row r="357" spans="2:8" ht="34.950000000000003" hidden="1" customHeight="1" thickBot="1" x14ac:dyDescent="0.35">
      <c r="B357" s="206"/>
      <c r="C357" s="191"/>
      <c r="D357" s="188"/>
      <c r="E357" s="209"/>
      <c r="F357" s="204"/>
      <c r="G357" s="202"/>
      <c r="H357" s="200"/>
    </row>
    <row r="358" spans="2:8" ht="34.950000000000003" hidden="1" customHeight="1" x14ac:dyDescent="0.3">
      <c r="B358" s="205">
        <v>24</v>
      </c>
      <c r="C358" s="191" t="s">
        <v>269</v>
      </c>
      <c r="D358" s="207" t="s">
        <v>339</v>
      </c>
      <c r="E358" s="208">
        <v>1</v>
      </c>
      <c r="F358" s="203" t="s">
        <v>2</v>
      </c>
      <c r="G358" s="201">
        <v>600000</v>
      </c>
      <c r="H358" s="199">
        <f t="shared" ref="H358" si="99">19%*(G358*E358)+(G358*E358)</f>
        <v>714000</v>
      </c>
    </row>
    <row r="359" spans="2:8" ht="34.950000000000003" hidden="1" customHeight="1" thickBot="1" x14ac:dyDescent="0.35">
      <c r="B359" s="206"/>
      <c r="C359" s="191"/>
      <c r="D359" s="191"/>
      <c r="E359" s="209"/>
      <c r="F359" s="204"/>
      <c r="G359" s="202"/>
      <c r="H359" s="200"/>
    </row>
    <row r="360" spans="2:8" hidden="1" x14ac:dyDescent="0.3"/>
    <row r="361" spans="2:8" ht="15" hidden="1" thickBot="1" x14ac:dyDescent="0.35"/>
    <row r="362" spans="2:8" ht="15" hidden="1" thickBot="1" x14ac:dyDescent="0.35">
      <c r="B362" s="195" t="s">
        <v>289</v>
      </c>
      <c r="C362" s="196"/>
      <c r="D362" s="196"/>
      <c r="E362" s="196"/>
      <c r="F362" s="197"/>
      <c r="G362" s="14" t="s">
        <v>250</v>
      </c>
      <c r="H362" s="5">
        <f>SUM(H312:H359)</f>
        <v>156798981.5</v>
      </c>
    </row>
    <row r="363" spans="2:8" hidden="1" x14ac:dyDescent="0.3"/>
  </sheetData>
  <mergeCells count="1140">
    <mergeCell ref="B358:B359"/>
    <mergeCell ref="C358:C359"/>
    <mergeCell ref="D358:D359"/>
    <mergeCell ref="E358:E359"/>
    <mergeCell ref="F358:F359"/>
    <mergeCell ref="G358:G359"/>
    <mergeCell ref="H358:H359"/>
    <mergeCell ref="G290:G291"/>
    <mergeCell ref="H290:H291"/>
    <mergeCell ref="G292:G293"/>
    <mergeCell ref="H292:H293"/>
    <mergeCell ref="G294:G295"/>
    <mergeCell ref="H294:H295"/>
    <mergeCell ref="G296:G297"/>
    <mergeCell ref="H296:H297"/>
    <mergeCell ref="G298:G299"/>
    <mergeCell ref="H298:H299"/>
    <mergeCell ref="G300:G301"/>
    <mergeCell ref="H300:H301"/>
    <mergeCell ref="G302:G303"/>
    <mergeCell ref="H302:H303"/>
    <mergeCell ref="G304:G305"/>
    <mergeCell ref="H304:H305"/>
    <mergeCell ref="G306:G307"/>
    <mergeCell ref="H306:H307"/>
    <mergeCell ref="E312:E313"/>
    <mergeCell ref="B314:B315"/>
    <mergeCell ref="C314:C315"/>
    <mergeCell ref="E314:E315"/>
    <mergeCell ref="B310:H310"/>
    <mergeCell ref="E324:E325"/>
    <mergeCell ref="B326:B327"/>
    <mergeCell ref="G272:G273"/>
    <mergeCell ref="H272:H273"/>
    <mergeCell ref="G274:G275"/>
    <mergeCell ref="H274:H275"/>
    <mergeCell ref="G276:G277"/>
    <mergeCell ref="H276:H277"/>
    <mergeCell ref="G278:G279"/>
    <mergeCell ref="H278:H279"/>
    <mergeCell ref="G280:G281"/>
    <mergeCell ref="H280:H281"/>
    <mergeCell ref="G282:G283"/>
    <mergeCell ref="H282:H283"/>
    <mergeCell ref="G284:G285"/>
    <mergeCell ref="H284:H285"/>
    <mergeCell ref="G286:G287"/>
    <mergeCell ref="H286:H287"/>
    <mergeCell ref="G288:G289"/>
    <mergeCell ref="H288:H289"/>
    <mergeCell ref="H56:H57"/>
    <mergeCell ref="G58:G59"/>
    <mergeCell ref="H58:H59"/>
    <mergeCell ref="G258:G259"/>
    <mergeCell ref="H258:H259"/>
    <mergeCell ref="G260:G261"/>
    <mergeCell ref="H260:H261"/>
    <mergeCell ref="G262:G263"/>
    <mergeCell ref="H262:H263"/>
    <mergeCell ref="G264:G265"/>
    <mergeCell ref="H264:H265"/>
    <mergeCell ref="G266:G267"/>
    <mergeCell ref="H266:H267"/>
    <mergeCell ref="G268:G269"/>
    <mergeCell ref="H268:H269"/>
    <mergeCell ref="G270:G271"/>
    <mergeCell ref="H270:H271"/>
    <mergeCell ref="G90:G91"/>
    <mergeCell ref="H90:H91"/>
    <mergeCell ref="G92:G93"/>
    <mergeCell ref="H92:H93"/>
    <mergeCell ref="G94:G95"/>
    <mergeCell ref="H94:H95"/>
    <mergeCell ref="G96:G97"/>
    <mergeCell ref="H96:H97"/>
    <mergeCell ref="G98:G99"/>
    <mergeCell ref="H98:H99"/>
    <mergeCell ref="G100:G101"/>
    <mergeCell ref="H100:H101"/>
    <mergeCell ref="B62:H62"/>
    <mergeCell ref="B64:B65"/>
    <mergeCell ref="C64:C69"/>
    <mergeCell ref="B6:B7"/>
    <mergeCell ref="C6:C7"/>
    <mergeCell ref="D6:D7"/>
    <mergeCell ref="E6:E7"/>
    <mergeCell ref="F6:F7"/>
    <mergeCell ref="G6:G7"/>
    <mergeCell ref="B2:H2"/>
    <mergeCell ref="B4:B5"/>
    <mergeCell ref="D4:D5"/>
    <mergeCell ref="E4:E5"/>
    <mergeCell ref="F4:F5"/>
    <mergeCell ref="G4:G5"/>
    <mergeCell ref="H4:H5"/>
    <mergeCell ref="C4:C5"/>
    <mergeCell ref="H6:H7"/>
    <mergeCell ref="G54:G55"/>
    <mergeCell ref="H54:H55"/>
    <mergeCell ref="H10:H11"/>
    <mergeCell ref="B12:B13"/>
    <mergeCell ref="D12:D13"/>
    <mergeCell ref="E12:E13"/>
    <mergeCell ref="F12:F13"/>
    <mergeCell ref="G12:G13"/>
    <mergeCell ref="H12:H13"/>
    <mergeCell ref="B10:B11"/>
    <mergeCell ref="D10:D11"/>
    <mergeCell ref="E10:E11"/>
    <mergeCell ref="F10:F11"/>
    <mergeCell ref="G10:G11"/>
    <mergeCell ref="C8:C11"/>
    <mergeCell ref="B8:B9"/>
    <mergeCell ref="D8:D9"/>
    <mergeCell ref="E8:E9"/>
    <mergeCell ref="F8:F9"/>
    <mergeCell ref="G8:G9"/>
    <mergeCell ref="H8:H9"/>
    <mergeCell ref="B22:H22"/>
    <mergeCell ref="B24:B25"/>
    <mergeCell ref="D24:D25"/>
    <mergeCell ref="E24:E25"/>
    <mergeCell ref="F24:F25"/>
    <mergeCell ref="G24:G25"/>
    <mergeCell ref="H24:H25"/>
    <mergeCell ref="B20:F20"/>
    <mergeCell ref="H14:H15"/>
    <mergeCell ref="B18:B19"/>
    <mergeCell ref="D18:D19"/>
    <mergeCell ref="E18:E19"/>
    <mergeCell ref="F18:F19"/>
    <mergeCell ref="G18:G19"/>
    <mergeCell ref="H18:H19"/>
    <mergeCell ref="B16:B17"/>
    <mergeCell ref="B14:B15"/>
    <mergeCell ref="D14:D15"/>
    <mergeCell ref="E14:E15"/>
    <mergeCell ref="F14:F15"/>
    <mergeCell ref="G14:G15"/>
    <mergeCell ref="D16:D17"/>
    <mergeCell ref="E16:E17"/>
    <mergeCell ref="C12:C19"/>
    <mergeCell ref="F16:F17"/>
    <mergeCell ref="G16:G17"/>
    <mergeCell ref="H16:H17"/>
    <mergeCell ref="F32:F33"/>
    <mergeCell ref="B36:B37"/>
    <mergeCell ref="D36:D37"/>
    <mergeCell ref="E36:E37"/>
    <mergeCell ref="F36:F37"/>
    <mergeCell ref="G26:G27"/>
    <mergeCell ref="H26:H27"/>
    <mergeCell ref="B28:B29"/>
    <mergeCell ref="C28:C31"/>
    <mergeCell ref="D28:D29"/>
    <mergeCell ref="E28:E29"/>
    <mergeCell ref="F28:F29"/>
    <mergeCell ref="G28:G29"/>
    <mergeCell ref="H28:H29"/>
    <mergeCell ref="B30:B31"/>
    <mergeCell ref="D30:D31"/>
    <mergeCell ref="E30:E31"/>
    <mergeCell ref="F30:F31"/>
    <mergeCell ref="G30:G31"/>
    <mergeCell ref="H30:H31"/>
    <mergeCell ref="B26:B27"/>
    <mergeCell ref="D26:D27"/>
    <mergeCell ref="E26:E27"/>
    <mergeCell ref="F26:F27"/>
    <mergeCell ref="B40:H40"/>
    <mergeCell ref="B42:B43"/>
    <mergeCell ref="C42:C45"/>
    <mergeCell ref="D42:D43"/>
    <mergeCell ref="E42:E43"/>
    <mergeCell ref="F42:F43"/>
    <mergeCell ref="G42:G43"/>
    <mergeCell ref="H42:H43"/>
    <mergeCell ref="B44:B45"/>
    <mergeCell ref="D44:D45"/>
    <mergeCell ref="E44:E45"/>
    <mergeCell ref="F44:F45"/>
    <mergeCell ref="G44:G45"/>
    <mergeCell ref="H44:H45"/>
    <mergeCell ref="B38:F38"/>
    <mergeCell ref="C24:C27"/>
    <mergeCell ref="C32:C33"/>
    <mergeCell ref="C34:C35"/>
    <mergeCell ref="C36:C37"/>
    <mergeCell ref="G36:G37"/>
    <mergeCell ref="H36:H37"/>
    <mergeCell ref="G32:G33"/>
    <mergeCell ref="H32:H33"/>
    <mergeCell ref="B34:B35"/>
    <mergeCell ref="D34:D35"/>
    <mergeCell ref="E34:E35"/>
    <mergeCell ref="F34:F35"/>
    <mergeCell ref="G34:G35"/>
    <mergeCell ref="H34:H35"/>
    <mergeCell ref="B32:B33"/>
    <mergeCell ref="D32:D33"/>
    <mergeCell ref="E32:E33"/>
    <mergeCell ref="G50:G51"/>
    <mergeCell ref="H50:H51"/>
    <mergeCell ref="B52:B53"/>
    <mergeCell ref="C52:C53"/>
    <mergeCell ref="D52:D53"/>
    <mergeCell ref="E52:E53"/>
    <mergeCell ref="F52:F53"/>
    <mergeCell ref="G52:G53"/>
    <mergeCell ref="H52:H53"/>
    <mergeCell ref="C48:C51"/>
    <mergeCell ref="B50:B51"/>
    <mergeCell ref="D50:D51"/>
    <mergeCell ref="E50:E51"/>
    <mergeCell ref="F50:F51"/>
    <mergeCell ref="G46:G47"/>
    <mergeCell ref="H46:H47"/>
    <mergeCell ref="B48:B49"/>
    <mergeCell ref="D48:D49"/>
    <mergeCell ref="E48:E49"/>
    <mergeCell ref="F48:F49"/>
    <mergeCell ref="G48:G49"/>
    <mergeCell ref="H48:H49"/>
    <mergeCell ref="C46:C47"/>
    <mergeCell ref="B46:B47"/>
    <mergeCell ref="D46:D47"/>
    <mergeCell ref="E46:E47"/>
    <mergeCell ref="F46:F47"/>
    <mergeCell ref="E64:E65"/>
    <mergeCell ref="B66:B67"/>
    <mergeCell ref="E66:E67"/>
    <mergeCell ref="B68:B69"/>
    <mergeCell ref="E68:E69"/>
    <mergeCell ref="D64:D65"/>
    <mergeCell ref="D66:D67"/>
    <mergeCell ref="D68:D69"/>
    <mergeCell ref="G64:G65"/>
    <mergeCell ref="F64:F65"/>
    <mergeCell ref="F66:F67"/>
    <mergeCell ref="F68:F69"/>
    <mergeCell ref="B60:F60"/>
    <mergeCell ref="B54:B55"/>
    <mergeCell ref="C54:C55"/>
    <mergeCell ref="C56:C59"/>
    <mergeCell ref="B56:B57"/>
    <mergeCell ref="B58:B59"/>
    <mergeCell ref="E54:E55"/>
    <mergeCell ref="F54:F55"/>
    <mergeCell ref="E56:E57"/>
    <mergeCell ref="F56:F57"/>
    <mergeCell ref="E58:E59"/>
    <mergeCell ref="F58:F59"/>
    <mergeCell ref="D54:D55"/>
    <mergeCell ref="D56:D57"/>
    <mergeCell ref="D58:D59"/>
    <mergeCell ref="G56:G57"/>
    <mergeCell ref="B84:B85"/>
    <mergeCell ref="C84:C89"/>
    <mergeCell ref="E84:E85"/>
    <mergeCell ref="B86:B87"/>
    <mergeCell ref="E86:E87"/>
    <mergeCell ref="B88:B89"/>
    <mergeCell ref="E88:E89"/>
    <mergeCell ref="D84:D85"/>
    <mergeCell ref="D86:D87"/>
    <mergeCell ref="D88:D89"/>
    <mergeCell ref="B80:B81"/>
    <mergeCell ref="E80:E81"/>
    <mergeCell ref="B82:B83"/>
    <mergeCell ref="E82:E83"/>
    <mergeCell ref="D80:D81"/>
    <mergeCell ref="D82:D83"/>
    <mergeCell ref="B70:B71"/>
    <mergeCell ref="C70:C83"/>
    <mergeCell ref="E70:E71"/>
    <mergeCell ref="B72:B73"/>
    <mergeCell ref="E72:E73"/>
    <mergeCell ref="B74:B75"/>
    <mergeCell ref="E74:E75"/>
    <mergeCell ref="B76:B77"/>
    <mergeCell ref="E76:E77"/>
    <mergeCell ref="B78:B79"/>
    <mergeCell ref="E78:E79"/>
    <mergeCell ref="D70:D71"/>
    <mergeCell ref="D72:D73"/>
    <mergeCell ref="D74:D75"/>
    <mergeCell ref="D76:D77"/>
    <mergeCell ref="D78:D79"/>
    <mergeCell ref="C102:C103"/>
    <mergeCell ref="E102:E103"/>
    <mergeCell ref="B104:B105"/>
    <mergeCell ref="C104:C105"/>
    <mergeCell ref="E104:E105"/>
    <mergeCell ref="D104:D105"/>
    <mergeCell ref="B90:B91"/>
    <mergeCell ref="C90:C101"/>
    <mergeCell ref="E90:E101"/>
    <mergeCell ref="B92:B93"/>
    <mergeCell ref="B94:B95"/>
    <mergeCell ref="B96:B97"/>
    <mergeCell ref="B98:B99"/>
    <mergeCell ref="B100:B101"/>
    <mergeCell ref="D90:D91"/>
    <mergeCell ref="D92:D93"/>
    <mergeCell ref="D100:D101"/>
    <mergeCell ref="D102:D103"/>
    <mergeCell ref="B102:B103"/>
    <mergeCell ref="B114:B115"/>
    <mergeCell ref="C114:C115"/>
    <mergeCell ref="E114:E115"/>
    <mergeCell ref="B116:B117"/>
    <mergeCell ref="C116:C117"/>
    <mergeCell ref="E116:E117"/>
    <mergeCell ref="D114:D115"/>
    <mergeCell ref="D116:D117"/>
    <mergeCell ref="B118:B119"/>
    <mergeCell ref="C118:C123"/>
    <mergeCell ref="E110:E111"/>
    <mergeCell ref="B112:B113"/>
    <mergeCell ref="C112:C113"/>
    <mergeCell ref="E112:E113"/>
    <mergeCell ref="D110:D111"/>
    <mergeCell ref="D112:D113"/>
    <mergeCell ref="B106:B107"/>
    <mergeCell ref="C106:C107"/>
    <mergeCell ref="E106:E107"/>
    <mergeCell ref="B108:B109"/>
    <mergeCell ref="C108:C109"/>
    <mergeCell ref="E108:E109"/>
    <mergeCell ref="D106:D107"/>
    <mergeCell ref="D108:D109"/>
    <mergeCell ref="B110:B111"/>
    <mergeCell ref="C110:C111"/>
    <mergeCell ref="E128:E129"/>
    <mergeCell ref="B130:B131"/>
    <mergeCell ref="C130:C131"/>
    <mergeCell ref="E130:E131"/>
    <mergeCell ref="D128:D129"/>
    <mergeCell ref="D130:D131"/>
    <mergeCell ref="B124:B125"/>
    <mergeCell ref="C124:C125"/>
    <mergeCell ref="E124:E125"/>
    <mergeCell ref="B126:B127"/>
    <mergeCell ref="C126:C127"/>
    <mergeCell ref="E126:E127"/>
    <mergeCell ref="D124:D125"/>
    <mergeCell ref="D126:D127"/>
    <mergeCell ref="B128:B129"/>
    <mergeCell ref="C128:C129"/>
    <mergeCell ref="E118:E119"/>
    <mergeCell ref="B120:B121"/>
    <mergeCell ref="E120:E121"/>
    <mergeCell ref="B122:B123"/>
    <mergeCell ref="E122:E123"/>
    <mergeCell ref="D118:D119"/>
    <mergeCell ref="D120:D121"/>
    <mergeCell ref="D122:D123"/>
    <mergeCell ref="B144:B145"/>
    <mergeCell ref="C144:C145"/>
    <mergeCell ref="E144:E145"/>
    <mergeCell ref="B146:B147"/>
    <mergeCell ref="C146:C147"/>
    <mergeCell ref="E146:E147"/>
    <mergeCell ref="D144:D145"/>
    <mergeCell ref="D146:D147"/>
    <mergeCell ref="B148:B149"/>
    <mergeCell ref="E140:E141"/>
    <mergeCell ref="B142:B143"/>
    <mergeCell ref="C142:C143"/>
    <mergeCell ref="E142:E143"/>
    <mergeCell ref="D142:D143"/>
    <mergeCell ref="B132:B133"/>
    <mergeCell ref="C132:C133"/>
    <mergeCell ref="E132:E133"/>
    <mergeCell ref="B134:B135"/>
    <mergeCell ref="C134:C141"/>
    <mergeCell ref="E134:E135"/>
    <mergeCell ref="B136:B137"/>
    <mergeCell ref="E136:E137"/>
    <mergeCell ref="B138:B139"/>
    <mergeCell ref="E138:E139"/>
    <mergeCell ref="B140:B141"/>
    <mergeCell ref="C148:C155"/>
    <mergeCell ref="E154:E155"/>
    <mergeCell ref="B156:B157"/>
    <mergeCell ref="C156:C161"/>
    <mergeCell ref="E156:E157"/>
    <mergeCell ref="B158:B159"/>
    <mergeCell ref="E158:E159"/>
    <mergeCell ref="B160:B161"/>
    <mergeCell ref="E160:E161"/>
    <mergeCell ref="D154:D155"/>
    <mergeCell ref="B154:B155"/>
    <mergeCell ref="D156:D161"/>
    <mergeCell ref="E148:E149"/>
    <mergeCell ref="B150:B151"/>
    <mergeCell ref="E150:E151"/>
    <mergeCell ref="B152:B153"/>
    <mergeCell ref="E152:E153"/>
    <mergeCell ref="D148:D153"/>
    <mergeCell ref="B170:B171"/>
    <mergeCell ref="C170:C171"/>
    <mergeCell ref="E170:E171"/>
    <mergeCell ref="B172:B173"/>
    <mergeCell ref="C172:C173"/>
    <mergeCell ref="E172:E173"/>
    <mergeCell ref="D170:D171"/>
    <mergeCell ref="D172:D173"/>
    <mergeCell ref="B174:B175"/>
    <mergeCell ref="C174:C175"/>
    <mergeCell ref="E166:E167"/>
    <mergeCell ref="B168:B169"/>
    <mergeCell ref="C168:C169"/>
    <mergeCell ref="E168:E169"/>
    <mergeCell ref="D166:D167"/>
    <mergeCell ref="D168:D169"/>
    <mergeCell ref="B162:B163"/>
    <mergeCell ref="C162:C163"/>
    <mergeCell ref="E162:E163"/>
    <mergeCell ref="B164:B165"/>
    <mergeCell ref="C164:C165"/>
    <mergeCell ref="E164:E165"/>
    <mergeCell ref="D162:D163"/>
    <mergeCell ref="D164:D165"/>
    <mergeCell ref="B166:B167"/>
    <mergeCell ref="C166:C167"/>
    <mergeCell ref="F138:F139"/>
    <mergeCell ref="F70:F71"/>
    <mergeCell ref="F72:F73"/>
    <mergeCell ref="F74:F75"/>
    <mergeCell ref="F76:F77"/>
    <mergeCell ref="F78:F79"/>
    <mergeCell ref="F80:F81"/>
    <mergeCell ref="F82:F83"/>
    <mergeCell ref="F84:F85"/>
    <mergeCell ref="F86:F87"/>
    <mergeCell ref="E182:E183"/>
    <mergeCell ref="B184:B185"/>
    <mergeCell ref="C184:C185"/>
    <mergeCell ref="E184:E185"/>
    <mergeCell ref="D182:D183"/>
    <mergeCell ref="D184:D185"/>
    <mergeCell ref="B178:B179"/>
    <mergeCell ref="C178:C179"/>
    <mergeCell ref="E178:E179"/>
    <mergeCell ref="B180:B181"/>
    <mergeCell ref="C180:C181"/>
    <mergeCell ref="E180:E181"/>
    <mergeCell ref="D178:D179"/>
    <mergeCell ref="D180:D181"/>
    <mergeCell ref="B182:B183"/>
    <mergeCell ref="C182:C183"/>
    <mergeCell ref="E174:E175"/>
    <mergeCell ref="B176:B177"/>
    <mergeCell ref="C176:C177"/>
    <mergeCell ref="E176:E177"/>
    <mergeCell ref="D174:D175"/>
    <mergeCell ref="D176:D177"/>
    <mergeCell ref="F140:F141"/>
    <mergeCell ref="F142:F143"/>
    <mergeCell ref="F124:F125"/>
    <mergeCell ref="F126:F127"/>
    <mergeCell ref="F128:F129"/>
    <mergeCell ref="F130:F131"/>
    <mergeCell ref="F132:F133"/>
    <mergeCell ref="F154:F155"/>
    <mergeCell ref="F156:F157"/>
    <mergeCell ref="F88:F89"/>
    <mergeCell ref="F90:F101"/>
    <mergeCell ref="F102:F103"/>
    <mergeCell ref="D132:D133"/>
    <mergeCell ref="D134:D135"/>
    <mergeCell ref="D136:D137"/>
    <mergeCell ref="D138:D139"/>
    <mergeCell ref="D140:D141"/>
    <mergeCell ref="D94:D95"/>
    <mergeCell ref="D96:D97"/>
    <mergeCell ref="D98:D99"/>
    <mergeCell ref="F114:F115"/>
    <mergeCell ref="F116:F117"/>
    <mergeCell ref="F118:F119"/>
    <mergeCell ref="F120:F121"/>
    <mergeCell ref="F122:F123"/>
    <mergeCell ref="F104:F105"/>
    <mergeCell ref="F106:F107"/>
    <mergeCell ref="F108:F109"/>
    <mergeCell ref="F110:F111"/>
    <mergeCell ref="F112:F113"/>
    <mergeCell ref="F134:F135"/>
    <mergeCell ref="F136:F137"/>
    <mergeCell ref="F176:F177"/>
    <mergeCell ref="F178:F179"/>
    <mergeCell ref="F180:F181"/>
    <mergeCell ref="F182:F183"/>
    <mergeCell ref="F164:F165"/>
    <mergeCell ref="F166:F167"/>
    <mergeCell ref="F168:F169"/>
    <mergeCell ref="F170:F171"/>
    <mergeCell ref="F172:F173"/>
    <mergeCell ref="F158:F159"/>
    <mergeCell ref="F160:F161"/>
    <mergeCell ref="F162:F163"/>
    <mergeCell ref="F144:F145"/>
    <mergeCell ref="F146:F147"/>
    <mergeCell ref="F148:F149"/>
    <mergeCell ref="F150:F151"/>
    <mergeCell ref="F152:F153"/>
    <mergeCell ref="F174:F175"/>
    <mergeCell ref="G76:G77"/>
    <mergeCell ref="H76:H77"/>
    <mergeCell ref="G78:G79"/>
    <mergeCell ref="H78:H79"/>
    <mergeCell ref="G80:G81"/>
    <mergeCell ref="H80:H81"/>
    <mergeCell ref="G70:G71"/>
    <mergeCell ref="H70:H71"/>
    <mergeCell ref="G72:G73"/>
    <mergeCell ref="H72:H73"/>
    <mergeCell ref="G74:G75"/>
    <mergeCell ref="H74:H75"/>
    <mergeCell ref="H64:H65"/>
    <mergeCell ref="G66:G67"/>
    <mergeCell ref="H66:H67"/>
    <mergeCell ref="G68:G69"/>
    <mergeCell ref="H68:H69"/>
    <mergeCell ref="G106:G107"/>
    <mergeCell ref="H106:H107"/>
    <mergeCell ref="G108:G109"/>
    <mergeCell ref="H108:H109"/>
    <mergeCell ref="G110:G111"/>
    <mergeCell ref="H110:H111"/>
    <mergeCell ref="G102:G103"/>
    <mergeCell ref="H102:H103"/>
    <mergeCell ref="G104:G105"/>
    <mergeCell ref="H104:H105"/>
    <mergeCell ref="G88:G89"/>
    <mergeCell ref="H88:H89"/>
    <mergeCell ref="G82:G83"/>
    <mergeCell ref="H82:H83"/>
    <mergeCell ref="G84:G85"/>
    <mergeCell ref="H84:H85"/>
    <mergeCell ref="G86:G87"/>
    <mergeCell ref="H86:H87"/>
    <mergeCell ref="G124:G125"/>
    <mergeCell ref="H124:H125"/>
    <mergeCell ref="G126:G127"/>
    <mergeCell ref="H126:H127"/>
    <mergeCell ref="G128:G129"/>
    <mergeCell ref="H128:H129"/>
    <mergeCell ref="G118:G119"/>
    <mergeCell ref="H118:H119"/>
    <mergeCell ref="G120:G121"/>
    <mergeCell ref="H120:H121"/>
    <mergeCell ref="G122:G123"/>
    <mergeCell ref="H122:H123"/>
    <mergeCell ref="G112:G113"/>
    <mergeCell ref="H112:H113"/>
    <mergeCell ref="G114:G115"/>
    <mergeCell ref="H114:H115"/>
    <mergeCell ref="G116:G117"/>
    <mergeCell ref="H116:H117"/>
    <mergeCell ref="G142:G143"/>
    <mergeCell ref="H142:H143"/>
    <mergeCell ref="G144:G145"/>
    <mergeCell ref="H144:H145"/>
    <mergeCell ref="G146:G147"/>
    <mergeCell ref="H146:H147"/>
    <mergeCell ref="G136:G137"/>
    <mergeCell ref="H136:H137"/>
    <mergeCell ref="G138:G139"/>
    <mergeCell ref="H138:H139"/>
    <mergeCell ref="G140:G141"/>
    <mergeCell ref="H140:H141"/>
    <mergeCell ref="G130:G131"/>
    <mergeCell ref="H130:H131"/>
    <mergeCell ref="G132:G133"/>
    <mergeCell ref="H132:H133"/>
    <mergeCell ref="G134:G135"/>
    <mergeCell ref="H134:H135"/>
    <mergeCell ref="G168:G169"/>
    <mergeCell ref="H168:H169"/>
    <mergeCell ref="G170:G171"/>
    <mergeCell ref="H170:H171"/>
    <mergeCell ref="G160:G161"/>
    <mergeCell ref="H160:H161"/>
    <mergeCell ref="G162:G163"/>
    <mergeCell ref="H162:H163"/>
    <mergeCell ref="G164:G165"/>
    <mergeCell ref="H164:H165"/>
    <mergeCell ref="G154:G155"/>
    <mergeCell ref="H154:H155"/>
    <mergeCell ref="G156:G157"/>
    <mergeCell ref="H156:H157"/>
    <mergeCell ref="G158:G159"/>
    <mergeCell ref="H158:H159"/>
    <mergeCell ref="G148:G149"/>
    <mergeCell ref="H148:H149"/>
    <mergeCell ref="G150:G151"/>
    <mergeCell ref="H150:H151"/>
    <mergeCell ref="G152:G153"/>
    <mergeCell ref="H152:H153"/>
    <mergeCell ref="B190:B191"/>
    <mergeCell ref="C190:C191"/>
    <mergeCell ref="E190:E191"/>
    <mergeCell ref="B192:B193"/>
    <mergeCell ref="C192:C193"/>
    <mergeCell ref="E192:E193"/>
    <mergeCell ref="G184:G185"/>
    <mergeCell ref="H184:H185"/>
    <mergeCell ref="B186:F186"/>
    <mergeCell ref="F184:F185"/>
    <mergeCell ref="F190:F191"/>
    <mergeCell ref="F192:F193"/>
    <mergeCell ref="H190:H191"/>
    <mergeCell ref="G192:G193"/>
    <mergeCell ref="H192:H193"/>
    <mergeCell ref="B188:H188"/>
    <mergeCell ref="G178:G179"/>
    <mergeCell ref="H178:H179"/>
    <mergeCell ref="G180:G181"/>
    <mergeCell ref="H180:H181"/>
    <mergeCell ref="G182:G183"/>
    <mergeCell ref="H182:H183"/>
    <mergeCell ref="G172:G173"/>
    <mergeCell ref="H172:H173"/>
    <mergeCell ref="G174:G175"/>
    <mergeCell ref="H174:H175"/>
    <mergeCell ref="G176:G177"/>
    <mergeCell ref="H176:H177"/>
    <mergeCell ref="G166:G167"/>
    <mergeCell ref="H166:H167"/>
    <mergeCell ref="B202:B203"/>
    <mergeCell ref="C202:C203"/>
    <mergeCell ref="E202:E203"/>
    <mergeCell ref="B204:B205"/>
    <mergeCell ref="C204:C205"/>
    <mergeCell ref="E204:E205"/>
    <mergeCell ref="D202:D203"/>
    <mergeCell ref="D204:D205"/>
    <mergeCell ref="B198:B199"/>
    <mergeCell ref="C198:C199"/>
    <mergeCell ref="E198:E199"/>
    <mergeCell ref="B200:B201"/>
    <mergeCell ref="C200:C201"/>
    <mergeCell ref="E200:E201"/>
    <mergeCell ref="D198:D199"/>
    <mergeCell ref="D200:D201"/>
    <mergeCell ref="B194:B195"/>
    <mergeCell ref="C194:C195"/>
    <mergeCell ref="E194:E195"/>
    <mergeCell ref="B196:B197"/>
    <mergeCell ref="C196:C197"/>
    <mergeCell ref="E196:E197"/>
    <mergeCell ref="G194:G195"/>
    <mergeCell ref="H194:H195"/>
    <mergeCell ref="B214:B215"/>
    <mergeCell ref="C214:C215"/>
    <mergeCell ref="E214:E215"/>
    <mergeCell ref="B216:B217"/>
    <mergeCell ref="C216:C217"/>
    <mergeCell ref="E216:E217"/>
    <mergeCell ref="D214:D215"/>
    <mergeCell ref="D216:D217"/>
    <mergeCell ref="B210:B211"/>
    <mergeCell ref="C210:C211"/>
    <mergeCell ref="E210:E211"/>
    <mergeCell ref="B212:B213"/>
    <mergeCell ref="C212:C213"/>
    <mergeCell ref="E212:E213"/>
    <mergeCell ref="D210:D211"/>
    <mergeCell ref="D212:D213"/>
    <mergeCell ref="B206:B207"/>
    <mergeCell ref="C206:C207"/>
    <mergeCell ref="E206:E207"/>
    <mergeCell ref="B208:B209"/>
    <mergeCell ref="C208:C209"/>
    <mergeCell ref="E208:E209"/>
    <mergeCell ref="D206:D207"/>
    <mergeCell ref="D208:D209"/>
    <mergeCell ref="B226:B227"/>
    <mergeCell ref="C226:C227"/>
    <mergeCell ref="E226:E227"/>
    <mergeCell ref="B228:B229"/>
    <mergeCell ref="C228:C229"/>
    <mergeCell ref="E228:E229"/>
    <mergeCell ref="D226:D227"/>
    <mergeCell ref="D228:D229"/>
    <mergeCell ref="B222:B223"/>
    <mergeCell ref="C222:C223"/>
    <mergeCell ref="E222:E223"/>
    <mergeCell ref="B224:B225"/>
    <mergeCell ref="C224:C225"/>
    <mergeCell ref="E224:E225"/>
    <mergeCell ref="D222:D223"/>
    <mergeCell ref="D224:D225"/>
    <mergeCell ref="B218:B219"/>
    <mergeCell ref="C218:C219"/>
    <mergeCell ref="E218:E219"/>
    <mergeCell ref="B220:B221"/>
    <mergeCell ref="C220:C221"/>
    <mergeCell ref="E220:E221"/>
    <mergeCell ref="D218:D219"/>
    <mergeCell ref="D220:D221"/>
    <mergeCell ref="D240:D241"/>
    <mergeCell ref="B234:B235"/>
    <mergeCell ref="C234:C235"/>
    <mergeCell ref="E234:E235"/>
    <mergeCell ref="B236:B237"/>
    <mergeCell ref="C236:C237"/>
    <mergeCell ref="E236:E237"/>
    <mergeCell ref="D234:D235"/>
    <mergeCell ref="D236:D237"/>
    <mergeCell ref="B230:B231"/>
    <mergeCell ref="C230:C231"/>
    <mergeCell ref="E230:E231"/>
    <mergeCell ref="B232:B233"/>
    <mergeCell ref="C232:C233"/>
    <mergeCell ref="E232:E233"/>
    <mergeCell ref="D230:D231"/>
    <mergeCell ref="D232:D233"/>
    <mergeCell ref="F198:F199"/>
    <mergeCell ref="D190:D191"/>
    <mergeCell ref="D192:D193"/>
    <mergeCell ref="D194:D195"/>
    <mergeCell ref="D196:D197"/>
    <mergeCell ref="F210:F211"/>
    <mergeCell ref="E252:E253"/>
    <mergeCell ref="D250:D251"/>
    <mergeCell ref="D252:D253"/>
    <mergeCell ref="B246:B247"/>
    <mergeCell ref="C246:C247"/>
    <mergeCell ref="E246:E247"/>
    <mergeCell ref="B248:B249"/>
    <mergeCell ref="C248:C249"/>
    <mergeCell ref="E248:E249"/>
    <mergeCell ref="D246:D247"/>
    <mergeCell ref="D248:D249"/>
    <mergeCell ref="B242:B243"/>
    <mergeCell ref="C242:C243"/>
    <mergeCell ref="E242:E243"/>
    <mergeCell ref="B244:B245"/>
    <mergeCell ref="C244:C245"/>
    <mergeCell ref="E244:E245"/>
    <mergeCell ref="D242:D243"/>
    <mergeCell ref="D244:D245"/>
    <mergeCell ref="B238:B239"/>
    <mergeCell ref="C238:C239"/>
    <mergeCell ref="E238:E239"/>
    <mergeCell ref="B240:B241"/>
    <mergeCell ref="C240:C241"/>
    <mergeCell ref="E240:E241"/>
    <mergeCell ref="D238:D239"/>
    <mergeCell ref="F254:F255"/>
    <mergeCell ref="F256:F257"/>
    <mergeCell ref="G190:G191"/>
    <mergeCell ref="G196:G197"/>
    <mergeCell ref="G202:G203"/>
    <mergeCell ref="G208:G209"/>
    <mergeCell ref="G214:G215"/>
    <mergeCell ref="G220:G221"/>
    <mergeCell ref="G226:G227"/>
    <mergeCell ref="G232:G233"/>
    <mergeCell ref="G238:G239"/>
    <mergeCell ref="G244:G245"/>
    <mergeCell ref="G250:G251"/>
    <mergeCell ref="G256:G257"/>
    <mergeCell ref="F240:F241"/>
    <mergeCell ref="F242:F243"/>
    <mergeCell ref="F244:F245"/>
    <mergeCell ref="F222:F223"/>
    <mergeCell ref="F224:F225"/>
    <mergeCell ref="F226:F227"/>
    <mergeCell ref="F228:F229"/>
    <mergeCell ref="F212:F213"/>
    <mergeCell ref="F214:F215"/>
    <mergeCell ref="F216:F217"/>
    <mergeCell ref="F218:F219"/>
    <mergeCell ref="F200:F201"/>
    <mergeCell ref="F202:F203"/>
    <mergeCell ref="F204:F205"/>
    <mergeCell ref="F206:F207"/>
    <mergeCell ref="F208:F209"/>
    <mergeCell ref="F194:F195"/>
    <mergeCell ref="F196:F197"/>
    <mergeCell ref="H204:H205"/>
    <mergeCell ref="F246:F247"/>
    <mergeCell ref="F248:F249"/>
    <mergeCell ref="F230:F231"/>
    <mergeCell ref="F232:F233"/>
    <mergeCell ref="F234:F235"/>
    <mergeCell ref="F236:F237"/>
    <mergeCell ref="F238:F239"/>
    <mergeCell ref="F220:F221"/>
    <mergeCell ref="G218:G219"/>
    <mergeCell ref="H218:H219"/>
    <mergeCell ref="H208:H209"/>
    <mergeCell ref="G210:G211"/>
    <mergeCell ref="H210:H211"/>
    <mergeCell ref="G212:G213"/>
    <mergeCell ref="H212:H213"/>
    <mergeCell ref="H226:H227"/>
    <mergeCell ref="G228:G229"/>
    <mergeCell ref="H228:H229"/>
    <mergeCell ref="G206:G207"/>
    <mergeCell ref="H206:H207"/>
    <mergeCell ref="H196:H197"/>
    <mergeCell ref="G198:G199"/>
    <mergeCell ref="H198:H199"/>
    <mergeCell ref="G200:G201"/>
    <mergeCell ref="H200:H201"/>
    <mergeCell ref="H214:H215"/>
    <mergeCell ref="G216:G217"/>
    <mergeCell ref="H216:H217"/>
    <mergeCell ref="H244:H245"/>
    <mergeCell ref="G246:G247"/>
    <mergeCell ref="H246:H247"/>
    <mergeCell ref="G248:G249"/>
    <mergeCell ref="H248:H249"/>
    <mergeCell ref="G230:G231"/>
    <mergeCell ref="H230:H231"/>
    <mergeCell ref="H220:H221"/>
    <mergeCell ref="G222:G223"/>
    <mergeCell ref="H222:H223"/>
    <mergeCell ref="G224:G225"/>
    <mergeCell ref="H224:H225"/>
    <mergeCell ref="H238:H239"/>
    <mergeCell ref="G240:G241"/>
    <mergeCell ref="H240:H241"/>
    <mergeCell ref="G242:G243"/>
    <mergeCell ref="H242:H243"/>
    <mergeCell ref="H232:H233"/>
    <mergeCell ref="G234:G235"/>
    <mergeCell ref="H234:H235"/>
    <mergeCell ref="G236:G237"/>
    <mergeCell ref="H236:H237"/>
    <mergeCell ref="H202:H203"/>
    <mergeCell ref="G204:G205"/>
    <mergeCell ref="H250:H251"/>
    <mergeCell ref="G252:G253"/>
    <mergeCell ref="H252:H253"/>
    <mergeCell ref="G254:G255"/>
    <mergeCell ref="H254:H255"/>
    <mergeCell ref="H256:H257"/>
    <mergeCell ref="B256:B257"/>
    <mergeCell ref="C256:C257"/>
    <mergeCell ref="E256:E257"/>
    <mergeCell ref="D256:D257"/>
    <mergeCell ref="D312:D313"/>
    <mergeCell ref="D314:D315"/>
    <mergeCell ref="G312:G313"/>
    <mergeCell ref="H312:H313"/>
    <mergeCell ref="G314:G315"/>
    <mergeCell ref="H314:H315"/>
    <mergeCell ref="B254:B255"/>
    <mergeCell ref="C254:C255"/>
    <mergeCell ref="E254:E255"/>
    <mergeCell ref="D254:D255"/>
    <mergeCell ref="B250:B251"/>
    <mergeCell ref="C250:C251"/>
    <mergeCell ref="E250:E251"/>
    <mergeCell ref="B252:B253"/>
    <mergeCell ref="C252:C253"/>
    <mergeCell ref="F250:F251"/>
    <mergeCell ref="F252:F253"/>
    <mergeCell ref="F312:F313"/>
    <mergeCell ref="F314:F315"/>
    <mergeCell ref="B276:B277"/>
    <mergeCell ref="B278:B279"/>
    <mergeCell ref="C258:C259"/>
    <mergeCell ref="D324:D325"/>
    <mergeCell ref="D326:D327"/>
    <mergeCell ref="D328:D329"/>
    <mergeCell ref="B320:B321"/>
    <mergeCell ref="C320:C321"/>
    <mergeCell ref="E320:E321"/>
    <mergeCell ref="B322:B323"/>
    <mergeCell ref="C322:C323"/>
    <mergeCell ref="E322:E323"/>
    <mergeCell ref="B316:B317"/>
    <mergeCell ref="C316:C317"/>
    <mergeCell ref="E316:E317"/>
    <mergeCell ref="B318:B319"/>
    <mergeCell ref="C318:C319"/>
    <mergeCell ref="E318:E319"/>
    <mergeCell ref="D316:D317"/>
    <mergeCell ref="D318:D319"/>
    <mergeCell ref="D320:D321"/>
    <mergeCell ref="D322:D323"/>
    <mergeCell ref="E346:E347"/>
    <mergeCell ref="D344:D345"/>
    <mergeCell ref="D346:D347"/>
    <mergeCell ref="B340:B341"/>
    <mergeCell ref="C340:C341"/>
    <mergeCell ref="E340:E341"/>
    <mergeCell ref="B342:B343"/>
    <mergeCell ref="C342:C343"/>
    <mergeCell ref="E342:E343"/>
    <mergeCell ref="D340:D341"/>
    <mergeCell ref="D342:D343"/>
    <mergeCell ref="B336:B337"/>
    <mergeCell ref="C336:C337"/>
    <mergeCell ref="E336:E337"/>
    <mergeCell ref="B338:B339"/>
    <mergeCell ref="C338:C339"/>
    <mergeCell ref="E338:E339"/>
    <mergeCell ref="D336:D337"/>
    <mergeCell ref="D338:D339"/>
    <mergeCell ref="F316:F317"/>
    <mergeCell ref="F318:F319"/>
    <mergeCell ref="F320:F321"/>
    <mergeCell ref="F322:F323"/>
    <mergeCell ref="F324:F325"/>
    <mergeCell ref="F326:F327"/>
    <mergeCell ref="F328:F329"/>
    <mergeCell ref="F330:F331"/>
    <mergeCell ref="F332:F333"/>
    <mergeCell ref="F334:F335"/>
    <mergeCell ref="F336:F337"/>
    <mergeCell ref="F338:F339"/>
    <mergeCell ref="F340:F341"/>
    <mergeCell ref="B344:B345"/>
    <mergeCell ref="C344:C345"/>
    <mergeCell ref="E344:E345"/>
    <mergeCell ref="B332:B333"/>
    <mergeCell ref="C332:C333"/>
    <mergeCell ref="E332:E333"/>
    <mergeCell ref="B334:B335"/>
    <mergeCell ref="C334:C335"/>
    <mergeCell ref="E334:E335"/>
    <mergeCell ref="D332:D333"/>
    <mergeCell ref="D334:D335"/>
    <mergeCell ref="B328:B329"/>
    <mergeCell ref="C328:C329"/>
    <mergeCell ref="E328:E329"/>
    <mergeCell ref="B330:B331"/>
    <mergeCell ref="C330:C331"/>
    <mergeCell ref="E330:E331"/>
    <mergeCell ref="C326:C327"/>
    <mergeCell ref="E326:E327"/>
    <mergeCell ref="H316:H317"/>
    <mergeCell ref="G318:G319"/>
    <mergeCell ref="H318:H319"/>
    <mergeCell ref="G320:G321"/>
    <mergeCell ref="H320:H321"/>
    <mergeCell ref="G330:G331"/>
    <mergeCell ref="H330:H331"/>
    <mergeCell ref="G332:G333"/>
    <mergeCell ref="H332:H333"/>
    <mergeCell ref="G322:G323"/>
    <mergeCell ref="H322:H323"/>
    <mergeCell ref="G324:G325"/>
    <mergeCell ref="E356:E357"/>
    <mergeCell ref="G316:G317"/>
    <mergeCell ref="G334:G335"/>
    <mergeCell ref="G346:G347"/>
    <mergeCell ref="G356:G357"/>
    <mergeCell ref="E352:E353"/>
    <mergeCell ref="E354:E355"/>
    <mergeCell ref="E348:E349"/>
    <mergeCell ref="E350:E351"/>
    <mergeCell ref="F342:F343"/>
    <mergeCell ref="F344:F345"/>
    <mergeCell ref="F346:F347"/>
    <mergeCell ref="F348:F349"/>
    <mergeCell ref="F350:F351"/>
    <mergeCell ref="H346:H347"/>
    <mergeCell ref="G336:G337"/>
    <mergeCell ref="H336:H337"/>
    <mergeCell ref="G338:G339"/>
    <mergeCell ref="H338:H339"/>
    <mergeCell ref="G340:G341"/>
    <mergeCell ref="H340:H341"/>
    <mergeCell ref="G354:G355"/>
    <mergeCell ref="H354:H355"/>
    <mergeCell ref="H334:H335"/>
    <mergeCell ref="H324:H325"/>
    <mergeCell ref="G326:G327"/>
    <mergeCell ref="H326:H327"/>
    <mergeCell ref="G328:G329"/>
    <mergeCell ref="H328:H329"/>
    <mergeCell ref="G342:G343"/>
    <mergeCell ref="H342:H343"/>
    <mergeCell ref="G344:G345"/>
    <mergeCell ref="H344:H345"/>
    <mergeCell ref="H356:H357"/>
    <mergeCell ref="B362:F362"/>
    <mergeCell ref="G348:G349"/>
    <mergeCell ref="H348:H349"/>
    <mergeCell ref="G350:G351"/>
    <mergeCell ref="H350:H351"/>
    <mergeCell ref="G352:G353"/>
    <mergeCell ref="H352:H353"/>
    <mergeCell ref="F352:F353"/>
    <mergeCell ref="F354:F355"/>
    <mergeCell ref="F356:F357"/>
    <mergeCell ref="B356:B357"/>
    <mergeCell ref="C356:C357"/>
    <mergeCell ref="B352:B353"/>
    <mergeCell ref="C352:C353"/>
    <mergeCell ref="B354:B355"/>
    <mergeCell ref="C354:C355"/>
    <mergeCell ref="B350:B351"/>
    <mergeCell ref="C350:C351"/>
    <mergeCell ref="C264:C265"/>
    <mergeCell ref="C266:C267"/>
    <mergeCell ref="C268:C269"/>
    <mergeCell ref="C270:C271"/>
    <mergeCell ref="C272:C273"/>
    <mergeCell ref="C274:C275"/>
    <mergeCell ref="C276:C277"/>
    <mergeCell ref="C278:C279"/>
    <mergeCell ref="C280:C281"/>
    <mergeCell ref="C282:C283"/>
    <mergeCell ref="C284:C285"/>
    <mergeCell ref="C286:C287"/>
    <mergeCell ref="C288:C289"/>
    <mergeCell ref="C290:C291"/>
    <mergeCell ref="D280:D281"/>
    <mergeCell ref="D282:D283"/>
    <mergeCell ref="D284:D285"/>
    <mergeCell ref="D286:D287"/>
    <mergeCell ref="D288:D289"/>
    <mergeCell ref="B292:B293"/>
    <mergeCell ref="D258:D259"/>
    <mergeCell ref="D260:D261"/>
    <mergeCell ref="D262:D263"/>
    <mergeCell ref="D264:D265"/>
    <mergeCell ref="D266:D267"/>
    <mergeCell ref="D268:D269"/>
    <mergeCell ref="D270:D271"/>
    <mergeCell ref="D272:D273"/>
    <mergeCell ref="D356:D357"/>
    <mergeCell ref="D352:D353"/>
    <mergeCell ref="D354:D355"/>
    <mergeCell ref="D348:D349"/>
    <mergeCell ref="D350:D351"/>
    <mergeCell ref="B296:B297"/>
    <mergeCell ref="B298:B299"/>
    <mergeCell ref="B300:B301"/>
    <mergeCell ref="B302:B303"/>
    <mergeCell ref="B304:B305"/>
    <mergeCell ref="B306:B307"/>
    <mergeCell ref="B348:B349"/>
    <mergeCell ref="C348:C349"/>
    <mergeCell ref="B346:B347"/>
    <mergeCell ref="C346:C347"/>
    <mergeCell ref="D330:D331"/>
    <mergeCell ref="B324:B325"/>
    <mergeCell ref="C324:C325"/>
    <mergeCell ref="B312:B313"/>
    <mergeCell ref="C312:C313"/>
    <mergeCell ref="B308:F308"/>
    <mergeCell ref="C260:C261"/>
    <mergeCell ref="C262:C263"/>
    <mergeCell ref="F290:F291"/>
    <mergeCell ref="E276:E277"/>
    <mergeCell ref="E278:E279"/>
    <mergeCell ref="E280:E281"/>
    <mergeCell ref="E282:E283"/>
    <mergeCell ref="E284:E285"/>
    <mergeCell ref="E286:E287"/>
    <mergeCell ref="E288:E289"/>
    <mergeCell ref="E290:E291"/>
    <mergeCell ref="E292:E293"/>
    <mergeCell ref="D274:D275"/>
    <mergeCell ref="D276:D277"/>
    <mergeCell ref="D278:D279"/>
    <mergeCell ref="B294:B295"/>
    <mergeCell ref="B258:B259"/>
    <mergeCell ref="B260:B261"/>
    <mergeCell ref="B262:B263"/>
    <mergeCell ref="B264:B265"/>
    <mergeCell ref="B266:B267"/>
    <mergeCell ref="B268:B269"/>
    <mergeCell ref="B270:B271"/>
    <mergeCell ref="B272:B273"/>
    <mergeCell ref="B274:B275"/>
    <mergeCell ref="D290:D291"/>
    <mergeCell ref="D292:D293"/>
    <mergeCell ref="D294:D295"/>
    <mergeCell ref="B280:B281"/>
    <mergeCell ref="B282:B283"/>
    <mergeCell ref="B284:B285"/>
    <mergeCell ref="B286:B287"/>
    <mergeCell ref="B288:B289"/>
    <mergeCell ref="B290:B291"/>
    <mergeCell ref="F292:F293"/>
    <mergeCell ref="F294:F295"/>
    <mergeCell ref="F296:F297"/>
    <mergeCell ref="F298:F299"/>
    <mergeCell ref="F300:F301"/>
    <mergeCell ref="F302:F303"/>
    <mergeCell ref="F304:F305"/>
    <mergeCell ref="F306:F307"/>
    <mergeCell ref="D304:D305"/>
    <mergeCell ref="D306:D307"/>
    <mergeCell ref="C292:C293"/>
    <mergeCell ref="C294:C295"/>
    <mergeCell ref="C296:C297"/>
    <mergeCell ref="C298:C299"/>
    <mergeCell ref="C300:C301"/>
    <mergeCell ref="C302:C303"/>
    <mergeCell ref="C304:C305"/>
    <mergeCell ref="C306:C307"/>
    <mergeCell ref="D296:D297"/>
    <mergeCell ref="D298:D299"/>
    <mergeCell ref="D300:D301"/>
    <mergeCell ref="D302:D303"/>
    <mergeCell ref="E294:E295"/>
    <mergeCell ref="E296:E297"/>
    <mergeCell ref="E298:E299"/>
    <mergeCell ref="E300:E301"/>
    <mergeCell ref="E302:E303"/>
    <mergeCell ref="E304:E305"/>
    <mergeCell ref="E306:E307"/>
    <mergeCell ref="F258:F259"/>
    <mergeCell ref="F260:F261"/>
    <mergeCell ref="F262:F263"/>
    <mergeCell ref="F264:F265"/>
    <mergeCell ref="F266:F267"/>
    <mergeCell ref="F268:F269"/>
    <mergeCell ref="F270:F271"/>
    <mergeCell ref="F272:F273"/>
    <mergeCell ref="F274:F275"/>
    <mergeCell ref="F276:F277"/>
    <mergeCell ref="F278:F279"/>
    <mergeCell ref="F280:F281"/>
    <mergeCell ref="F282:F283"/>
    <mergeCell ref="F284:F285"/>
    <mergeCell ref="F286:F287"/>
    <mergeCell ref="F288:F289"/>
    <mergeCell ref="E258:E259"/>
    <mergeCell ref="E260:E261"/>
    <mergeCell ref="E262:E263"/>
    <mergeCell ref="E264:E265"/>
    <mergeCell ref="E266:E267"/>
    <mergeCell ref="E268:E269"/>
    <mergeCell ref="E270:E271"/>
    <mergeCell ref="E272:E273"/>
    <mergeCell ref="E274:E275"/>
  </mergeCells>
  <pageMargins left="0.7" right="0.7" top="0.75" bottom="0.75" header="0.3" footer="0.3"/>
  <ignoredErrors>
    <ignoredError sqref="H132"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4"/>
  <sheetViews>
    <sheetView workbookViewId="0">
      <selection activeCell="B3" sqref="B3"/>
    </sheetView>
  </sheetViews>
  <sheetFormatPr baseColWidth="10" defaultRowHeight="14.4" x14ac:dyDescent="0.3"/>
  <cols>
    <col min="2" max="2" width="51.33203125" customWidth="1"/>
    <col min="3" max="3" width="71" customWidth="1"/>
    <col min="11" max="11" width="15.109375" customWidth="1"/>
  </cols>
  <sheetData>
    <row r="1" ht="22.5" customHeight="1" x14ac:dyDescent="0.3"/>
    <row r="2" ht="51" customHeight="1" x14ac:dyDescent="0.3"/>
    <row r="3" ht="67.5" customHeight="1" x14ac:dyDescent="0.3"/>
    <row r="4" ht="67.5" customHeight="1" x14ac:dyDescent="0.3"/>
    <row r="5" ht="67.5" customHeight="1" x14ac:dyDescent="0.3"/>
    <row r="6" ht="67.5" customHeight="1" x14ac:dyDescent="0.3"/>
    <row r="7" ht="67.5" customHeight="1" x14ac:dyDescent="0.3"/>
    <row r="8" ht="67.5" customHeight="1" x14ac:dyDescent="0.3"/>
    <row r="9" ht="67.5" customHeight="1" x14ac:dyDescent="0.3"/>
    <row r="11" ht="59.25" customHeight="1" x14ac:dyDescent="0.3"/>
    <row r="12" ht="59.25" customHeight="1" x14ac:dyDescent="0.3"/>
    <row r="13" ht="59.25" customHeight="1" x14ac:dyDescent="0.3"/>
    <row r="14" ht="59.25" customHeight="1"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6:A16"/>
  <sheetViews>
    <sheetView workbookViewId="0">
      <selection sqref="A1:K16"/>
    </sheetView>
  </sheetViews>
  <sheetFormatPr baseColWidth="10" defaultRowHeight="14.4" x14ac:dyDescent="0.3"/>
  <cols>
    <col min="2" max="2" width="34" bestFit="1" customWidth="1"/>
    <col min="3" max="3" width="45.44140625" customWidth="1"/>
  </cols>
  <sheetData>
    <row r="6" ht="23.25" customHeight="1" x14ac:dyDescent="0.3"/>
    <row r="7" ht="47.25" customHeight="1" x14ac:dyDescent="0.3"/>
    <row r="13" ht="73.5" customHeight="1" x14ac:dyDescent="0.3"/>
    <row r="14" ht="73.5" customHeight="1" x14ac:dyDescent="0.3"/>
    <row r="15" ht="73.5" customHeight="1" x14ac:dyDescent="0.3"/>
    <row r="16" ht="73.5" customHeight="1" x14ac:dyDescent="0.3"/>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6:A68"/>
  <sheetViews>
    <sheetView workbookViewId="0">
      <selection sqref="A1:K68"/>
    </sheetView>
  </sheetViews>
  <sheetFormatPr baseColWidth="10" defaultRowHeight="14.4" x14ac:dyDescent="0.3"/>
  <cols>
    <col min="2" max="3" width="43.109375" customWidth="1"/>
    <col min="4" max="4" width="46.44140625" bestFit="1" customWidth="1"/>
    <col min="5" max="5" width="39" bestFit="1" customWidth="1"/>
    <col min="7" max="8" width="12.6640625" customWidth="1"/>
    <col min="9" max="9" width="13.109375" customWidth="1"/>
    <col min="11" max="11" width="14.44140625" customWidth="1"/>
  </cols>
  <sheetData>
    <row r="26" ht="97.5" customHeight="1" x14ac:dyDescent="0.3"/>
    <row r="45" ht="45" customHeight="1" x14ac:dyDescent="0.3"/>
    <row r="46" ht="15.75" customHeight="1" x14ac:dyDescent="0.3"/>
    <row r="47" ht="15.75" customHeight="1" x14ac:dyDescent="0.3"/>
    <row r="48" ht="68.25" customHeight="1" x14ac:dyDescent="0.3"/>
    <row r="65" ht="81.75" customHeight="1" x14ac:dyDescent="0.3"/>
    <row r="66" ht="81.75" customHeight="1" x14ac:dyDescent="0.3"/>
    <row r="67" ht="81.75" customHeight="1" x14ac:dyDescent="0.3"/>
    <row r="68" ht="81.75" customHeight="1" x14ac:dyDescent="0.3"/>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PROPUESTA ECONOMICA</vt:lpstr>
      <vt:lpstr>Hoja1</vt:lpstr>
      <vt:lpstr>MATRIZ BORRADOR</vt:lpstr>
      <vt:lpstr>PUERTAS ABIERTAS</vt:lpstr>
      <vt:lpstr>NAVIDAD</vt:lpstr>
      <vt:lpstr>REYES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Yesid Fernando Bustos Aguilar</dc:creator>
  <cp:lastModifiedBy>paola yara</cp:lastModifiedBy>
  <dcterms:created xsi:type="dcterms:W3CDTF">2023-02-21T20:51:54Z</dcterms:created>
  <dcterms:modified xsi:type="dcterms:W3CDTF">2024-10-31T20:47:49Z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2024-08-27T21:26:52Z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748ba338-5f44-441c-a102-c931f7177bdb</vt:lpwstr>
  </property>
  <property fmtid="{D5CDD505-2E9C-101B-9397-08002B2CF9AE}" pid="7" name="MSIP_Label_defa4170-0d19-0005-0004-bc88714345d2_ActionId">
    <vt:lpwstr>39d1aa69-cfc7-4e41-a52f-0fc55b998c93</vt:lpwstr>
  </property>
  <property fmtid="{D5CDD505-2E9C-101B-9397-08002B2CF9AE}" pid="8" name="MSIP_Label_defa4170-0d19-0005-0004-bc88714345d2_ContentBits">
    <vt:lpwstr>0</vt:lpwstr>
  </property>
</Properties>
</file>