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mc:AlternateContent xmlns:mc="http://schemas.openxmlformats.org/markup-compatibility/2006">
    <mc:Choice Requires="x15">
      <x15ac:absPath xmlns:x15ac="http://schemas.microsoft.com/office/spreadsheetml/2010/11/ac" url="https://educacionbogota-my.sharepoint.com/personal/cvelasco_educacionbogota_gov_co1/Documents/Matriz CONCURSO DE MERITOS- INTERVENTORÍA VIGILANCIA/"/>
    </mc:Choice>
  </mc:AlternateContent>
  <xr:revisionPtr revIDLastSave="5329" documentId="8_{0B6985F9-D4FA-425A-B784-48BF61325CDD}" xr6:coauthVersionLast="47" xr6:coauthVersionMax="47" xr10:uidLastSave="{9CDC3A06-C624-46EF-87BB-CCE223DF6E6A}"/>
  <bookViews>
    <workbookView xWindow="-108" yWindow="-108" windowWidth="23256" windowHeight="12456" xr2:uid="{FD37628F-B814-4140-ADB0-EEFA440CDB22}"/>
  </bookViews>
  <sheets>
    <sheet name="Formato_9_Exp_Proponente" sheetId="1" r:id="rId1"/>
    <sheet name="Formato_12" sheetId="4" r:id="rId2"/>
    <sheet name="Exp_Hab_Director" sheetId="6" r:id="rId3"/>
    <sheet name="Exp_Hab_Coor_Ope" sheetId="8" r:id="rId4"/>
    <sheet name="Consolidado habilitante Técnico" sheetId="5" r:id="rId5"/>
    <sheet name="Listados" sheetId="2" state="hidden" r:id="rId6"/>
    <sheet name="Habilitante Económico" sheetId="10"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3" i="8" l="1"/>
  <c r="R98" i="1" l="1"/>
  <c r="F15" i="5" a="1"/>
  <c r="F15" i="5" l="1"/>
  <c r="R99" i="1" l="1"/>
  <c r="R59" i="1"/>
  <c r="R58" i="1"/>
  <c r="R18" i="1"/>
  <c r="C98" i="1" l="1"/>
  <c r="K67" i="6"/>
  <c r="M67" i="6" s="1"/>
  <c r="K43" i="6"/>
  <c r="M43" i="6" s="1"/>
  <c r="K35" i="6"/>
  <c r="M35" i="6" s="1"/>
  <c r="H3" i="6"/>
  <c r="K3" i="6"/>
  <c r="M3" i="6" s="1"/>
  <c r="Z105" i="1"/>
  <c r="Z104" i="1"/>
  <c r="Z103" i="1"/>
  <c r="Z102" i="1"/>
  <c r="Z101" i="1"/>
  <c r="Z100" i="1"/>
  <c r="Z99" i="1"/>
  <c r="Z11" i="1"/>
  <c r="Q6" i="1"/>
  <c r="C18" i="1"/>
  <c r="V35" i="1" l="1"/>
  <c r="Y105" i="1"/>
  <c r="Y104" i="1"/>
  <c r="Y103" i="1"/>
  <c r="Y102" i="1"/>
  <c r="Y101" i="1"/>
  <c r="Y97" i="1"/>
  <c r="Y96" i="1"/>
  <c r="Y95" i="1"/>
  <c r="Y94" i="1"/>
  <c r="Y93" i="1"/>
  <c r="Y92" i="1"/>
  <c r="Y91" i="1"/>
  <c r="Y89" i="1"/>
  <c r="Y88" i="1"/>
  <c r="Y87" i="1"/>
  <c r="Y86" i="1"/>
  <c r="Y85" i="1"/>
  <c r="Y84" i="1"/>
  <c r="Y81" i="1"/>
  <c r="Y80" i="1"/>
  <c r="Y79" i="1"/>
  <c r="Y78" i="1"/>
  <c r="Y77" i="1"/>
  <c r="Y76" i="1"/>
  <c r="Y75" i="1"/>
  <c r="Y74" i="1"/>
  <c r="Y73" i="1"/>
  <c r="Y72" i="1"/>
  <c r="Y71" i="1"/>
  <c r="Y70" i="1"/>
  <c r="Y68" i="1"/>
  <c r="Y65" i="1"/>
  <c r="Y64" i="1"/>
  <c r="Y63" i="1"/>
  <c r="Y62" i="1"/>
  <c r="Y57" i="1"/>
  <c r="Y56" i="1"/>
  <c r="Y55" i="1"/>
  <c r="Y54" i="1"/>
  <c r="Y53" i="1"/>
  <c r="Y51" i="1"/>
  <c r="Y50" i="1"/>
  <c r="Y49" i="1"/>
  <c r="Y48" i="1"/>
  <c r="Y47" i="1"/>
  <c r="Y46" i="1"/>
  <c r="Y45" i="1"/>
  <c r="Y44" i="1"/>
  <c r="Y43" i="1"/>
  <c r="Y41" i="1"/>
  <c r="Y40" i="1"/>
  <c r="Y39" i="1"/>
  <c r="Y38" i="1"/>
  <c r="Y37" i="1"/>
  <c r="Y36" i="1"/>
  <c r="Y33" i="1"/>
  <c r="Y32" i="1"/>
  <c r="Y31" i="1"/>
  <c r="Y30" i="1"/>
  <c r="Y29" i="1"/>
  <c r="Y28" i="1"/>
  <c r="Y27" i="1"/>
  <c r="Y26" i="1"/>
  <c r="Y25" i="1"/>
  <c r="Y24" i="1"/>
  <c r="Y23" i="1"/>
  <c r="Y22" i="1"/>
  <c r="Y21" i="1"/>
  <c r="Y19" i="1"/>
  <c r="Y17" i="1"/>
  <c r="Y16" i="1"/>
  <c r="Y15" i="1"/>
  <c r="Y14" i="1"/>
  <c r="Y13" i="1"/>
  <c r="Y12" i="1"/>
  <c r="Y11" i="1"/>
  <c r="Y9" i="1"/>
  <c r="Y8" i="1"/>
  <c r="Y7" i="1"/>
  <c r="Y6" i="1"/>
  <c r="Y5" i="1"/>
  <c r="Y4" i="1"/>
  <c r="Y3" i="1"/>
  <c r="Y20" i="1"/>
  <c r="Y100" i="1"/>
  <c r="Y52" i="1"/>
  <c r="Y60" i="1"/>
  <c r="Y61" i="1"/>
  <c r="Y69" i="1"/>
  <c r="Z26" i="1" l="1"/>
  <c r="X34" i="1"/>
  <c r="X35" i="1"/>
  <c r="K3" i="10"/>
  <c r="K7" i="10"/>
  <c r="L4" i="10"/>
  <c r="L8" i="10"/>
  <c r="L9" i="10"/>
  <c r="L10" i="10"/>
  <c r="L11" i="10"/>
  <c r="L12" i="10"/>
  <c r="L13" i="10"/>
  <c r="L14" i="10"/>
  <c r="L15" i="10"/>
  <c r="L3" i="10"/>
  <c r="K9" i="10"/>
  <c r="K10" i="10"/>
  <c r="K11" i="10"/>
  <c r="K12" i="10"/>
  <c r="K13" i="10"/>
  <c r="K14" i="10"/>
  <c r="K15" i="10"/>
  <c r="C26" i="1"/>
  <c r="O10" i="1" l="1"/>
  <c r="C10" i="1"/>
  <c r="I11" i="1" s="1"/>
  <c r="K3" i="8"/>
  <c r="K43" i="8"/>
  <c r="K59" i="8"/>
  <c r="K83" i="8"/>
  <c r="M83" i="8" s="1"/>
  <c r="H92" i="8"/>
  <c r="H91" i="8"/>
  <c r="H96" i="8"/>
  <c r="H95" i="8"/>
  <c r="H100" i="8"/>
  <c r="H101" i="8"/>
  <c r="H99" i="8"/>
  <c r="H98" i="8"/>
  <c r="H97" i="8"/>
  <c r="R90" i="1" l="1"/>
  <c r="C90" i="1"/>
  <c r="H43" i="8"/>
  <c r="P43" i="1"/>
  <c r="C42" i="1"/>
  <c r="X3" i="1"/>
  <c r="C50" i="1"/>
  <c r="C2" i="1"/>
  <c r="X2" i="1" s="1"/>
  <c r="D15" i="5" l="1"/>
  <c r="D14" i="5"/>
  <c r="D13" i="5"/>
  <c r="D12" i="5"/>
  <c r="D11" i="5"/>
  <c r="D10" i="5"/>
  <c r="D9" i="5"/>
  <c r="D8" i="5"/>
  <c r="D7" i="5"/>
  <c r="D6" i="5"/>
  <c r="D5" i="5"/>
  <c r="D4" i="5"/>
  <c r="B3" i="8"/>
  <c r="H110" i="8"/>
  <c r="H109" i="8"/>
  <c r="H108" i="8"/>
  <c r="H107" i="8"/>
  <c r="H106" i="8"/>
  <c r="H105" i="8"/>
  <c r="H104" i="8"/>
  <c r="H103" i="8"/>
  <c r="K103" i="8" s="1"/>
  <c r="M103" i="8" s="1"/>
  <c r="H94" i="8"/>
  <c r="K91" i="8" s="1"/>
  <c r="M91" i="8" s="1"/>
  <c r="H93" i="8"/>
  <c r="H102" i="8"/>
  <c r="H90" i="8"/>
  <c r="H89" i="8"/>
  <c r="H88" i="8"/>
  <c r="H87" i="8"/>
  <c r="H86" i="8"/>
  <c r="H85" i="8"/>
  <c r="H84" i="8"/>
  <c r="H83" i="8"/>
  <c r="B83" i="8"/>
  <c r="H82" i="8"/>
  <c r="H81" i="8"/>
  <c r="H80" i="8"/>
  <c r="H79" i="8"/>
  <c r="H78" i="8"/>
  <c r="H77" i="8"/>
  <c r="H76" i="8"/>
  <c r="H75" i="8"/>
  <c r="K75" i="8" s="1"/>
  <c r="M75" i="8" s="1"/>
  <c r="B75" i="8"/>
  <c r="H74" i="8"/>
  <c r="H73" i="8"/>
  <c r="H72" i="8"/>
  <c r="H71" i="8"/>
  <c r="H70" i="8"/>
  <c r="H69" i="8"/>
  <c r="H68" i="8"/>
  <c r="H67" i="8"/>
  <c r="K67" i="8" s="1"/>
  <c r="M67" i="8" s="1"/>
  <c r="B67" i="8"/>
  <c r="H66" i="8"/>
  <c r="H65" i="8"/>
  <c r="H64" i="8"/>
  <c r="H63" i="8"/>
  <c r="H62" i="8"/>
  <c r="H61" i="8"/>
  <c r="H60" i="8"/>
  <c r="M59" i="8"/>
  <c r="H59" i="8"/>
  <c r="B59" i="8"/>
  <c r="H58" i="8"/>
  <c r="H57" i="8"/>
  <c r="H56" i="8"/>
  <c r="H51" i="8"/>
  <c r="H52" i="8"/>
  <c r="H53" i="8"/>
  <c r="H54" i="8"/>
  <c r="H55" i="8"/>
  <c r="B51" i="8"/>
  <c r="H50" i="8"/>
  <c r="H49" i="8"/>
  <c r="H48" i="8"/>
  <c r="H47" i="8"/>
  <c r="H46" i="8"/>
  <c r="H45" i="8"/>
  <c r="H44" i="8"/>
  <c r="M43" i="8"/>
  <c r="B43" i="8"/>
  <c r="H42" i="8"/>
  <c r="H41" i="8"/>
  <c r="H40" i="8"/>
  <c r="H39" i="8"/>
  <c r="H38" i="8"/>
  <c r="H37" i="8"/>
  <c r="H36" i="8"/>
  <c r="H35" i="8"/>
  <c r="K35" i="8" s="1"/>
  <c r="M35" i="8" s="1"/>
  <c r="B35" i="8"/>
  <c r="H34" i="8"/>
  <c r="H33" i="8"/>
  <c r="H32" i="8"/>
  <c r="H31" i="8"/>
  <c r="H30" i="8"/>
  <c r="H29" i="8"/>
  <c r="H28" i="8"/>
  <c r="H27" i="8"/>
  <c r="B27" i="8"/>
  <c r="H26" i="8"/>
  <c r="H25" i="8"/>
  <c r="H24" i="8"/>
  <c r="H23" i="8"/>
  <c r="H22" i="8"/>
  <c r="H21" i="8"/>
  <c r="H20" i="8"/>
  <c r="H19" i="8"/>
  <c r="K19" i="8" s="1"/>
  <c r="M19" i="8" s="1"/>
  <c r="B19" i="8"/>
  <c r="H18" i="8"/>
  <c r="H17" i="8"/>
  <c r="H16" i="8"/>
  <c r="H15" i="8"/>
  <c r="H14" i="8"/>
  <c r="H13" i="8"/>
  <c r="H12" i="8"/>
  <c r="H11" i="8"/>
  <c r="K11" i="8" s="1"/>
  <c r="M11" i="8" s="1"/>
  <c r="B11" i="8"/>
  <c r="H106" i="6"/>
  <c r="H105" i="6"/>
  <c r="H104" i="6"/>
  <c r="H103" i="6"/>
  <c r="H102" i="6"/>
  <c r="H101" i="6"/>
  <c r="H100" i="6"/>
  <c r="K99" i="6"/>
  <c r="M99" i="6" s="1"/>
  <c r="E15" i="5" s="1"/>
  <c r="H99" i="6"/>
  <c r="B99" i="6"/>
  <c r="H98" i="6"/>
  <c r="H91" i="6"/>
  <c r="H92" i="6"/>
  <c r="H93" i="6"/>
  <c r="H94" i="6"/>
  <c r="H95" i="6"/>
  <c r="H96" i="6"/>
  <c r="H97" i="6"/>
  <c r="K91" i="6" s="1"/>
  <c r="M91" i="6" s="1"/>
  <c r="B91" i="6"/>
  <c r="H90" i="6"/>
  <c r="H89" i="6"/>
  <c r="H88" i="6"/>
  <c r="H87" i="6"/>
  <c r="H86" i="6"/>
  <c r="H85" i="6"/>
  <c r="H84" i="6"/>
  <c r="K83" i="6"/>
  <c r="M83" i="6" s="1"/>
  <c r="H83" i="6"/>
  <c r="B83" i="6"/>
  <c r="H82" i="6"/>
  <c r="H81" i="6"/>
  <c r="H80" i="6"/>
  <c r="H79" i="6"/>
  <c r="H78" i="6"/>
  <c r="H77" i="6"/>
  <c r="H76" i="6"/>
  <c r="H75" i="6"/>
  <c r="K75" i="6" s="1"/>
  <c r="M75" i="6" s="1"/>
  <c r="B75" i="6"/>
  <c r="H74" i="6"/>
  <c r="H73" i="6"/>
  <c r="H72" i="6"/>
  <c r="H71" i="6"/>
  <c r="H70" i="6"/>
  <c r="H69" i="6"/>
  <c r="H68" i="6"/>
  <c r="H67" i="6"/>
  <c r="B67" i="6"/>
  <c r="H66" i="6"/>
  <c r="H65" i="6"/>
  <c r="H64" i="6"/>
  <c r="H63" i="6"/>
  <c r="H62" i="6"/>
  <c r="H61" i="6"/>
  <c r="H60" i="6"/>
  <c r="H59" i="6"/>
  <c r="K59" i="6" s="1"/>
  <c r="M59" i="6" s="1"/>
  <c r="B59" i="6"/>
  <c r="H58" i="6"/>
  <c r="H57" i="6"/>
  <c r="H56" i="6"/>
  <c r="H55" i="6"/>
  <c r="H54" i="6"/>
  <c r="H53" i="6"/>
  <c r="H52" i="6"/>
  <c r="K51" i="6" s="1"/>
  <c r="M51" i="6" s="1"/>
  <c r="H51" i="6"/>
  <c r="B51" i="6"/>
  <c r="H50" i="6"/>
  <c r="H49" i="6"/>
  <c r="H48" i="6"/>
  <c r="H47" i="6"/>
  <c r="H46" i="6"/>
  <c r="H45" i="6"/>
  <c r="H44" i="6"/>
  <c r="H43" i="6"/>
  <c r="B43" i="6"/>
  <c r="H42" i="6"/>
  <c r="H41" i="6"/>
  <c r="H40" i="6"/>
  <c r="H39" i="6"/>
  <c r="H38" i="6"/>
  <c r="H37" i="6"/>
  <c r="H36" i="6"/>
  <c r="H35" i="6"/>
  <c r="B35" i="6"/>
  <c r="H34" i="6"/>
  <c r="H33" i="6"/>
  <c r="H32" i="6"/>
  <c r="H31" i="6"/>
  <c r="H30" i="6"/>
  <c r="H29" i="6"/>
  <c r="H28" i="6"/>
  <c r="H27" i="6"/>
  <c r="K27" i="6" s="1"/>
  <c r="M27" i="6" s="1"/>
  <c r="B27" i="6"/>
  <c r="H26" i="6"/>
  <c r="H25" i="6"/>
  <c r="H24" i="6"/>
  <c r="H23" i="6"/>
  <c r="H22" i="6"/>
  <c r="H21" i="6"/>
  <c r="H20" i="6"/>
  <c r="H19" i="6"/>
  <c r="K19" i="6" s="1"/>
  <c r="M19" i="6" s="1"/>
  <c r="B19" i="6"/>
  <c r="H18" i="6"/>
  <c r="H17" i="6"/>
  <c r="H16" i="6"/>
  <c r="H15" i="6"/>
  <c r="H14" i="6"/>
  <c r="H13" i="6"/>
  <c r="H12" i="6"/>
  <c r="H11" i="6"/>
  <c r="K11" i="6" s="1"/>
  <c r="M11" i="6" s="1"/>
  <c r="B11" i="6"/>
  <c r="X105" i="1"/>
  <c r="P105" i="1"/>
  <c r="Q105" i="1" s="1"/>
  <c r="N105" i="1"/>
  <c r="V105" i="1" s="1"/>
  <c r="S105" i="1" s="1"/>
  <c r="X104" i="1"/>
  <c r="P104" i="1"/>
  <c r="Q104" i="1" s="1"/>
  <c r="N104" i="1"/>
  <c r="V104" i="1" s="1"/>
  <c r="S104" i="1" s="1"/>
  <c r="X103" i="1"/>
  <c r="P103" i="1"/>
  <c r="Q103" i="1" s="1"/>
  <c r="N103" i="1"/>
  <c r="V103" i="1" s="1"/>
  <c r="S103" i="1" s="1"/>
  <c r="X102" i="1"/>
  <c r="P102" i="1"/>
  <c r="Q102" i="1" s="1"/>
  <c r="N102" i="1"/>
  <c r="V102" i="1" s="1"/>
  <c r="S102" i="1" s="1"/>
  <c r="X101" i="1"/>
  <c r="V101" i="1"/>
  <c r="S101" i="1" s="1"/>
  <c r="P101" i="1"/>
  <c r="Q101" i="1" s="1"/>
  <c r="N101" i="1"/>
  <c r="X100" i="1"/>
  <c r="P100" i="1"/>
  <c r="Q100" i="1" s="1"/>
  <c r="N100" i="1"/>
  <c r="V100" i="1" s="1"/>
  <c r="S100" i="1" s="1"/>
  <c r="X99" i="1"/>
  <c r="Y99" i="1" s="1"/>
  <c r="P99" i="1"/>
  <c r="Q99" i="1" s="1"/>
  <c r="N99" i="1"/>
  <c r="V99" i="1" s="1"/>
  <c r="S99" i="1" s="1"/>
  <c r="X98" i="1"/>
  <c r="P98" i="1"/>
  <c r="Q98" i="1" s="1"/>
  <c r="N98" i="1"/>
  <c r="E98" i="1"/>
  <c r="F98" i="1" s="1"/>
  <c r="Z97" i="1"/>
  <c r="X97" i="1"/>
  <c r="P97" i="1"/>
  <c r="Q97" i="1" s="1"/>
  <c r="N97" i="1"/>
  <c r="V97" i="1" s="1"/>
  <c r="S97" i="1" s="1"/>
  <c r="Z96" i="1"/>
  <c r="X96" i="1"/>
  <c r="P96" i="1"/>
  <c r="Q96" i="1" s="1"/>
  <c r="N96" i="1"/>
  <c r="V96" i="1" s="1"/>
  <c r="S96" i="1" s="1"/>
  <c r="Z95" i="1"/>
  <c r="X95" i="1"/>
  <c r="P95" i="1"/>
  <c r="Q95" i="1" s="1"/>
  <c r="N95" i="1"/>
  <c r="V95" i="1" s="1"/>
  <c r="S95" i="1" s="1"/>
  <c r="Z94" i="1"/>
  <c r="X94" i="1"/>
  <c r="P94" i="1"/>
  <c r="Q94" i="1" s="1"/>
  <c r="N94" i="1"/>
  <c r="V94" i="1" s="1"/>
  <c r="S94" i="1" s="1"/>
  <c r="Z93" i="1"/>
  <c r="X93" i="1"/>
  <c r="P93" i="1"/>
  <c r="Q93" i="1" s="1"/>
  <c r="N93" i="1"/>
  <c r="V93" i="1" s="1"/>
  <c r="S93" i="1" s="1"/>
  <c r="Z92" i="1"/>
  <c r="X92" i="1"/>
  <c r="P92" i="1"/>
  <c r="Q92" i="1" s="1"/>
  <c r="N92" i="1"/>
  <c r="V92" i="1" s="1"/>
  <c r="S92" i="1" s="1"/>
  <c r="Z91" i="1"/>
  <c r="X91" i="1"/>
  <c r="P91" i="1"/>
  <c r="Q91" i="1" s="1"/>
  <c r="N91" i="1"/>
  <c r="V91" i="1" s="1"/>
  <c r="S91" i="1" s="1"/>
  <c r="X90" i="1"/>
  <c r="P90" i="1"/>
  <c r="Q90" i="1" s="1"/>
  <c r="N90" i="1"/>
  <c r="V90" i="1" s="1"/>
  <c r="E90" i="1"/>
  <c r="F90" i="1" s="1"/>
  <c r="Z89" i="1"/>
  <c r="X89" i="1"/>
  <c r="V89" i="1"/>
  <c r="S89" i="1" s="1"/>
  <c r="P89" i="1"/>
  <c r="Q89" i="1" s="1"/>
  <c r="N89" i="1"/>
  <c r="Z88" i="1"/>
  <c r="X88" i="1"/>
  <c r="P88" i="1"/>
  <c r="Q88" i="1" s="1"/>
  <c r="N88" i="1"/>
  <c r="V88" i="1" s="1"/>
  <c r="S88" i="1" s="1"/>
  <c r="Z87" i="1"/>
  <c r="X87" i="1"/>
  <c r="P87" i="1"/>
  <c r="Q87" i="1" s="1"/>
  <c r="N87" i="1"/>
  <c r="V87" i="1" s="1"/>
  <c r="S87" i="1" s="1"/>
  <c r="Z86" i="1"/>
  <c r="X86" i="1"/>
  <c r="P86" i="1"/>
  <c r="Q86" i="1" s="1"/>
  <c r="N86" i="1"/>
  <c r="V86" i="1" s="1"/>
  <c r="S86" i="1" s="1"/>
  <c r="Z85" i="1"/>
  <c r="X85" i="1"/>
  <c r="P85" i="1"/>
  <c r="Q85" i="1" s="1"/>
  <c r="N85" i="1"/>
  <c r="V85" i="1" s="1"/>
  <c r="S85" i="1" s="1"/>
  <c r="Z84" i="1"/>
  <c r="X84" i="1"/>
  <c r="P84" i="1"/>
  <c r="Q84" i="1" s="1"/>
  <c r="N84" i="1"/>
  <c r="V84" i="1" s="1"/>
  <c r="S84" i="1" s="1"/>
  <c r="X83" i="1"/>
  <c r="Y83" i="1" s="1"/>
  <c r="Z83" i="1" s="1"/>
  <c r="P83" i="1"/>
  <c r="Q83" i="1" s="1"/>
  <c r="N83" i="1"/>
  <c r="V83" i="1" s="1"/>
  <c r="S83" i="1" s="1"/>
  <c r="X82" i="1"/>
  <c r="P82" i="1"/>
  <c r="Q82" i="1" s="1"/>
  <c r="N82" i="1"/>
  <c r="V82" i="1" s="1"/>
  <c r="S82" i="1" s="1"/>
  <c r="E82" i="1"/>
  <c r="F82" i="1" s="1"/>
  <c r="Z81" i="1"/>
  <c r="X81" i="1"/>
  <c r="P81" i="1"/>
  <c r="Q81" i="1" s="1"/>
  <c r="N81" i="1"/>
  <c r="V81" i="1" s="1"/>
  <c r="S81" i="1" s="1"/>
  <c r="Z80" i="1"/>
  <c r="X80" i="1"/>
  <c r="P80" i="1"/>
  <c r="Q80" i="1" s="1"/>
  <c r="N80" i="1"/>
  <c r="V80" i="1" s="1"/>
  <c r="S80" i="1" s="1"/>
  <c r="Z79" i="1"/>
  <c r="X79" i="1"/>
  <c r="P79" i="1"/>
  <c r="Q79" i="1" s="1"/>
  <c r="N79" i="1"/>
  <c r="V79" i="1" s="1"/>
  <c r="S79" i="1" s="1"/>
  <c r="Z78" i="1"/>
  <c r="X78" i="1"/>
  <c r="P78" i="1"/>
  <c r="Q78" i="1" s="1"/>
  <c r="N78" i="1"/>
  <c r="V78" i="1" s="1"/>
  <c r="S78" i="1" s="1"/>
  <c r="Z77" i="1"/>
  <c r="X77" i="1"/>
  <c r="P77" i="1"/>
  <c r="Q77" i="1" s="1"/>
  <c r="N77" i="1"/>
  <c r="V77" i="1" s="1"/>
  <c r="S77" i="1" s="1"/>
  <c r="Z76" i="1"/>
  <c r="X76" i="1"/>
  <c r="P76" i="1"/>
  <c r="Q76" i="1" s="1"/>
  <c r="N76" i="1"/>
  <c r="V76" i="1" s="1"/>
  <c r="S76" i="1" s="1"/>
  <c r="X75" i="1"/>
  <c r="Z75" i="1" s="1"/>
  <c r="P75" i="1"/>
  <c r="Q75" i="1" s="1"/>
  <c r="N75" i="1"/>
  <c r="V75" i="1" s="1"/>
  <c r="S75" i="1" s="1"/>
  <c r="X74" i="1"/>
  <c r="P74" i="1"/>
  <c r="Q74" i="1" s="1"/>
  <c r="N74" i="1"/>
  <c r="V74" i="1" s="1"/>
  <c r="S74" i="1" s="1"/>
  <c r="E74" i="1"/>
  <c r="F74" i="1" s="1"/>
  <c r="Z73" i="1"/>
  <c r="X73" i="1"/>
  <c r="P73" i="1"/>
  <c r="Q73" i="1" s="1"/>
  <c r="N73" i="1"/>
  <c r="V73" i="1" s="1"/>
  <c r="S73" i="1" s="1"/>
  <c r="Z72" i="1"/>
  <c r="X72" i="1"/>
  <c r="P72" i="1"/>
  <c r="Q72" i="1" s="1"/>
  <c r="N72" i="1"/>
  <c r="V72" i="1" s="1"/>
  <c r="S72" i="1" s="1"/>
  <c r="Z71" i="1"/>
  <c r="X71" i="1"/>
  <c r="P71" i="1"/>
  <c r="Q71" i="1" s="1"/>
  <c r="N71" i="1"/>
  <c r="V71" i="1" s="1"/>
  <c r="S71" i="1" s="1"/>
  <c r="Z70" i="1"/>
  <c r="X70" i="1"/>
  <c r="P70" i="1"/>
  <c r="Q70" i="1" s="1"/>
  <c r="N70" i="1"/>
  <c r="V70" i="1" s="1"/>
  <c r="S70" i="1" s="1"/>
  <c r="Z69" i="1"/>
  <c r="X69" i="1"/>
  <c r="P69" i="1"/>
  <c r="Q69" i="1" s="1"/>
  <c r="N69" i="1"/>
  <c r="V69" i="1" s="1"/>
  <c r="S69" i="1" s="1"/>
  <c r="Z68" i="1"/>
  <c r="X68" i="1"/>
  <c r="P68" i="1"/>
  <c r="Q68" i="1" s="1"/>
  <c r="N68" i="1"/>
  <c r="V68" i="1" s="1"/>
  <c r="S68" i="1" s="1"/>
  <c r="X67" i="1"/>
  <c r="P67" i="1"/>
  <c r="Q67" i="1" s="1"/>
  <c r="N67" i="1"/>
  <c r="V67" i="1" s="1"/>
  <c r="S67" i="1" s="1"/>
  <c r="X66" i="1"/>
  <c r="Y66" i="1" s="1"/>
  <c r="Z66" i="1" s="1"/>
  <c r="P66" i="1"/>
  <c r="Q66" i="1" s="1"/>
  <c r="N66" i="1"/>
  <c r="V66" i="1" s="1"/>
  <c r="S66" i="1" s="1"/>
  <c r="E66" i="1"/>
  <c r="F66" i="1" s="1"/>
  <c r="Z65" i="1"/>
  <c r="X65" i="1"/>
  <c r="P65" i="1"/>
  <c r="Q65" i="1" s="1"/>
  <c r="N65" i="1"/>
  <c r="V65" i="1" s="1"/>
  <c r="S65" i="1" s="1"/>
  <c r="Z64" i="1"/>
  <c r="X64" i="1"/>
  <c r="P64" i="1"/>
  <c r="Q64" i="1" s="1"/>
  <c r="N64" i="1"/>
  <c r="V64" i="1" s="1"/>
  <c r="S64" i="1" s="1"/>
  <c r="Z63" i="1"/>
  <c r="X63" i="1"/>
  <c r="P63" i="1"/>
  <c r="Q63" i="1" s="1"/>
  <c r="N63" i="1"/>
  <c r="V63" i="1" s="1"/>
  <c r="S63" i="1" s="1"/>
  <c r="Z62" i="1"/>
  <c r="X62" i="1"/>
  <c r="P62" i="1"/>
  <c r="Q62" i="1" s="1"/>
  <c r="N62" i="1"/>
  <c r="V62" i="1" s="1"/>
  <c r="S62" i="1" s="1"/>
  <c r="Z61" i="1"/>
  <c r="X61" i="1"/>
  <c r="P61" i="1"/>
  <c r="Q61" i="1" s="1"/>
  <c r="N61" i="1"/>
  <c r="V61" i="1" s="1"/>
  <c r="S61" i="1" s="1"/>
  <c r="Z60" i="1"/>
  <c r="X60" i="1"/>
  <c r="P60" i="1"/>
  <c r="Q60" i="1" s="1"/>
  <c r="N60" i="1"/>
  <c r="V60" i="1" s="1"/>
  <c r="S60" i="1" s="1"/>
  <c r="X59" i="1"/>
  <c r="P59" i="1"/>
  <c r="Q59" i="1" s="1"/>
  <c r="N59" i="1"/>
  <c r="V59" i="1" s="1"/>
  <c r="S59" i="1" s="1"/>
  <c r="X58" i="1"/>
  <c r="P58" i="1"/>
  <c r="Q58" i="1" s="1"/>
  <c r="N58" i="1"/>
  <c r="V58" i="1" s="1"/>
  <c r="S58" i="1" s="1"/>
  <c r="E58" i="1"/>
  <c r="F58" i="1" s="1"/>
  <c r="Z57" i="1"/>
  <c r="X57" i="1"/>
  <c r="P57" i="1"/>
  <c r="Q57" i="1" s="1"/>
  <c r="N57" i="1"/>
  <c r="V57" i="1" s="1"/>
  <c r="S57" i="1" s="1"/>
  <c r="Z56" i="1"/>
  <c r="X56" i="1"/>
  <c r="P56" i="1"/>
  <c r="Q56" i="1" s="1"/>
  <c r="N56" i="1"/>
  <c r="V56" i="1" s="1"/>
  <c r="S56" i="1" s="1"/>
  <c r="Z55" i="1"/>
  <c r="X55" i="1"/>
  <c r="P55" i="1"/>
  <c r="Q55" i="1" s="1"/>
  <c r="N55" i="1"/>
  <c r="V55" i="1" s="1"/>
  <c r="S55" i="1" s="1"/>
  <c r="Z54" i="1"/>
  <c r="X54" i="1"/>
  <c r="P54" i="1"/>
  <c r="Q54" i="1" s="1"/>
  <c r="N54" i="1"/>
  <c r="V54" i="1" s="1"/>
  <c r="S54" i="1" s="1"/>
  <c r="Z53" i="1"/>
  <c r="X53" i="1"/>
  <c r="P53" i="1"/>
  <c r="Q53" i="1" s="1"/>
  <c r="N53" i="1"/>
  <c r="V53" i="1" s="1"/>
  <c r="S53" i="1" s="1"/>
  <c r="Z52" i="1"/>
  <c r="X52" i="1"/>
  <c r="P52" i="1"/>
  <c r="Q52" i="1" s="1"/>
  <c r="N52" i="1"/>
  <c r="V52" i="1" s="1"/>
  <c r="S52" i="1" s="1"/>
  <c r="Z51" i="1"/>
  <c r="X51" i="1"/>
  <c r="P51" i="1"/>
  <c r="Q51" i="1" s="1"/>
  <c r="N51" i="1"/>
  <c r="V51" i="1" s="1"/>
  <c r="S51" i="1" s="1"/>
  <c r="X50" i="1"/>
  <c r="P50" i="1"/>
  <c r="Q50" i="1" s="1"/>
  <c r="N50" i="1"/>
  <c r="V50" i="1" s="1"/>
  <c r="S50" i="1" s="1"/>
  <c r="E50" i="1"/>
  <c r="F50" i="1" s="1"/>
  <c r="Z49" i="1"/>
  <c r="X49" i="1"/>
  <c r="P49" i="1"/>
  <c r="Q49" i="1" s="1"/>
  <c r="N49" i="1"/>
  <c r="V49" i="1" s="1"/>
  <c r="S49" i="1" s="1"/>
  <c r="Z48" i="1"/>
  <c r="X48" i="1"/>
  <c r="P48" i="1"/>
  <c r="Q48" i="1" s="1"/>
  <c r="N48" i="1"/>
  <c r="V48" i="1" s="1"/>
  <c r="S48" i="1" s="1"/>
  <c r="Z47" i="1"/>
  <c r="X47" i="1"/>
  <c r="P47" i="1"/>
  <c r="Q47" i="1" s="1"/>
  <c r="N47" i="1"/>
  <c r="V47" i="1" s="1"/>
  <c r="S47" i="1" s="1"/>
  <c r="Z46" i="1"/>
  <c r="X46" i="1"/>
  <c r="P46" i="1"/>
  <c r="Q46" i="1" s="1"/>
  <c r="N46" i="1"/>
  <c r="V46" i="1" s="1"/>
  <c r="S46" i="1" s="1"/>
  <c r="Z45" i="1"/>
  <c r="X45" i="1"/>
  <c r="P45" i="1"/>
  <c r="Q45" i="1" s="1"/>
  <c r="N45" i="1"/>
  <c r="V45" i="1" s="1"/>
  <c r="S45" i="1" s="1"/>
  <c r="Z44" i="1"/>
  <c r="X44" i="1"/>
  <c r="P44" i="1"/>
  <c r="Q44" i="1" s="1"/>
  <c r="N44" i="1"/>
  <c r="V44" i="1" s="1"/>
  <c r="S44" i="1" s="1"/>
  <c r="Z43" i="1"/>
  <c r="X43" i="1"/>
  <c r="Q43" i="1"/>
  <c r="N43" i="1"/>
  <c r="V43" i="1" s="1"/>
  <c r="S43" i="1" s="1"/>
  <c r="X42" i="1"/>
  <c r="P42" i="1"/>
  <c r="Q42" i="1" s="1"/>
  <c r="N42" i="1"/>
  <c r="V42" i="1" s="1"/>
  <c r="E42" i="1"/>
  <c r="F42" i="1" s="1"/>
  <c r="Z41" i="1"/>
  <c r="X41" i="1"/>
  <c r="P41" i="1"/>
  <c r="Q41" i="1" s="1"/>
  <c r="N41" i="1"/>
  <c r="V41" i="1" s="1"/>
  <c r="S41" i="1" s="1"/>
  <c r="Z40" i="1"/>
  <c r="X40" i="1"/>
  <c r="P40" i="1"/>
  <c r="Q40" i="1" s="1"/>
  <c r="N40" i="1"/>
  <c r="V40" i="1" s="1"/>
  <c r="S40" i="1" s="1"/>
  <c r="Z39" i="1"/>
  <c r="X39" i="1"/>
  <c r="P39" i="1"/>
  <c r="Q39" i="1" s="1"/>
  <c r="N39" i="1"/>
  <c r="V39" i="1" s="1"/>
  <c r="S39" i="1" s="1"/>
  <c r="Z38" i="1"/>
  <c r="X38" i="1"/>
  <c r="P38" i="1"/>
  <c r="Q38" i="1" s="1"/>
  <c r="N38" i="1"/>
  <c r="V38" i="1" s="1"/>
  <c r="S38" i="1" s="1"/>
  <c r="Z37" i="1"/>
  <c r="X37" i="1"/>
  <c r="P37" i="1"/>
  <c r="Q37" i="1" s="1"/>
  <c r="N37" i="1"/>
  <c r="V37" i="1" s="1"/>
  <c r="S37" i="1" s="1"/>
  <c r="Z36" i="1"/>
  <c r="X36" i="1"/>
  <c r="P36" i="1"/>
  <c r="Q36" i="1" s="1"/>
  <c r="N36" i="1"/>
  <c r="V36" i="1" s="1"/>
  <c r="S36" i="1" s="1"/>
  <c r="P35" i="1"/>
  <c r="Q35" i="1" s="1"/>
  <c r="N35" i="1"/>
  <c r="P34" i="1"/>
  <c r="Q34" i="1" s="1"/>
  <c r="N34" i="1"/>
  <c r="V34" i="1" s="1"/>
  <c r="Y35" i="1" s="1"/>
  <c r="E34" i="1"/>
  <c r="F34" i="1" s="1"/>
  <c r="Z33" i="1"/>
  <c r="X33" i="1"/>
  <c r="P33" i="1"/>
  <c r="Q33" i="1" s="1"/>
  <c r="N33" i="1"/>
  <c r="V33" i="1" s="1"/>
  <c r="S33" i="1" s="1"/>
  <c r="Z32" i="1"/>
  <c r="X32" i="1"/>
  <c r="P32" i="1"/>
  <c r="Q32" i="1" s="1"/>
  <c r="N32" i="1"/>
  <c r="V32" i="1" s="1"/>
  <c r="S32" i="1" s="1"/>
  <c r="Z31" i="1"/>
  <c r="X31" i="1"/>
  <c r="P31" i="1"/>
  <c r="Q31" i="1" s="1"/>
  <c r="N31" i="1"/>
  <c r="V31" i="1" s="1"/>
  <c r="S31" i="1" s="1"/>
  <c r="Z30" i="1"/>
  <c r="X30" i="1"/>
  <c r="P30" i="1"/>
  <c r="Q30" i="1" s="1"/>
  <c r="N30" i="1"/>
  <c r="V30" i="1" s="1"/>
  <c r="S30" i="1" s="1"/>
  <c r="Z29" i="1"/>
  <c r="X29" i="1"/>
  <c r="P29" i="1"/>
  <c r="Q29" i="1" s="1"/>
  <c r="N29" i="1"/>
  <c r="V29" i="1" s="1"/>
  <c r="S29" i="1" s="1"/>
  <c r="Z28" i="1"/>
  <c r="X28" i="1"/>
  <c r="P28" i="1"/>
  <c r="Q28" i="1" s="1"/>
  <c r="N28" i="1"/>
  <c r="V28" i="1" s="1"/>
  <c r="S28" i="1" s="1"/>
  <c r="Z27" i="1"/>
  <c r="X27" i="1"/>
  <c r="P27" i="1"/>
  <c r="Q27" i="1" s="1"/>
  <c r="N27" i="1"/>
  <c r="V27" i="1" s="1"/>
  <c r="S27" i="1" s="1"/>
  <c r="X26" i="1"/>
  <c r="P26" i="1"/>
  <c r="Q26" i="1" s="1"/>
  <c r="N26" i="1"/>
  <c r="V26" i="1" s="1"/>
  <c r="S26" i="1" s="1"/>
  <c r="E26" i="1"/>
  <c r="F26" i="1" s="1"/>
  <c r="Z25" i="1"/>
  <c r="X25" i="1"/>
  <c r="P25" i="1"/>
  <c r="Q25" i="1" s="1"/>
  <c r="N25" i="1"/>
  <c r="V25" i="1" s="1"/>
  <c r="S25" i="1" s="1"/>
  <c r="Z24" i="1"/>
  <c r="X24" i="1"/>
  <c r="P24" i="1"/>
  <c r="Q24" i="1" s="1"/>
  <c r="N24" i="1"/>
  <c r="V24" i="1" s="1"/>
  <c r="S24" i="1" s="1"/>
  <c r="Z23" i="1"/>
  <c r="X23" i="1"/>
  <c r="P23" i="1"/>
  <c r="Q23" i="1" s="1"/>
  <c r="N23" i="1"/>
  <c r="V23" i="1" s="1"/>
  <c r="S23" i="1" s="1"/>
  <c r="Z22" i="1"/>
  <c r="X22" i="1"/>
  <c r="P22" i="1"/>
  <c r="Q22" i="1" s="1"/>
  <c r="N22" i="1"/>
  <c r="V22" i="1" s="1"/>
  <c r="S22" i="1" s="1"/>
  <c r="Z21" i="1"/>
  <c r="X21" i="1"/>
  <c r="P21" i="1"/>
  <c r="Q21" i="1" s="1"/>
  <c r="N21" i="1"/>
  <c r="V21" i="1" s="1"/>
  <c r="S21" i="1" s="1"/>
  <c r="Z20" i="1"/>
  <c r="X20" i="1"/>
  <c r="P20" i="1"/>
  <c r="Q20" i="1" s="1"/>
  <c r="N20" i="1"/>
  <c r="V20" i="1" s="1"/>
  <c r="S20" i="1" s="1"/>
  <c r="Z19" i="1"/>
  <c r="X19" i="1"/>
  <c r="P19" i="1"/>
  <c r="Q19" i="1" s="1"/>
  <c r="N19" i="1"/>
  <c r="V19" i="1" s="1"/>
  <c r="S19" i="1" s="1"/>
  <c r="X18" i="1"/>
  <c r="P18" i="1"/>
  <c r="Q18" i="1" s="1"/>
  <c r="N18" i="1"/>
  <c r="V18" i="1" s="1"/>
  <c r="S18" i="1" s="1"/>
  <c r="E18" i="1"/>
  <c r="F18" i="1" s="1"/>
  <c r="Z17" i="1"/>
  <c r="X17" i="1"/>
  <c r="P17" i="1"/>
  <c r="Q17" i="1" s="1"/>
  <c r="N17" i="1"/>
  <c r="V17" i="1" s="1"/>
  <c r="S17" i="1" s="1"/>
  <c r="Z16" i="1"/>
  <c r="X16" i="1"/>
  <c r="P16" i="1"/>
  <c r="Q16" i="1" s="1"/>
  <c r="N16" i="1"/>
  <c r="V16" i="1" s="1"/>
  <c r="S16" i="1" s="1"/>
  <c r="Z15" i="1"/>
  <c r="X15" i="1"/>
  <c r="P15" i="1"/>
  <c r="Q15" i="1" s="1"/>
  <c r="N15" i="1"/>
  <c r="V15" i="1" s="1"/>
  <c r="S15" i="1" s="1"/>
  <c r="Z14" i="1"/>
  <c r="X14" i="1"/>
  <c r="P14" i="1"/>
  <c r="Q14" i="1" s="1"/>
  <c r="N14" i="1"/>
  <c r="V14" i="1" s="1"/>
  <c r="S14" i="1" s="1"/>
  <c r="Z13" i="1"/>
  <c r="X13" i="1"/>
  <c r="P13" i="1"/>
  <c r="Q13" i="1" s="1"/>
  <c r="N13" i="1"/>
  <c r="V13" i="1" s="1"/>
  <c r="S13" i="1" s="1"/>
  <c r="X12" i="1"/>
  <c r="P12" i="1"/>
  <c r="Q12" i="1" s="1"/>
  <c r="N12" i="1"/>
  <c r="V12" i="1" s="1"/>
  <c r="S12" i="1" s="1"/>
  <c r="X11" i="1"/>
  <c r="P11" i="1"/>
  <c r="Q11" i="1" s="1"/>
  <c r="N11" i="1"/>
  <c r="V11" i="1" s="1"/>
  <c r="S11" i="1" s="1"/>
  <c r="X10" i="1"/>
  <c r="P10" i="1"/>
  <c r="Q10" i="1" s="1"/>
  <c r="N10" i="1"/>
  <c r="V10" i="1" s="1"/>
  <c r="S10" i="1" s="1"/>
  <c r="E10" i="1"/>
  <c r="F10" i="1" s="1"/>
  <c r="H3" i="10"/>
  <c r="F4" i="5" a="1"/>
  <c r="E12" i="5" a="1"/>
  <c r="F14" i="5" a="1"/>
  <c r="E11" i="5" a="1"/>
  <c r="F5" i="5" a="1"/>
  <c r="F8" i="5" a="1"/>
  <c r="F12" i="5" a="1"/>
  <c r="E9" i="5" a="1"/>
  <c r="E7" i="5" a="1"/>
  <c r="E13" i="5" a="1"/>
  <c r="E4" i="5" a="1"/>
  <c r="F10" i="5" a="1"/>
  <c r="F11" i="5" a="1"/>
  <c r="F13" i="5" a="1"/>
  <c r="E10" i="5" a="1"/>
  <c r="E5" i="5" a="1"/>
  <c r="E14" i="5" a="1"/>
  <c r="E8" i="5" a="1"/>
  <c r="E6" i="5" a="1"/>
  <c r="F7" i="5" a="1"/>
  <c r="B4" i="5" a="1"/>
  <c r="Y10" i="1" l="1"/>
  <c r="Z10" i="1" s="1"/>
  <c r="Y82" i="1"/>
  <c r="Z82" i="1" s="1"/>
  <c r="AA82" i="1" s="1"/>
  <c r="Y67" i="1"/>
  <c r="Z67" i="1" s="1"/>
  <c r="AA66" i="1" s="1"/>
  <c r="K27" i="8"/>
  <c r="M27" i="8" s="1"/>
  <c r="K51" i="8"/>
  <c r="Y59" i="1"/>
  <c r="Z59" i="1" s="1"/>
  <c r="Y58" i="1"/>
  <c r="Z58" i="1" s="1"/>
  <c r="AA58" i="1" s="1"/>
  <c r="S90" i="1"/>
  <c r="Y90" i="1"/>
  <c r="V98" i="1"/>
  <c r="S98" i="1" s="1"/>
  <c r="Y18" i="1"/>
  <c r="Z18" i="1" s="1"/>
  <c r="AA18" i="1" s="1"/>
  <c r="S35" i="1"/>
  <c r="S34" i="1"/>
  <c r="Z35" i="1"/>
  <c r="S42" i="1"/>
  <c r="Y42" i="1" s="1"/>
  <c r="Z42" i="1"/>
  <c r="AA42" i="1" s="1"/>
  <c r="AC82" i="1"/>
  <c r="Z74" i="1"/>
  <c r="AA74" i="1" s="1"/>
  <c r="AC74" i="1" s="1"/>
  <c r="M51" i="8"/>
  <c r="Z90" i="1"/>
  <c r="AA90" i="1" s="1"/>
  <c r="AA26" i="1"/>
  <c r="Z50" i="1"/>
  <c r="AA50" i="1" s="1"/>
  <c r="E14" i="5"/>
  <c r="E12" i="5"/>
  <c r="E4" i="5"/>
  <c r="F4" i="5"/>
  <c r="F10" i="5"/>
  <c r="F12" i="5"/>
  <c r="F14" i="5"/>
  <c r="F8" i="5"/>
  <c r="E6" i="5"/>
  <c r="E10" i="5"/>
  <c r="E8" i="5"/>
  <c r="E5" i="5"/>
  <c r="E7" i="5"/>
  <c r="E9" i="5"/>
  <c r="E11" i="5"/>
  <c r="E13" i="5"/>
  <c r="F5" i="5"/>
  <c r="F7" i="5"/>
  <c r="F11" i="5"/>
  <c r="F13" i="5"/>
  <c r="Z12" i="1"/>
  <c r="B4" i="5"/>
  <c r="H15" i="10"/>
  <c r="I15" i="10" s="1"/>
  <c r="J15" i="10" s="1"/>
  <c r="C15" i="10"/>
  <c r="H14" i="10"/>
  <c r="I14" i="10" s="1"/>
  <c r="J14" i="10" s="1"/>
  <c r="C14" i="10"/>
  <c r="H13" i="10"/>
  <c r="I13" i="10" s="1"/>
  <c r="J13" i="10" s="1"/>
  <c r="C13" i="10"/>
  <c r="J12" i="10"/>
  <c r="H12" i="10"/>
  <c r="I12" i="10" s="1"/>
  <c r="C12" i="10"/>
  <c r="H11" i="10"/>
  <c r="I11" i="10" s="1"/>
  <c r="J11" i="10" s="1"/>
  <c r="C11" i="10"/>
  <c r="J10" i="10"/>
  <c r="H10" i="10"/>
  <c r="I10" i="10" s="1"/>
  <c r="C10" i="10"/>
  <c r="J9" i="10"/>
  <c r="H9" i="10"/>
  <c r="I9" i="10" s="1"/>
  <c r="C9" i="10"/>
  <c r="H8" i="10"/>
  <c r="I8" i="10" s="1"/>
  <c r="J8" i="10" s="1"/>
  <c r="K8" i="10" s="1"/>
  <c r="C8" i="10"/>
  <c r="H7" i="10"/>
  <c r="I7" i="10" s="1"/>
  <c r="J7" i="10" s="1"/>
  <c r="L7" i="10" s="1"/>
  <c r="C7" i="10"/>
  <c r="H6" i="10"/>
  <c r="I6" i="10" s="1"/>
  <c r="J6" i="10" s="1"/>
  <c r="K6" i="10" s="1"/>
  <c r="L6" i="10" s="1"/>
  <c r="C6" i="10"/>
  <c r="H5" i="10"/>
  <c r="I5" i="10" s="1"/>
  <c r="J5" i="10" s="1"/>
  <c r="K5" i="10" s="1"/>
  <c r="L5" i="10" s="1"/>
  <c r="C5" i="10"/>
  <c r="J4" i="10"/>
  <c r="K4" i="10" s="1"/>
  <c r="H4" i="10"/>
  <c r="I4" i="10" s="1"/>
  <c r="C4" i="10"/>
  <c r="I3" i="10"/>
  <c r="J3" i="10" s="1"/>
  <c r="C3" i="10"/>
  <c r="E2" i="1"/>
  <c r="N6" i="1"/>
  <c r="P6" i="1"/>
  <c r="H3" i="8"/>
  <c r="B6" i="4" a="1"/>
  <c r="B12" i="5" a="1"/>
  <c r="B5" i="4" a="1"/>
  <c r="B7" i="10" a="1"/>
  <c r="B10" i="10" a="1"/>
  <c r="B10" i="5" a="1"/>
  <c r="B13" i="10" a="1"/>
  <c r="B11" i="5" a="1"/>
  <c r="B8" i="5" a="1"/>
  <c r="B11" i="4" a="1"/>
  <c r="C13" i="5" a="1"/>
  <c r="F9" i="5" a="1"/>
  <c r="B15" i="5" a="1"/>
  <c r="B14" i="4" a="1"/>
  <c r="B11" i="10" a="1"/>
  <c r="B7" i="5" a="1"/>
  <c r="B13" i="5" a="1"/>
  <c r="B10" i="4" a="1"/>
  <c r="B15" i="10" a="1"/>
  <c r="B4" i="10" a="1"/>
  <c r="C12" i="5" a="1"/>
  <c r="B7" i="4" a="1"/>
  <c r="B5" i="5" a="1"/>
  <c r="B6" i="10" a="1"/>
  <c r="B16" i="4" a="1"/>
  <c r="B6" i="5" a="1"/>
  <c r="B9" i="4" a="1"/>
  <c r="B9" i="5" a="1"/>
  <c r="B14" i="5" a="1"/>
  <c r="B5" i="10" a="1"/>
  <c r="B14" i="10" a="1"/>
  <c r="B12" i="4" a="1"/>
  <c r="B9" i="10" a="1"/>
  <c r="B12" i="10" a="1"/>
  <c r="B3" i="10" a="1"/>
  <c r="B8" i="4" a="1"/>
  <c r="B15" i="4" a="1"/>
  <c r="F6" i="5" a="1"/>
  <c r="B8" i="10" a="1"/>
  <c r="B13" i="4" a="1"/>
  <c r="AC66" i="1" l="1"/>
  <c r="AC58" i="1"/>
  <c r="F6" i="5"/>
  <c r="Y98" i="1"/>
  <c r="Z98" i="1" s="1"/>
  <c r="AC18" i="1"/>
  <c r="Y34" i="1"/>
  <c r="Z34" i="1" s="1"/>
  <c r="AA34" i="1" s="1"/>
  <c r="AC34" i="1" s="1"/>
  <c r="C13" i="5"/>
  <c r="F9" i="5"/>
  <c r="AC90" i="1"/>
  <c r="AC26" i="1"/>
  <c r="AC42" i="1"/>
  <c r="C12" i="5"/>
  <c r="AC50" i="1"/>
  <c r="AA10" i="1"/>
  <c r="AC10" i="1" s="1"/>
  <c r="B10" i="10"/>
  <c r="B14" i="10"/>
  <c r="B8" i="10"/>
  <c r="B12" i="10"/>
  <c r="B6" i="10"/>
  <c r="B11" i="10"/>
  <c r="B15" i="10"/>
  <c r="B5" i="10"/>
  <c r="B7" i="10"/>
  <c r="B9" i="10"/>
  <c r="B13" i="10"/>
  <c r="B4" i="10"/>
  <c r="B3" i="10"/>
  <c r="B8" i="4"/>
  <c r="B7" i="4"/>
  <c r="B9" i="4"/>
  <c r="B6" i="4"/>
  <c r="B5" i="4"/>
  <c r="B10" i="4"/>
  <c r="B12" i="4"/>
  <c r="B11" i="4"/>
  <c r="B16" i="4"/>
  <c r="B15" i="4"/>
  <c r="B14" i="4"/>
  <c r="B13" i="4"/>
  <c r="B7" i="5"/>
  <c r="B5" i="5"/>
  <c r="B11" i="5"/>
  <c r="B13" i="5"/>
  <c r="B8" i="5"/>
  <c r="B6" i="5"/>
  <c r="B9" i="5"/>
  <c r="B15" i="5"/>
  <c r="B10" i="5"/>
  <c r="B14" i="5"/>
  <c r="B12" i="5"/>
  <c r="H8" i="6"/>
  <c r="C5" i="5" a="1"/>
  <c r="C4" i="5" a="1"/>
  <c r="C7" i="5" a="1"/>
  <c r="C10" i="5" a="1"/>
  <c r="C9" i="5" a="1"/>
  <c r="C6" i="5" a="1"/>
  <c r="C11" i="5" a="1"/>
  <c r="C14" i="5" a="1"/>
  <c r="C8" i="5" a="1"/>
  <c r="C11" i="5" l="1"/>
  <c r="G11" i="5" s="1"/>
  <c r="C10" i="5"/>
  <c r="G10" i="5" s="1"/>
  <c r="AA98" i="1"/>
  <c r="AC98" i="1" s="1"/>
  <c r="C5" i="5"/>
  <c r="G5" i="5" s="1"/>
  <c r="G13" i="5"/>
  <c r="C7" i="5"/>
  <c r="G7" i="5" s="1"/>
  <c r="G12" i="5"/>
  <c r="C14" i="5"/>
  <c r="G14" i="5" s="1"/>
  <c r="C6" i="5"/>
  <c r="G6" i="5" s="1"/>
  <c r="C8" i="5"/>
  <c r="G8" i="5" s="1"/>
  <c r="C4" i="5"/>
  <c r="G4" i="5" s="1"/>
  <c r="C9" i="5"/>
  <c r="G9" i="5" s="1"/>
  <c r="Z5" i="1"/>
  <c r="Z6" i="1"/>
  <c r="Z7" i="1"/>
  <c r="Z8" i="1"/>
  <c r="Z9" i="1"/>
  <c r="X4" i="1"/>
  <c r="X5" i="1"/>
  <c r="X6" i="1"/>
  <c r="X7" i="1"/>
  <c r="X8" i="1"/>
  <c r="X9" i="1"/>
  <c r="P3" i="1"/>
  <c r="Q3" i="1" s="1"/>
  <c r="P4" i="1"/>
  <c r="Q4" i="1" s="1"/>
  <c r="P5" i="1"/>
  <c r="Q5" i="1" s="1"/>
  <c r="P7" i="1"/>
  <c r="Q7" i="1" s="1"/>
  <c r="P8" i="1"/>
  <c r="Q8" i="1" s="1"/>
  <c r="P9" i="1"/>
  <c r="Q9" i="1" s="1"/>
  <c r="H10" i="8"/>
  <c r="H9" i="8"/>
  <c r="H8" i="8"/>
  <c r="H7" i="8"/>
  <c r="H6" i="8"/>
  <c r="H5" i="8"/>
  <c r="H4" i="8"/>
  <c r="M3" i="8" s="1"/>
  <c r="B3" i="6"/>
  <c r="F3" i="5" a="1"/>
  <c r="C15" i="5" a="1"/>
  <c r="C15" i="5" l="1"/>
  <c r="G15" i="5" s="1"/>
  <c r="F3" i="5"/>
  <c r="H6" i="6"/>
  <c r="H7" i="6"/>
  <c r="H4" i="6"/>
  <c r="H9" i="6"/>
  <c r="H10" i="6"/>
  <c r="H5" i="6"/>
  <c r="D3" i="5"/>
  <c r="E3" i="5" a="1"/>
  <c r="E3" i="5" l="1"/>
  <c r="N2" i="1"/>
  <c r="V2" i="1" s="1"/>
  <c r="P2" i="1"/>
  <c r="Q2" i="1" s="1"/>
  <c r="B4" i="4" a="1"/>
  <c r="B3" i="5" a="1"/>
  <c r="S2" i="1" l="1"/>
  <c r="B3" i="5"/>
  <c r="B4" i="4"/>
  <c r="N9" i="1" l="1"/>
  <c r="V9" i="1" s="1"/>
  <c r="S9" i="1" s="1"/>
  <c r="N8" i="1"/>
  <c r="V8" i="1" s="1"/>
  <c r="S8" i="1" s="1"/>
  <c r="N7" i="1"/>
  <c r="V7" i="1" s="1"/>
  <c r="V6" i="1"/>
  <c r="N5" i="1"/>
  <c r="V5" i="1" s="1"/>
  <c r="S5" i="1" s="1"/>
  <c r="N4" i="1"/>
  <c r="V4" i="1" s="1"/>
  <c r="N3" i="1"/>
  <c r="V3" i="1" s="1"/>
  <c r="S3" i="1" l="1"/>
  <c r="Y2" i="1"/>
  <c r="Z2" i="1" s="1"/>
  <c r="S7" i="1"/>
  <c r="S6" i="1"/>
  <c r="Z4" i="1"/>
  <c r="S4" i="1"/>
  <c r="Z3" i="1"/>
  <c r="F2" i="1"/>
  <c r="AC2" i="1" l="1"/>
  <c r="AA2" i="1"/>
  <c r="C3" i="5" a="1"/>
  <c r="C3" i="5" l="1"/>
  <c r="G3"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Camilo Velasco</author>
    <author>tc={5939C287-3190-4943-AACF-9080395F9AB7}</author>
  </authors>
  <commentList>
    <comment ref="J1" authorId="0" shapeId="0" xr:uid="{EE325834-A790-4B73-9EE4-7FFF927EA57B}">
      <text>
        <r>
          <rPr>
            <b/>
            <sz val="9"/>
            <color indexed="81"/>
            <rFont val="Tahoma"/>
            <family val="2"/>
          </rPr>
          <t>Camilo Velasco:</t>
        </r>
        <r>
          <rPr>
            <sz val="9"/>
            <color indexed="81"/>
            <rFont val="Tahoma"/>
            <family val="2"/>
          </rPr>
          <t xml:space="preserve">
Pag 30 del pliego:
EXPERIENCIA MÍNIMA HABILITANTE DEL PROPONENTE</t>
        </r>
      </text>
    </comment>
    <comment ref="Y1" authorId="1" shapeId="0" xr:uid="{5939C287-3190-4943-AACF-9080395F9AB7}">
      <text>
        <t>[Comentario encadenado]
Su versión de Excel le permite leer este comentario encadenado; sin embargo, las ediciones que se apliquen se quitarán si el archivo se abre en una versión más reciente de Excel. Más información: https://go.microsoft.com/fwlink/?linkid=870924
Comentario:
    Pagina 40 del pliego de condiciones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Camilo Velasco</author>
  </authors>
  <commentList>
    <comment ref="H1" authorId="0" shapeId="0" xr:uid="{ED082594-4629-4E82-BAEE-A428CD2623BA}">
      <text>
        <r>
          <rPr>
            <b/>
            <sz val="9"/>
            <color indexed="81"/>
            <rFont val="Tahoma"/>
            <family val="2"/>
          </rPr>
          <t>Camilo Velasco:
Pag 38</t>
        </r>
        <r>
          <rPr>
            <sz val="9"/>
            <color indexed="81"/>
            <rFont val="Tahoma"/>
            <family val="2"/>
          </rPr>
          <t xml:space="preserve">
Se tendrá en cuenta la experiencia
en meses completos, sin simultaneidad</t>
        </r>
      </text>
    </comment>
    <comment ref="C27" authorId="0" shapeId="0" xr:uid="{9F157F3E-3719-4F5A-9E4F-1E9437C1F25F}">
      <text>
        <r>
          <rPr>
            <sz val="9"/>
            <color indexed="81"/>
            <rFont val="Tahoma"/>
            <family val="2"/>
          </rPr>
          <t>Oficial Retirado de las fuerzas militares: 20/01/20214</t>
        </r>
      </text>
    </comment>
    <comment ref="C43" authorId="0" shapeId="0" xr:uid="{4398CFE1-240D-4F2D-8F8D-E00BEDFC305A}">
      <text>
        <r>
          <rPr>
            <sz val="9"/>
            <color indexed="81"/>
            <rFont val="Tahoma"/>
            <family val="2"/>
          </rPr>
          <t xml:space="preserve">Profesional en contaduría pública: 24/01/2007
</t>
        </r>
      </text>
    </comment>
    <comment ref="C51" authorId="0" shapeId="0" xr:uid="{22A887F3-3B98-4D8F-BA07-194CD6823398}">
      <text>
        <r>
          <rPr>
            <b/>
            <sz val="9"/>
            <color indexed="81"/>
            <rFont val="Tahoma"/>
            <family val="2"/>
          </rPr>
          <t>Oficial retirado: 01/12/1996</t>
        </r>
      </text>
    </comment>
    <comment ref="C91" authorId="0" shapeId="0" xr:uid="{07707830-21BB-4FBC-8032-F658A5BCE419}">
      <text>
        <r>
          <rPr>
            <sz val="9"/>
            <color indexed="81"/>
            <rFont val="Tahoma"/>
            <family val="2"/>
          </rPr>
          <t xml:space="preserve">Retirado de las fuerzas armadas: 31/07/2014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Camilo Velasco</author>
  </authors>
  <commentList>
    <comment ref="H1" authorId="0" shapeId="0" xr:uid="{216A0D88-0222-4D58-AAC0-1263A310B14D}">
      <text>
        <r>
          <rPr>
            <b/>
            <sz val="9"/>
            <color indexed="81"/>
            <rFont val="Tahoma"/>
            <family val="2"/>
          </rPr>
          <t>Camilo Velasco:
Pag 38</t>
        </r>
        <r>
          <rPr>
            <sz val="9"/>
            <color indexed="81"/>
            <rFont val="Tahoma"/>
            <family val="2"/>
          </rPr>
          <t xml:space="preserve">
Se tendrá en cuenta la experiencia
en meses completos, sin simultaneidad</t>
        </r>
      </text>
    </comment>
    <comment ref="C27" authorId="0" shapeId="0" xr:uid="{CA075A47-4205-4377-A944-0E963F5A8B42}">
      <text>
        <r>
          <rPr>
            <sz val="9"/>
            <color indexed="81"/>
            <rFont val="Tahoma"/>
            <family val="2"/>
          </rPr>
          <t xml:space="preserve">Retirado policía: 12/06/2008 (pendiente certificado de retiro)
</t>
        </r>
      </text>
    </comment>
    <comment ref="C43" authorId="0" shapeId="0" xr:uid="{0C46E9C2-FE16-4658-92C0-8A36A1A2D7BD}">
      <text>
        <r>
          <rPr>
            <sz val="9"/>
            <color indexed="81"/>
            <rFont val="Tahoma"/>
            <family val="2"/>
          </rPr>
          <t>Retirado</t>
        </r>
        <r>
          <rPr>
            <b/>
            <sz val="9"/>
            <color indexed="81"/>
            <rFont val="Tahoma"/>
            <family val="2"/>
          </rPr>
          <t xml:space="preserve">: </t>
        </r>
        <r>
          <rPr>
            <sz val="9"/>
            <color indexed="81"/>
            <rFont val="Tahoma"/>
            <family val="2"/>
          </rPr>
          <t>01/12/1988</t>
        </r>
      </text>
    </comment>
    <comment ref="C51" authorId="0" shapeId="0" xr:uid="{F3E30778-CA78-4B49-925E-00C1ED9BAEA9}">
      <text>
        <r>
          <rPr>
            <sz val="9"/>
            <color indexed="81"/>
            <rFont val="Tahoma"/>
            <family val="2"/>
          </rPr>
          <t xml:space="preserve">Retirado: 11/04/2014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Camilo Velasco</author>
  </authors>
  <commentList>
    <comment ref="D1" authorId="0" shapeId="0" xr:uid="{1D16A7AD-84D4-439B-9130-7CC08ED76495}">
      <text>
        <r>
          <rPr>
            <b/>
            <sz val="9"/>
            <color indexed="81"/>
            <rFont val="Tahoma"/>
            <family val="2"/>
          </rPr>
          <t xml:space="preserve">Pag 40
</t>
        </r>
        <r>
          <rPr>
            <sz val="9"/>
            <color indexed="81"/>
            <rFont val="Tahoma"/>
            <family val="2"/>
          </rPr>
          <t xml:space="preserve">
</t>
        </r>
        <r>
          <rPr>
            <b/>
            <sz val="9"/>
            <color indexed="81"/>
            <rFont val="Tahoma"/>
            <family val="2"/>
          </rPr>
          <t>4.6. COMPONENTE ECONÓMICO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<sst xmlns="http://schemas.openxmlformats.org/spreadsheetml/2006/main" count="543" uniqueCount="278">
  <si>
    <t>No. PROPONENTE</t>
  </si>
  <si>
    <t>NOMBRE DEL PROPONENTE</t>
  </si>
  <si>
    <t>INTEGRANTES DEL PROPONENTE SI ES UT, CONSORCIO O UNICO PROPONENTE (Nombre y Nit)</t>
  </si>
  <si>
    <t>% DE PARTICIPACIÓN</t>
  </si>
  <si>
    <t>PRESUPUESTO OFICIAL</t>
  </si>
  <si>
    <t>PRESUPUESTO OFICIAL EXPRESADO EN SMMLV 2024</t>
  </si>
  <si>
    <t>CERTIFICACIÓN 
NÚMERO</t>
  </si>
  <si>
    <t>ENTIDAD CONTRATANTE</t>
  </si>
  <si>
    <t>EMPRESA QUE APORTA LA EXPERIENCIA (Nombre y Nit)</t>
  </si>
  <si>
    <t>OBJETO SIMILAR RELACIONADAS CON SUPERVISIÓN INTEGRAL O INTERVENTORÍA INTEGRAL O AUDITORÍA INTEGRAL</t>
  </si>
  <si>
    <t>% PARTICIPACION DEL CONTRATO ACREDITADO</t>
  </si>
  <si>
    <t xml:space="preserve">FECHA INICIO </t>
  </si>
  <si>
    <t xml:space="preserve">FECHA FINAL </t>
  </si>
  <si>
    <t>Certificación  de contrato finalizado, terminado y/o liquidado antes de la fecha de cierre del presente proceso de selección</t>
  </si>
  <si>
    <t>VALOR DEL CONTRATO EN PESOS COLOMBIANOS</t>
  </si>
  <si>
    <t>VALOR A TENER EN CUENTA PESOS COLOMBIANOS % PARTICIPACIÓN</t>
  </si>
  <si>
    <t>SMMLV (A LA FECHA DE TERMINACION DEL CONTRATO)</t>
  </si>
  <si>
    <t>SMMLV RUP</t>
  </si>
  <si>
    <t>VALOR ACTUALIZADO CON SMMMLV (2024)</t>
  </si>
  <si>
    <t>VERIFICACIÓN DEL CODIGO  UNSP EN EL RUP</t>
  </si>
  <si>
    <t>CONSECUTIVO RUP</t>
  </si>
  <si>
    <t>VALIDACIÓN CERTIFICACIÓN INDIVIDUAL</t>
  </si>
  <si>
    <t>OBSERVACIONES INDIVIDUALES EXPERIENCIA</t>
  </si>
  <si>
    <t>INTEGRANTE</t>
  </si>
  <si>
    <t>VALOR EXPERIENCIA DE INTEGRANTE FRENTE AL 100% DEL PRESUPUESTO OFICIAL</t>
  </si>
  <si>
    <t>VALIDACIÓN EXPERIENCIA INTEGRANTE</t>
  </si>
  <si>
    <t xml:space="preserve">TOTAL EXPERIENCIA APORTADA POR PROPONENTE </t>
  </si>
  <si>
    <t>OBSERVACIONES INDIVIDUALES POR INTEGRANTE</t>
  </si>
  <si>
    <t>CONSOLIDADO</t>
  </si>
  <si>
    <t>OBSERVACIONES GENERALES</t>
  </si>
  <si>
    <t>ARES SECURITY LTDA: NIT 900.599.147-1</t>
  </si>
  <si>
    <t>ACCION DEL CAUCA SA</t>
  </si>
  <si>
    <t>NO CUMPLE</t>
  </si>
  <si>
    <t>El proponente en el término de traslado deberá aportar las certificaciones expedidas por las entidades contratantes según lo indicado en el Pliego de Condiciones definitivo, toda vez que no allegó estas certificaciones para la validación en concordancia con el el numeral 4.5.2. CONDICIONES GENERALES PARA LA ACREDITACIÓN DE LA EXPERIENCIA.
Adjuntar el RUP con fecha de expedición no mayor a treinta (30) días calendario anteriores a la fecha límite para la presentación de las Ofertas, de acuerdo con el numeral 2.15.1. GENERALIDADES del Pliego de Condiciones Definitivo.</t>
  </si>
  <si>
    <t>De acuerdo con  las observaciones particulares a cada unas de las experiencias, el proponente en el término de traslado deberá aportar las certificaciones expedidas por las entidades contratantes según lo indicado en el formato No. de acuerdo con la solicitado en el numeral 4.5.2 CONDICIONES GENERALES PARA LA ACREDITACIÓN DE LA EXPERIENCIA.del  Pliego de Condiciones definitivo, toda vez que no las aporto en la propuesta.
Por otro lado, se deberá adjuntar el RUP  con fecha de expedición no mayor a treinta (30) días calendario anteriores a la fecha límite para la presentación de las Ofertas, en concordancia con el  numeral 2.15.1. GENERALIDADES del Pliego de Condiciones Definitivo.</t>
  </si>
  <si>
    <t>AEROREPUBLICA SA</t>
  </si>
  <si>
    <t xml:space="preserve">PLUS RISK SAS </t>
  </si>
  <si>
    <t>ASOCIACION DE BANANEROS DE COLOMBIA</t>
  </si>
  <si>
    <t xml:space="preserve">PASH SAS </t>
  </si>
  <si>
    <t xml:space="preserve">MANUFACTURAS ELIOT SAS </t>
  </si>
  <si>
    <t>GERMAN MONTENEGRO FAJARDO AUDITORES &amp; ASESORES S.A.S. BIC 900.335.334-8</t>
  </si>
  <si>
    <r>
      <rPr>
        <b/>
        <sz val="8"/>
        <color rgb="FF000000"/>
        <rFont val="Century Gothic"/>
        <family val="2"/>
      </rPr>
      <t>DEPARTAMENTO DE NARIÑO:</t>
    </r>
    <r>
      <rPr>
        <sz val="8"/>
        <color rgb="FF000000"/>
        <rFont val="Century Gothic"/>
        <family val="2"/>
      </rPr>
      <t xml:space="preserve"> LA SOCIEDAD se obliga para con EL DEPARTAMENTO a realizar, por sus propios medios, con plena autonomía técnica y administrativa, la interventoría técnica, administrativa y financiera de los contratos resultantes, que se orientan hacia la ejecución de recursos direccionados a garantizar la implementación de los proyectos de inversión formulados por 
el Departamento de Nariño - Secretaría de Equidad de Género 
e Inclusión Social - SEGIS, los cuales fueron presentados ante 
el Órgano Colegiado de Administración y Decisión - OCAD 
Región Pacífico y aprobados por el mismo mediante acuerdo 
No. 007 del 04 de julio de 2013; en atención al parágrafo 
primero del artículo 28 de la ley 1530 de 2012, de conformidad 
con las condiciones establecidas en el Pliego de Condiciones, 
sus anexos, y la propuesta presentada, bajo la siguiente 
discriminación: </t>
    </r>
  </si>
  <si>
    <t>CUMPLE</t>
  </si>
  <si>
    <r>
      <rPr>
        <b/>
        <sz val="8"/>
        <color theme="1"/>
        <rFont val="Century Gothic"/>
        <family val="2"/>
      </rPr>
      <t>MUNICIPIO DE PASTO - 
SECRETARIA DE EDUCACIÓN:</t>
    </r>
    <r>
      <rPr>
        <sz val="8"/>
        <color theme="1"/>
        <rFont val="Century Gothic"/>
        <family val="2"/>
      </rPr>
      <t xml:space="preserve"> El Contratista se compromete para con el Municipio de Pasto
– Secretaría de Educación, a realizar la Interventoría Integral
conforme a los lineamientos Técnico administrativos, estándares
y condiciones mínimas de la Resolución No. 16432 de 2015 y
Decreto 1075 de 2015 sobre el Contrato de operación del PAE</t>
    </r>
  </si>
  <si>
    <r>
      <rPr>
        <b/>
        <sz val="8"/>
        <color theme="1"/>
        <rFont val="Century Gothic"/>
        <family val="2"/>
      </rPr>
      <t xml:space="preserve">MUNICIPIO DE PASTO - 
SECRETARIA DE EDUCACIÓN: </t>
    </r>
    <r>
      <rPr>
        <sz val="8"/>
        <color theme="1"/>
        <rFont val="Century Gothic"/>
        <family val="2"/>
      </rPr>
      <t xml:space="preserve"> El Contratista se compromete para con el Municipio de Pasto
– Secretaría de Educación, a realizar la Interventoría Integral
conforme a los lineamientos Técnico administrativos, estándares
y condiciones mínimas de la Resolución No. 16432 de 2015 y
Decreto 1075 de 2015 sobre el Contrato de operación del PAE</t>
    </r>
  </si>
  <si>
    <r>
      <rPr>
        <b/>
        <sz val="8"/>
        <color theme="1"/>
        <rFont val="Century Gothic"/>
        <family val="2"/>
      </rPr>
      <t>MUNICIPIO DE PASTO - SECRETARIA DE EDUCACIÓN:</t>
    </r>
    <r>
      <rPr>
        <sz val="8"/>
        <color theme="1"/>
        <rFont val="Century Gothic"/>
        <family val="2"/>
      </rPr>
      <t xml:space="preserve">  El Contratista se compromete para con el Municipio de Pasto – Secretaría de Educación, a realizar la Interventoría Integral conforme a los lineamientos Técnico administrativos, estándares y condiciones mínimas de la Resolución No. 16432 de 2015 y Decreto 1075 de 2015 sobre el Contrato de operación del PAE</t>
    </r>
  </si>
  <si>
    <t>JFS CONSULTORES S.A.S. -BIC 901.542.814-2</t>
  </si>
  <si>
    <r>
      <rPr>
        <b/>
        <sz val="8"/>
        <color theme="1"/>
        <rFont val="Century Gothic"/>
        <family val="2"/>
      </rPr>
      <t xml:space="preserve">RTVC: </t>
    </r>
    <r>
      <rPr>
        <sz val="8"/>
        <color theme="1"/>
        <rFont val="Century Gothic"/>
        <family val="2"/>
      </rPr>
      <t>Requiere contratar la interventoría integral para la verificación y control y seguimiento correcta ejecución y cumplimiento del contrato derivado.</t>
    </r>
  </si>
  <si>
    <t>SCAIPROYEKTA S.A.S. BIC: NIT 901.476.977-1</t>
  </si>
  <si>
    <r>
      <rPr>
        <b/>
        <sz val="8"/>
        <color theme="1"/>
        <rFont val="Century Gothic"/>
        <family val="2"/>
      </rPr>
      <t>Secretaria de Educación Distrital:</t>
    </r>
    <r>
      <rPr>
        <sz val="8"/>
        <color theme="1"/>
        <rFont val="Century Gothic"/>
        <family val="2"/>
      </rPr>
      <t xml:space="preserve"> Contratar la interventoría integral, técnica, financiera, ambiental, jurídica y administrativa a los contratos de prestación de servicio de transporte especial escolar, con los vehículos que requiera la Secretaría de Educación del Distrito. Contrato CO1.PCCNTR.378276 del 27 marzo de 2018, resultado del proceso No SED-CM-A-DBE-007-2018
</t>
    </r>
  </si>
  <si>
    <r>
      <rPr>
        <b/>
        <sz val="8"/>
        <color theme="1"/>
        <rFont val="Century Gothic"/>
        <family val="2"/>
      </rPr>
      <t>Secretaria de Educación Distrital:</t>
    </r>
    <r>
      <rPr>
        <sz val="8"/>
        <color theme="1"/>
        <rFont val="Century Gothic"/>
        <family val="2"/>
      </rPr>
      <t xml:space="preserve"> Realizar la interventoría integral, técnica, financiera, ambiental, jurídica y administrativa a los contratos de prestación de servicio de transporte especial escolar, con los vehículos que requiera la Secretaría de Educación del Distrito. Contrato Interventoría 1525 del 30 marzo de 2017</t>
    </r>
  </si>
  <si>
    <r>
      <rPr>
        <b/>
        <sz val="8"/>
        <color theme="1"/>
        <rFont val="Century Gothic"/>
        <family val="2"/>
      </rPr>
      <t>Secretaria Distrital de Seguridad, Convivencia y Justicia de Bogotá D.C:</t>
    </r>
    <r>
      <rPr>
        <sz val="8"/>
        <color theme="1"/>
        <rFont val="Century Gothic"/>
        <family val="2"/>
      </rPr>
      <t xml:space="preserve"> interventoría administrativa, financiera, técnica, contable, jurídica y ambiental para los proyectos del sistema de vídeo vigilancia de Bogotá. Contrato 1020 del 6 de septiembre 2019.</t>
    </r>
  </si>
  <si>
    <t xml:space="preserve">UT GREM-NOVAC </t>
  </si>
  <si>
    <t>INTERNOVAC GROUP S.A.S – BIC- NIT 901.719.021-0</t>
  </si>
  <si>
    <r>
      <rPr>
        <b/>
        <sz val="8"/>
        <color theme="1"/>
        <rFont val="Century Gothic"/>
        <family val="2"/>
      </rPr>
      <t>SECRETARIA DE EDUCACIÓN DISTRITAL:</t>
    </r>
    <r>
      <rPr>
        <sz val="8"/>
        <color theme="1"/>
        <rFont val="Century Gothic"/>
        <family val="2"/>
      </rPr>
      <t xml:space="preserve"> Realizar la interventoría integral para el seguimiento a los convenios suscritos en la vigencia del año 2023 entre la Secretaría de Educación del Distrito – SED y las Instituciones de Educación Superior - IES, que realicen el acompañamiento a Instituciones Educativas del Distrito – IED, dentro del marco del proyecto de inversión 7689 de la Dirección de Educación Media</t>
    </r>
  </si>
  <si>
    <t>GRUPO EMPRESARIAL DE CONSULTORES E INTERVENTORES S.A.S BIC, NIT 901.548.063-5</t>
  </si>
  <si>
    <r>
      <rPr>
        <b/>
        <sz val="8"/>
        <color rgb="FF000000"/>
        <rFont val="Century Gothic"/>
        <family val="2"/>
      </rPr>
      <t>MINISTERIO DE LAS TECNOLOGIAS DE LA INFORMACIÓN Y LAS COMUNICACIONES:</t>
    </r>
    <r>
      <rPr>
        <sz val="8"/>
        <color rgb="FF000000"/>
        <rFont val="Century Gothic"/>
        <family val="2"/>
      </rPr>
      <t xml:space="preserve"> Desarrollo de la interventoría jurídica, técnica, administrativa, financiera y social al contrato celebrado en el marco de la licitación pública No. 002 de 2008 para la región 1.</t>
    </r>
  </si>
  <si>
    <r>
      <rPr>
        <b/>
        <sz val="8"/>
        <color theme="1"/>
        <rFont val="Century Gothic"/>
        <family val="2"/>
      </rPr>
      <t xml:space="preserve">MINISTERIO DE LAS TECNOLOGIAS DE LA INFORMACIÓN Y LAS COMUNICACIONES: </t>
    </r>
    <r>
      <rPr>
        <sz val="8"/>
        <color theme="1"/>
        <rFont val="Century Gothic"/>
        <family val="2"/>
      </rPr>
      <t xml:space="preserve">Desarrollo de la interventoría jurídica, técnica, administrativa, financiera y social en el marco de la licitación pública No. 008 de 2008 para la región 5. </t>
    </r>
  </si>
  <si>
    <t>SGA CONSULTORES S.A.S: NIT 901.549.833-4</t>
  </si>
  <si>
    <r>
      <rPr>
        <b/>
        <sz val="8"/>
        <color rgb="FF000000"/>
        <rFont val="Century Gothic"/>
        <family val="2"/>
      </rPr>
      <t xml:space="preserve">FONDO FINANCIERO DISTRITAL DE SALUD: </t>
    </r>
    <r>
      <rPr>
        <sz val="8"/>
        <color rgb="FF000000"/>
        <rFont val="Century Gothic"/>
        <family val="2"/>
      </rPr>
      <t>REALIZAR LA AUDITORIA INTEGRAL (TÉCNICA, ADMINISTRATIVA, FINANCIERA Y REVISORIA DE CUENTAS) Y CONCURRENTE CON ÉNFASIS EN CALIDAD DE LOS SERVICIOS DE SALUD, A LOS CONTRATOS DE COMPRAVENTA SUSCRITOS O CON OBLIGACIÓN DE PAGO POR PARTE DEL FFDS, CON LAS SUBREDES INTEGRADAS DE SERVICIOS DE SALUD, IPS CONTRATADAS (RED COMPLEMENTARIA), IPS NO CONTRATADAS, PROVEEDORES DE MEDICAMENTOS INSUMOS Y EPS QUE PRESENTAN RECOBROS POR FALLOS DE TUTELAS Y CTC, PRESTADOS A LA POBLACIÓN CON CARGO AL FFDS (POBLACIÓN POBRE NO ASEGURADA PPNA Y SERVICIOS NO POS DE LOS AFILIADOS AL REGIMEN SUBSIDIADO). Contrato No 1373-2017 suscrito el 28 de diciembre de 2017.</t>
    </r>
  </si>
  <si>
    <r>
      <rPr>
        <b/>
        <sz val="8"/>
        <color rgb="FF000000"/>
        <rFont val="Century Gothic"/>
        <family val="2"/>
      </rPr>
      <t>FONDO FINANCIERO DISTRITAL DE SALUD:</t>
    </r>
    <r>
      <rPr>
        <sz val="8"/>
        <color rgb="FF000000"/>
        <rFont val="Century Gothic"/>
        <family val="2"/>
      </rPr>
      <t xml:space="preserve"> EJERCER LA INTERVENTORÍA TÉCNICA, ADMINISTRATIVA, FINANCIERA Y CONTABLE CON ÉNFASIS EN CALIDAD SOBRE UN GRUPO DE CONTRATOS COMPRAVENTA DE SERVICIOS DE SALUD SUSCRITOS ENTRE LA SECRETARÍA DISTRITAL DE SALUD- FONDO FINANCIERO DISTRITAL DE SALUD Y LA EMPRESAS SOCIALES DEL ESTADO DE LA RED ADSCRITA A LA SECRETARÍA DISTRITAL DE SALUD. Contrato 386 de 2021, suscrito el 21 de septiembre de 2001.</t>
    </r>
  </si>
  <si>
    <t>SMARTY COLOMBIA SAS BIC: NIT 900249549-6</t>
  </si>
  <si>
    <r>
      <rPr>
        <b/>
        <sz val="8"/>
        <color theme="1"/>
        <rFont val="Century Gothic"/>
        <family val="2"/>
      </rPr>
      <t>MINISTERIO DE EDUCACION NACIONAL (MEN):</t>
    </r>
    <r>
      <rPr>
        <sz val="8"/>
        <color theme="1"/>
        <rFont val="Century Gothic"/>
        <family val="2"/>
      </rPr>
      <t xml:space="preserve"> REALIZAR LA INTERVENTORÍA INTEGRAL: TÉCNICA, FINANCIERA,
CONTABLE, ADMINISTRATIVA Y JURÍDICA DE LOS CONTRATOS
PARA LA OPERACIÓN GLOBAL DE LOS SERVICIOS TIC DEL
MINISTERIO. Contrato 1980821 de 2020</t>
    </r>
  </si>
  <si>
    <t>CONSORCIO TOOL</t>
  </si>
  <si>
    <t>TOOL SS SAS NIT 804.013.213-5</t>
  </si>
  <si>
    <r>
      <rPr>
        <b/>
        <sz val="8"/>
        <color theme="1"/>
        <rFont val="Century Gothic"/>
        <family val="2"/>
      </rPr>
      <t>ALCALDIA MAYOR DE BOGOTA SECRETARIA DE EDUCACION DEL DISTRITO :</t>
    </r>
    <r>
      <rPr>
        <sz val="8"/>
        <color theme="1"/>
        <rFont val="Century Gothic"/>
        <family val="2"/>
      </rPr>
      <t xml:space="preserve"> INTERVENTORIA ADMINISTRATIVA, TECNICA JURIDICA Y FINANCIERA</t>
    </r>
  </si>
  <si>
    <t>TOOL CONSULTING SAS NIT 
901.430.923-6</t>
  </si>
  <si>
    <r>
      <rPr>
        <b/>
        <sz val="8"/>
        <color theme="1"/>
        <rFont val="Century Gothic"/>
        <family val="2"/>
      </rPr>
      <t xml:space="preserve">ALCALDIA MAYOR DE BOGOTA SECRETARIA DE EDUCACION DEL DISTRITO : </t>
    </r>
    <r>
      <rPr>
        <sz val="8"/>
        <color theme="1"/>
        <rFont val="Century Gothic"/>
        <family val="2"/>
      </rPr>
      <t>INTERVENTORIA TECNICA, ADMINISTRATIVA, JURIDICA Y FINANCIERA A LOS CONTRATOS DE PRESTACION DEL SERVICIO INTEGRAL DE ASEO Y CAFETERIA PARA LAS SEDES EDUCATIVAS DEL DISTRITO, PARA LAS AREAS ADMINISTRATIVAS Y LA SEDE CENTRAL DE LA SECRETARIA DE EDUCACION DEL DISTRITO, QUE SE ENCUENTREN VIGENTES</t>
    </r>
  </si>
  <si>
    <t>CONSORCIO INTERVENTORÍA DE VIGILANCIA 2024</t>
  </si>
  <si>
    <t>ITECO CONSULTORES SAS BIC- NIT 800.181.867</t>
  </si>
  <si>
    <t>STRATUSS SAS NIT 901.417.647</t>
  </si>
  <si>
    <t>EL PROPONENTE ADJUNTA COPIA DEL CLUASULADO DEL CONTRATO, JUNTO AL ACTA DE INICIO Y EL MODIFICATORIO No. 1, SIN FIRMA Y LOS DATOS REQUERIDOS  POR LO TANTO, NO CUMPLE, EL PROPONENTE EN EL TÉRMINO DE TRASLADO DEBERÁ ADJUNTAR LA CERTIFICACIÓN Y/O ACTA DE LIQUIDACIÓN EN LOS TERMINOS ESTABLECIDOS EN EL NUMERAL  4.5.3 REGLAS  PARA  LA VALORACIÓN  DE LA EXPERIENCIA DEL PROPONENTE</t>
  </si>
  <si>
    <t>Consultora Central S.A.S BIC</t>
  </si>
  <si>
    <t>Consultora
Central S.A.S. -
BIC</t>
  </si>
  <si>
    <r>
      <rPr>
        <b/>
        <sz val="8"/>
        <color theme="1"/>
        <rFont val="Century Gothic"/>
        <family val="2"/>
      </rPr>
      <t>Gobernación de Antioquia:</t>
    </r>
    <r>
      <rPr>
        <sz val="8"/>
        <color theme="1"/>
        <rFont val="Century Gothic"/>
        <family val="2"/>
      </rPr>
      <t xml:space="preserve"> Realizar interventoría integral a los contratos y/o convenios celebrados por la gerencia de seguridad alimentaria y nutricional - MANÁ para garantizar la atención de programas de alimentación maná infantil.</t>
    </r>
  </si>
  <si>
    <r>
      <rPr>
        <b/>
        <sz val="8"/>
        <color theme="1"/>
        <rFont val="Century Gothic"/>
        <family val="2"/>
      </rPr>
      <t xml:space="preserve">Ministerio de Educación Nacional - MEN: </t>
    </r>
    <r>
      <rPr>
        <sz val="8"/>
        <color theme="1"/>
        <rFont val="Century Gothic"/>
        <family val="2"/>
      </rPr>
      <t>Realizar los servicios de interventoría integral (técnica, administrativa, gestión social, financiera y jurídica) a los contratos de aporte, contratos con cabildos indígenas y convenios interadministrativos con entidades territoriales certificadas - ETC, suscritos por el Ministerio de educación Nacional - MEN, de acuerdo con el lineamiento técnico administrativo del programa de alimentación escolar - PAE y demás documentos que se derivan para la implementación y ejecución en la vigencia 2015. Zona 2</t>
    </r>
  </si>
  <si>
    <r>
      <rPr>
        <b/>
        <sz val="8"/>
        <color theme="1"/>
        <rFont val="Century Gothic"/>
        <family val="2"/>
      </rPr>
      <t>Gobernación de Antioquia:</t>
    </r>
    <r>
      <rPr>
        <sz val="8"/>
        <color theme="1"/>
        <rFont val="Century Gothic"/>
        <family val="2"/>
      </rPr>
      <t xml:space="preserve"> Realizar interventoría integral a los contratos y/o convenios celebrados por la Gerencia de Seguridad Alimentaría y Nutricional - MANÁ para garantizar el suministro de víveres y la implementación del programa de alimentación escolar.</t>
    </r>
  </si>
  <si>
    <r>
      <rPr>
        <b/>
        <sz val="8"/>
        <color theme="1"/>
        <rFont val="Century Gothic"/>
        <family val="2"/>
      </rPr>
      <t xml:space="preserve">Secretaría de Educación Distrital: </t>
    </r>
    <r>
      <rPr>
        <sz val="8"/>
        <color theme="1"/>
        <rFont val="Century Gothic"/>
        <family val="2"/>
      </rPr>
      <t>Realizar la interventoría integral para el seguimiento a los convenios suscritos en la presente vigencia entre la Secretaría de Educación del Distrito y las Instituciones de Educación Superior, que realicen el acompañamiento a instituciones educativas del distrito – IED.</t>
    </r>
  </si>
  <si>
    <t>CONSORCIO INTERVENCIÓN Y SEGURIDAD DISTRITAL</t>
  </si>
  <si>
    <t>INGEPLAN.CO  SAS  EMPRESA  DE BENEFICIO E INTERES COLECTIVO BIC NIT 800169622-1</t>
  </si>
  <si>
    <r>
      <rPr>
        <b/>
        <sz val="8"/>
        <color theme="1"/>
        <rFont val="Century Gothic"/>
        <family val="2"/>
      </rPr>
      <t>CONSEJO SUPERIOR DE LA ADJUDICATURA:</t>
    </r>
    <r>
      <rPr>
        <sz val="8"/>
        <color theme="1"/>
        <rFont val="Century Gothic"/>
        <family val="2"/>
      </rPr>
      <t xml:space="preserve"> Prestar la Interventoría integral a la adquisición de los servicios, elementos y recursos de conectividad, telecomunicaciones e internet para la Rama Judicial a Nivel nacional</t>
    </r>
  </si>
  <si>
    <t>WLG GROUP CONSULTORES LTDA NIT 824001886-2</t>
  </si>
  <si>
    <r>
      <rPr>
        <b/>
        <sz val="8"/>
        <color theme="1"/>
        <rFont val="Century Gothic"/>
        <family val="2"/>
      </rPr>
      <t>SECRETARIA DE MOVILIDAD:</t>
    </r>
    <r>
      <rPr>
        <sz val="8"/>
        <color theme="1"/>
        <rFont val="Century Gothic"/>
        <family val="2"/>
      </rPr>
      <t xml:space="preserve">  Realizar la interventoría técnica, administrativa, legal y financiera al  contrato de consultoría que tiene por objeto realizar la encuesta de  movilidad, que comprende la encuesta de origen destino de hogares  (EODH) y la encuesta origen destino de interceptación (EODI) para  Bogotá y los municipios vecinos de su área de influencia, y de la  actualización del modelo de transporte de cuatro etapas del área de  estudio</t>
    </r>
  </si>
  <si>
    <r>
      <rPr>
        <b/>
        <sz val="8"/>
        <color theme="1"/>
        <rFont val="Century Gothic"/>
        <family val="2"/>
      </rPr>
      <t>CONSEJO SUPERIOR DE LA ADJUDICATURA:</t>
    </r>
    <r>
      <rPr>
        <sz val="8"/>
        <color theme="1"/>
        <rFont val="Century Gothic"/>
        <family val="2"/>
      </rPr>
      <t xml:space="preserve"> “Prestar la interventoría técnica, administrativa, financiera, contable, ambiental y jurídica al contrato cuyo objeto consiste en “Adquisición e instalación del cableado estructurado para las sedes de la Rama Judicial (Redes LAN)”</t>
    </r>
  </si>
  <si>
    <r>
      <rPr>
        <b/>
        <sz val="8"/>
        <color theme="1"/>
        <rFont val="Century Gothic"/>
        <family val="2"/>
      </rPr>
      <t>ALCALDIA MUNICIPAL DE SOACHA:</t>
    </r>
    <r>
      <rPr>
        <sz val="8"/>
        <color theme="1"/>
        <rFont val="Century Gothic"/>
        <family val="2"/>
      </rPr>
      <t xml:space="preserve"> Interventoría integral técnica, administrativa, jurídica y financiera de los contratos que ejecutan las estrategias de prestación de servicios educativos y transporte escolar a cargo de la dirección de cobertura educativa del municipio de Soacha </t>
    </r>
  </si>
  <si>
    <t>Strycon Energía: NIT 901.466.510-3</t>
  </si>
  <si>
    <r>
      <rPr>
        <b/>
        <sz val="8"/>
        <color rgb="FF000000"/>
        <rFont val="Century Gothic"/>
        <family val="2"/>
      </rPr>
      <t>ECOPETROL S.A:</t>
    </r>
    <r>
      <rPr>
        <sz val="8"/>
        <color rgb="FF000000"/>
        <rFont val="Century Gothic"/>
        <family val="2"/>
      </rPr>
      <t xml:space="preserve"> INTERVENTORÍA TÉCNICA ADMINISTRATIVA FINANCIERA Y LEGAL DEL CONTRATO EPC PARA EL SISTEMA DE RECIBO Y DESPACHO DEL PROPILENO GRADO REFINERÍA PROVENIENTE DE LA REFINERÍA DE BARRANCABERMEJA, Y DEL SISTEMA DE ALMACENAMIENTO Y DESPACHO DEL PROPILENO GRADO REFINERÍA DE LA REFINERÍA DE CARTAGENA - COLOMBIA. Contrato 5202410</t>
    </r>
  </si>
  <si>
    <r>
      <rPr>
        <b/>
        <sz val="8"/>
        <color rgb="FF000000"/>
        <rFont val="Century Gothic"/>
        <family val="2"/>
      </rPr>
      <t>GECELCA S.A. E.S.P:</t>
    </r>
    <r>
      <rPr>
        <sz val="8"/>
        <color rgb="FF000000"/>
        <rFont val="Century Gothic"/>
        <family val="2"/>
      </rPr>
      <t xml:space="preserve"> Interventoría técnica, administrativa, financiera, de calidad, jurídica, ambiental, y de seguridad y salud en el trabajo, para el contrato de diseño de un patio para el almacenamiento de carbón con capacidad de 300.000 toneladas para La Mina Las Palmeras. Contrato Orden de Servicio OGE-7904</t>
    </r>
  </si>
  <si>
    <t>ALIANZA INTEGRAL DE PROYECTOS SAS BIC: NIT 901.506.750-7</t>
  </si>
  <si>
    <r>
      <rPr>
        <b/>
        <sz val="8"/>
        <color theme="1"/>
        <rFont val="Century Gothic"/>
        <family val="2"/>
      </rPr>
      <t>EMPRESA NACIONAL PROMOTORA DEL DESARROLLO TERRITORIAL - ENTERRITORIO:</t>
    </r>
    <r>
      <rPr>
        <sz val="8"/>
        <color theme="1"/>
        <rFont val="Century Gothic"/>
        <family val="2"/>
      </rPr>
      <t>INTERVENTORÍA TÉCNICA, ADMINISTRATIVA Y DE CONTROL PRESUPUESTAL AL PROYECTO VIVE DIGITAL FASE 2</t>
    </r>
  </si>
  <si>
    <t xml:space="preserve">VINCI COATINGS S.A.S. </t>
  </si>
  <si>
    <t xml:space="preserve">FORMATO 12–ACEPTACIÓN Y CUMPLIMIENTO DE LA FORMACIÓN Y EXPERIENCIA MÍNIMA DEL EQUIPO DE TRABAJO. </t>
  </si>
  <si>
    <t>No. DE PROPONENTE</t>
  </si>
  <si>
    <t>CUMPLE / NO CUMPLE</t>
  </si>
  <si>
    <t>OBSERVACIÓN GENERAL</t>
  </si>
  <si>
    <t>N°. DE PROPONENTE</t>
  </si>
  <si>
    <t>NOMBRE DIRECTOR DEL PROYECTO PROPUESTO</t>
  </si>
  <si>
    <t>NUMERO DE DOCUMENTO DE IDENTIDAD</t>
  </si>
  <si>
    <t>EMPRESA CONTRATANTE</t>
  </si>
  <si>
    <t>EXPERIENCIA</t>
  </si>
  <si>
    <t>MESES CERTIFICADOS</t>
  </si>
  <si>
    <t>CUMPLE / NO CUMPLE CON LA EXPERIENCIA CERTIFICADA</t>
  </si>
  <si>
    <t>Observaciones a certificaciones individuales</t>
  </si>
  <si>
    <t>Total  Experiencia superior a cinco años (60 meses)</t>
  </si>
  <si>
    <t>CUMPLE / NO CUMPLE CON EL PERFIL ACADEMICO</t>
  </si>
  <si>
    <t>DIRECTOR</t>
  </si>
  <si>
    <t>Fecha Inicio</t>
  </si>
  <si>
    <t>Fecha Fin</t>
  </si>
  <si>
    <t>CONDICIONES DE EXPERIENCIA Y FORMACIÓN</t>
  </si>
  <si>
    <t>GUSTAVO ENRIQUE ROSALES ESCOBAR</t>
  </si>
  <si>
    <t>Ares Security</t>
  </si>
  <si>
    <t>El proponente en el termino de traslado deberá aportar la hoja de vida con los soportes tanto académicos como de experiencia exigidos para los requisitos habilitantes según el numeral 4.5.4 Exigencias mínimas de experiencia y formación académica del equipo de trabajo del pliego de Condiciones Definitivo, toda vez que el oferente no aportó estos documentos. Dado que la empresa Contratante para esta certificación es el mismo proponente, deberá presentar : "fotocopia legible del contrato laboral y/o de prestación de servicios suscrito entre el proponente y la persona, a través del cual se evidencie el vínculo contractual. En caso de no existir contrato suscrito, deberá allegar una certificación de la junta directiva o junta de socios (la que corresponda) con el visto bueno del revisor fiscal o contador, o adjuntar una certificación expedida por el proponente, acompañada del  visto bueno del revisor fiscal o contador."</t>
  </si>
  <si>
    <t>El proponente en el término de traslado deberá adjuntar copia de la hoja de vida con los soportes tanto académicos como de experiencia exigidos en el numeral 4.5.4 Exigencias mínimas de experiencia y formación académica del equipo de trabajo del pliego de Condiciones Definitivo, toda vez que el proponente, no aportó dichos soportes documentales.</t>
  </si>
  <si>
    <t>BUSINESS ALLIANCE FOR SECURE
COMMERCE – BASC</t>
  </si>
  <si>
    <t>El proponente en el termino de traslado deberá aportar la hoja de vida con los soportes tanto académicos como de experiencia exigidos para los requisitos habilitantes según el numeral 4.5.4 Exigencias mínimas de experiencia y formación académica del equipo de trabajo del pliego de Condiciones Definitivo, toda vez que el oferente no aportó estos documentos.</t>
  </si>
  <si>
    <t xml:space="preserve">Asesorías de protección a la industria </t>
  </si>
  <si>
    <t>JUAN GABRIEL ACOSTA TOVAR</t>
  </si>
  <si>
    <t xml:space="preserve"> 7.733.030 </t>
  </si>
  <si>
    <t>LAO’S SEGURIDAD LTDA</t>
  </si>
  <si>
    <t>JORGE OLIVER VARGAS BELTRAN</t>
  </si>
  <si>
    <t xml:space="preserve">CUIDARTE MANTENIMIENTO SAS </t>
  </si>
  <si>
    <t>HECTOR GIOVANNI GALEANO GUAVITA</t>
  </si>
  <si>
    <t>ORGANIZACIÓN GDC GESTION DESARROLLO Y CRECIMIENTO EMPRESARIAL</t>
  </si>
  <si>
    <t>RONALD GREGORIO GALVIS QUINTERO</t>
  </si>
  <si>
    <t>EMPRESA ATALAYA 1 SECURITY GROUP LTDA</t>
  </si>
  <si>
    <t xml:space="preserve">
       </t>
  </si>
  <si>
    <t xml:space="preserve">ARNULFO BARBOSA PINZÓN </t>
  </si>
  <si>
    <t>Protevis LTDA</t>
  </si>
  <si>
    <t>La certificación allegada no cumple con la experiencia profesional requerida para el Director de la interventoría, toda vez que no se evidencia la realización de alguna de las actividades establecidas en el anexo técnico: 
• Gerencia en temas de seguridad y vigilancia.
• Administración en temas de seguridad y vigilancia.
• Coordinación de proyectos en temas de seguridad y vigilancia.
• Dirección de proyectos en temas de seguridad y vigilancia.</t>
  </si>
  <si>
    <t>El proponente en el término de traslado deberá adjuntar copia del acto administrativo No. 20184440017747 , por medio del cual se concede la acreditación como consultor y/o investigador de seguridad privada, toda vez que no aporto el soporte, de acuerdo con el numeral 4.5.4 exigencias mínimas de experiencia y formación académica del equipo de trabajo del pliego de Condiciones Definitivo</t>
  </si>
  <si>
    <t>JULIAN ANDRES PUENTES BECERRA</t>
  </si>
  <si>
    <t>OMNITEEMPUS LTDA</t>
  </si>
  <si>
    <t>El proponente en el termino de traslado deberá adjuntar copia del contrato y/o acta de liquidación que de cuenta de las actividades desempeñadas como director de proyectos especiales, toda vez que no se entiende su campo de acción</t>
  </si>
  <si>
    <t>STANTON SAS</t>
  </si>
  <si>
    <t xml:space="preserve">JHON FREDY TELLEZ AMAYA </t>
  </si>
  <si>
    <t>79.855.660</t>
  </si>
  <si>
    <t>COMPA—ÕA DE SERVICIOS DE VIGILANCIA Y 
SEGURIDAD PRIVADA PORTILLA Y PORTILLA ®COSERVIPP LTDA</t>
  </si>
  <si>
    <t>El proponente en el término de traslado, deberá adjuntar soportes de expereincia adicionales, toda vez que no cumple con los cinco (5) años de experiencia minimo que se requiere para el perfil de director de interventoria  de acuerdo con el numeral 4.5.4 exigencias mínimas de experiencia y formación académica del equipo de trabajo del pliego de Condiciones Definitivo y anexo técnico.</t>
  </si>
  <si>
    <t>MEGASEGURIDAD</t>
  </si>
  <si>
    <t>AMCOVIT</t>
  </si>
  <si>
    <t xml:space="preserve"> LEONEL FONSECA HOYOS</t>
  </si>
  <si>
    <t>VIGILANCIA SANTAFEREÑA Y CIA LTDA</t>
  </si>
  <si>
    <t xml:space="preserve">El proponente en el término de traslado, deberá adjuntar copia del contrato y/o acta de liquidación que soporte las actividades realizadas en el marco de las experiencias aportadas, con el fin de establecer si las actividades tiene realción con las actividades requeridas para el director de interventoría  de acuerdo con el numeral 4.5.4 exigencias mínimas de experiencia y formación académica del equipo de trabajo del pliego de Condiciones Definitivo y anexo técnico 
</t>
  </si>
  <si>
    <t>CUIDAR</t>
  </si>
  <si>
    <t xml:space="preserve">LA CERTIFICACIÓN ALLEGADA NO CUMPLE, TODA VEZ QUE MENCIONA QUE EJERCIO UN CARGO DE DIRECCIÓN DE OPERACIONES, PERO NO ACLARA FRENTE A QUE TEMA EN ESPECIFICO, EL PROPONENTE EN EL TERMINO DE TRASLADO DEBERÁ ADJUNTAR COPIA DEL CONTRATO CON EL FIN DE VERIFICAR LAS ACTIVIDADES EJERCIDAS EN EL MARCO DE ESA ACTIVIDAD CONTRACTUAL </t>
  </si>
  <si>
    <t xml:space="preserve">AGUILA DE ORO COLOMBIA LTDA </t>
  </si>
  <si>
    <t>LA CERTIFICACIÓN ALLEGADA NO CUMPLE, TODA VEZ QUE MENCIONA QUE EJERCIO UN CARGO DE COORDINADOR DE CONTRATOS,  EL PROPONENTE EN EL TERMINO DE TRASLADO DEBERÁ ADJUNTAR COPIA DEL CONTRATO CON EL FIN DE VERIFICAR LAS ACTIVIDADES EJERCIDAS EN EL MARCO DE ESA ACTIVIDAD CONTRACTUAL.</t>
  </si>
  <si>
    <t>DELTHAC 1</t>
  </si>
  <si>
    <t>LA MAGDALENA SEGURIDAD</t>
  </si>
  <si>
    <t>LUIS MIGUEL PINEDA HERNÁNDEZ</t>
  </si>
  <si>
    <t>79.040.453</t>
  </si>
  <si>
    <t>VIGILANCIA ACOSTA LTDA</t>
  </si>
  <si>
    <t>CHEMONICS</t>
  </si>
  <si>
    <t>GEOGRAFÍA SATELITAL GEOSAT S.A.S.</t>
  </si>
  <si>
    <t>JORGE ENRIQUE BOHORQUEZ CUBILLOS</t>
  </si>
  <si>
    <t>COSINTE LTDA</t>
  </si>
  <si>
    <t>GULLERMO JAVIER SOLORZANO JULIO</t>
  </si>
  <si>
    <t>FIDELITY SECURITY COMPANY LTDA</t>
  </si>
  <si>
    <t>La certificación allegada no cumple con la experiencia profesional requerida para el Director de la interventoría, toda vez que no se evidencia alguna de las actividades establecidas en el anexo técnico: 
• Gerencia en temas de seguridad y vigilancia.
• Administración en temas de seguridad y vigilancia.
• Coordinación de proyectos en temas de seguridad y vigilancia.
• Dirección de proyectos en temas de seguridad y vigilancia.</t>
  </si>
  <si>
    <t xml:space="preserve">El proponente en el término de traslado, deberá adjuntar copia del contrato y/o acta de liquidación que soporte las actividades realizadas en el marco de las experiencias aportadas, con el fin de establecer si las actividades tiene relación con las actividades requeridas para el director de interventoría  de acuerdo con el numeral 4.5.4 exigencias mínimas de experiencia y formación académica del equipo de trabajo del pliego de Condiciones Definitivo y anexo técnico 
</t>
  </si>
  <si>
    <t>CIDECC</t>
  </si>
  <si>
    <t>ISVI LTDA</t>
  </si>
  <si>
    <t>ESTELAR</t>
  </si>
  <si>
    <t>SEGURIDAD ATEMPI LTDA</t>
  </si>
  <si>
    <t>SEGURIDAD NAPOLES LTDA</t>
  </si>
  <si>
    <t>SERACIS LTDA</t>
  </si>
  <si>
    <t>ACELAS ZAMBRANO JUAN CARLOS</t>
  </si>
  <si>
    <t>TRANSMETA</t>
  </si>
  <si>
    <t xml:space="preserve">La experiencia reportada por el proponente para el perfil de director de interventoria, cuya expedición corresponde al 11 de diciembre de 2011, se tomára a partir de la fecha de retiro de acuerdo con certificado de retiro que data del 16 de febrero de 2012, por lo tanto no CUMPLE con la expereincia habilitante requerida en el presente proceso de selección. </t>
  </si>
  <si>
    <t>NOMBRE COORDINADOR OPERATIVO DEL PROYECTO PROPUESTO</t>
  </si>
  <si>
    <t>Experiencia</t>
  </si>
  <si>
    <t>Total  Experiencia superior a 4 años (48 meses)</t>
  </si>
  <si>
    <t>COORDINADOR OPERATIVO</t>
  </si>
  <si>
    <t>JULIO CESAR GONZALES RODRIGUEZ</t>
  </si>
  <si>
    <t>ND</t>
  </si>
  <si>
    <t>Universidad Militar Nueva Granada</t>
  </si>
  <si>
    <t>Zehirut Ltda</t>
  </si>
  <si>
    <t xml:space="preserve">Club Campestre Guaymaral </t>
  </si>
  <si>
    <t>OSCAR GERMAN BERNAL</t>
  </si>
  <si>
    <t>79.275.058</t>
  </si>
  <si>
    <t>MANUEL GUILLERMO MARTINEZ VELASQUEZ</t>
  </si>
  <si>
    <t>DRUMMOND</t>
  </si>
  <si>
    <t>HONOR</t>
  </si>
  <si>
    <t>NESTOR ORLANDO RUBIANO MUÑOZ</t>
  </si>
  <si>
    <t>SEGURIDAD ONCOR LTDA</t>
  </si>
  <si>
    <t>El proponente en el termino de traslado deberá adjuntar copia del contrato y/o acta de liquidación que de cuenta de las actividades desempeñadas como coordinador de la UIC, toda vez que no se entiende su campo de acción.
La certificación presenta simultaneidad con la certificación anterior ya que esta inicia el 14/04/2014.</t>
  </si>
  <si>
    <t xml:space="preserve">JOSE HOMERO JIMENEZ BARRERA </t>
  </si>
  <si>
    <t>MAURICIO EDUARDO BARRAGÁN GONZÁLES</t>
  </si>
  <si>
    <t>Petrominerales Colombia LTD</t>
  </si>
  <si>
    <t>El proponente en el término de traslado, deberá allegar la certificación fecha de finalización, teniendo en cuenta que la certificación allegada por  la empresa contratante PETROMINERALES COLOMBIA LTD, no cuenta con la fecha de finalización.</t>
  </si>
  <si>
    <t>HELMAN AYMAR SAAVEDRA MORALES</t>
  </si>
  <si>
    <t>TRANS- ENVÍOS SERVICIO INTEGRAL DE TRANSPORTE</t>
  </si>
  <si>
    <t>TRANSPORTES GP CARGO SAS</t>
  </si>
  <si>
    <t>CONSORCIO SEGURIDAD S2</t>
  </si>
  <si>
    <t>La certificación allegada no cumple con la experiencia profesional requerida para el coordinador operativo, toda vez que no cumple con las actividades establecidas en el anexo técnico: 1. Administración de proyectos relacionados con temas de seguridad y vigilancia. 2. Coordinación de proyectos; relacionados con temas de seguridad y vigilancia. 3. Coordinación operativa en empresas dedicadas a la prestación de los servicios de vigilancia y seguridad privada.
La certificación presenta simultaneidad con la certificación anterior.</t>
  </si>
  <si>
    <t>GRUPO COLOMBIANO DE SEGURIDAD INTEGRAL</t>
  </si>
  <si>
    <t>JOHN JAIRO MONTEALEGRE BRI—EZ</t>
  </si>
  <si>
    <t>79.749.157</t>
  </si>
  <si>
    <t>MISSION SECURITY SEGURIDAD Y 
VIGILANCIA PRIVADA LTDA_x000D_</t>
  </si>
  <si>
    <t xml:space="preserve">SEGURIDAD SUPERIOR </t>
  </si>
  <si>
    <t>MISSION SECURITY SEGURIDAD Y 
VIGILANCIA PRIVADA LTDA</t>
  </si>
  <si>
    <t>IVAN DARIO QUIROGA BELTRAN</t>
  </si>
  <si>
    <t>BRINKS</t>
  </si>
  <si>
    <t xml:space="preserve">SEGURIDAD ONCOR LTDA </t>
  </si>
  <si>
    <t>LUIS EDUARDO LEÓN LÓPEZ</t>
  </si>
  <si>
    <t>ANTARES LTDA</t>
  </si>
  <si>
    <t>SEGURIDAD SELECTA</t>
  </si>
  <si>
    <t>LUIS MIGUEL PINEDA HERNANDEZ</t>
  </si>
  <si>
    <t>GEOSAT</t>
  </si>
  <si>
    <t xml:space="preserve">VIGILANCIA ACOSTA LTDA </t>
  </si>
  <si>
    <t>ALIANZA INTEGRAL DE PROYECTOS SAS BIC</t>
  </si>
  <si>
    <t>GIOVANNI WILSON SANDOVAL DÍAZ</t>
  </si>
  <si>
    <t xml:space="preserve">G4S RISK MANAGEMENT COLOMBIA S.A </t>
  </si>
  <si>
    <t>SCHRADER CAMARGO Consorcio oriente</t>
  </si>
  <si>
    <t>La certificación allegada no cumple con la experiencia profesional requerida para el coordinador operativo, toda vez que no cumple con las actividades establecidas en el anexo técnico: 1. Administración de proyectos relacionados con temas de seguridad y vigilancia. 2. Coordinación de proyectos; relacionados con temas de seguridad y vigilancia. 3. Coordinación operativa en empresas dedicadas a la prestación de los servicios de vigilancia y seguridad privada.</t>
  </si>
  <si>
    <t>YALE SERVISSEG LTDA</t>
  </si>
  <si>
    <t>SEVICOL LTDA</t>
  </si>
  <si>
    <t>La fecha de finalización del periodo certificado es anterior a la fecha de inicio, por lo cual se solicita aclaración.</t>
  </si>
  <si>
    <t>La certificación presenta simultaneidad con la certificación anterior, por lo cual no le suma experiencia</t>
  </si>
  <si>
    <t>FRONTERA ENERGY COLOMBIA</t>
  </si>
  <si>
    <t>La certificación presenta simultaneidad con la certificación de SEVICOL LTDA con fecha de inicio 01/01/2013 al 31/12/2014, ya que las certificación de FRONTERA ENERGY COLOMBIA  inicia el 10/03/2014, por lo cual se inicia a contar su experiencia desde el 01/01/2015</t>
  </si>
  <si>
    <t>HONOR SERVICIOS DE SEGURIDAD</t>
  </si>
  <si>
    <t>SEGURIDAD SUPERIOR LTDA</t>
  </si>
  <si>
    <t>AGROPECUARIA LA PRADERA AR S.A.S</t>
  </si>
  <si>
    <t>KHIRON COLOMBIA S.A.S</t>
  </si>
  <si>
    <t>FLOREZ CARDENAS CARLOS ALBERTO</t>
  </si>
  <si>
    <t>FORMATO 9 - EXPERIENCIA MÍNIMA HABILITANTE DEL PROPONENTE</t>
  </si>
  <si>
    <t>Exp Hab Director Interv.</t>
  </si>
  <si>
    <t>Exp Hab Coor Operativo</t>
  </si>
  <si>
    <t>HABILITADO / NO HABILITADO</t>
  </si>
  <si>
    <t>año</t>
  </si>
  <si>
    <t>SMMLV</t>
  </si>
  <si>
    <t>Listado de certificaciones</t>
  </si>
  <si>
    <t>Valor presupuesto</t>
  </si>
  <si>
    <t>CODIGOS UNSP</t>
  </si>
  <si>
    <t>INCLUIDA</t>
  </si>
  <si>
    <t>Fecha de cierre</t>
  </si>
  <si>
    <t>ANEXA</t>
  </si>
  <si>
    <t>NO INCLUIDA</t>
  </si>
  <si>
    <t>NO ANEXA</t>
  </si>
  <si>
    <t>NO APARCE CODIGO</t>
  </si>
  <si>
    <t>NO COINCIDE SALARIO</t>
  </si>
  <si>
    <t>NO DIPONIBLE</t>
  </si>
  <si>
    <t>SI</t>
  </si>
  <si>
    <t>NO COINCIDE CODIGO</t>
  </si>
  <si>
    <t>NO</t>
  </si>
  <si>
    <t>Acredita Emp. Mujeres</t>
  </si>
  <si>
    <t>Acredita MIPYMES</t>
  </si>
  <si>
    <t>HABILITADO</t>
  </si>
  <si>
    <t>NO HABILITADO</t>
  </si>
  <si>
    <t>VALOR PRESUPUESTO OFICIAL</t>
  </si>
  <si>
    <t>ANEXO PROPUESTA  ECONOMICA Y  FORMATO 11 PROPUESTA_ECONOMICA</t>
  </si>
  <si>
    <t>FIRMA DEL REPRESENTANTE LEGAL</t>
  </si>
  <si>
    <t>VALOR OFERTADO</t>
  </si>
  <si>
    <t>VALOR TOTAL OFERTA ECONOMICA Presentada</t>
  </si>
  <si>
    <t>DISCREPANCIA</t>
  </si>
  <si>
    <t xml:space="preserve">MENOR VALOR  
IGUAL VALOR 
MAYOR VALOR </t>
  </si>
  <si>
    <t>OBSERVACIONES</t>
  </si>
  <si>
    <t>Item 1 Recurso Humano</t>
  </si>
  <si>
    <t xml:space="preserve">Item 2 Otros Costos </t>
  </si>
  <si>
    <t>IVA</t>
  </si>
  <si>
    <t xml:space="preserve">MAYOR VALOR </t>
  </si>
  <si>
    <t>MENOR VALOR</t>
  </si>
  <si>
    <t xml:space="preserve">IGUAL VALOR </t>
  </si>
  <si>
    <r>
      <t xml:space="preserve">El proponente no aporta FORMATO 11 PROPUESTA_ECONOMICA_INT_VIG. como se indica en el documeto del Complento Pliego de Condiciones </t>
    </r>
    <r>
      <rPr>
        <i/>
        <sz val="11"/>
        <color rgb="FF000000"/>
        <rFont val="Aptos Narrow"/>
        <family val="2"/>
        <scheme val="minor"/>
      </rPr>
      <t>"CAPÍTULO DOCUMENTOS DE LA PROPUESTA - 4.6. COMPONENTE ECONÓMICO  - 4.6.1 PROPUESTA ECONÓMICA  - Nota 7 El proponente deberá diligenciar el FORMATO 11 PROPUESTA_ECONOMICA_INT_VIG"</t>
    </r>
  </si>
  <si>
    <t>El proponente en el término de traslado deberá aportar la hoja de vida con los soportes tanto académicos como de experiencia exigidos para los requisitos habilitantes según el numeral 4.5.4 Exigencias mínimas de experiencia y formación académica del equipo de trabajo del pliego de Condiciones Definitivo, toda vez que el oferente no aportó estos documentos.</t>
  </si>
  <si>
    <t xml:space="preserve">El proponente en el término de traslado deberá aportar la hoja de vida con los soportes tanto académicos como de experiencia exigidos para los requisitos habilitantes de acuerdo con el numeral 4.5.4 exigencias mínimas de experiencia y formación académica del equipo de trabajo del pliego de Condiciones Definitivo y anexo técnico, teniendo en cuenta que el proponente, no adjunto el soporte documental.  </t>
  </si>
  <si>
    <t xml:space="preserve">El proponente en el término de traslado deberá adjuntar copia del contrato y/o acta de liquidación de acuerdo con el numeral 4.5.4 exigencias mínimas de experiencia y formación académica del equipo de trabajo del pliego de Condiciones Definitivo y anexo técnico.
En este  sentido, deberá adjuntar el certificado de retiro de las Fuerzas Militares de Colombia o de la Policía Nacional, toda vez que no se constata ser oficial retirado ni la fecha de retiro, para el cumplimiento del perfil académico del numeral 4.5.4 exigencias mínimas de experiencia y formación académica del equipo de trabajo del pliego de Condiciones Definitivo y anexo técnico. </t>
  </si>
  <si>
    <t xml:space="preserve">El proponente en el término de traslado deberá adajuntar copia de la certificación de experiencia que de cuenta de la fecha de finalización de cuardo con el numeral 4.5.4 exigencias mínimas de experiencia y formación académica del equipo de trabajo del pliego de Condiciones Definitivo y anexo técnico. </t>
  </si>
  <si>
    <t xml:space="preserve">El proponente en el término de traslado, deberá adjuntar copia de los contratos y/o actas de liquidación de las certificaciones aportadas, las cuales den cuenta de las actividades realizadas en el marco de las relaciones contractuales asi como de los tiempos de acuerdo con el numeral 4.5.4 exigencias mínimas de experiencia y formación académica del equipo de trabajo del pliego de Condiciones Definitivo y anexo técnico. 
Por otro lado, el proponente deberá adjuntra certificado de retiro de las Fuerzas Militares de Colombia y/o de la Policía Nacional, toda vez que no se pudo establecer si se trata de oficial retirado asi como su retiro, para el cumplimiento del perfil académico en el numeral 4.5.4 exigencias mínimas de experiencia y formación académica del equipo de trabajo del pliego de Condiciones Definitivo y anexo técnico. 
</t>
  </si>
  <si>
    <r>
      <rPr>
        <b/>
        <sz val="8"/>
        <color theme="1"/>
        <rFont val="Century Gothic"/>
        <family val="2"/>
      </rPr>
      <t>Ministerio de Educación Nacional - MEN:</t>
    </r>
    <r>
      <rPr>
        <sz val="8"/>
        <color theme="1"/>
        <rFont val="Century Gothic"/>
        <family val="2"/>
      </rPr>
      <t xml:space="preserve"> Realizar los servicios de interventoría integral (técnica, administrativa, gestión social, financiera y jurídica) a los contratos de aporte, contratos con cabildos indígenas y convenios interadministrativos con entidades territoriales certificadas - ETC, suscritos por el Ministerio de educación Nacional - MEN, de acuerdo con el lineamiento técnico administrativo del programa de alimentación escolar - PAE y demás documentos </t>
    </r>
  </si>
  <si>
    <t>EL PROPONENTE EN EL TÉRMINO DE TRASLADO DEBERÁ ADJUNTAR LAS CERTIFICACIONES DE CONTRATOS DE ACUERDO CON LA OBSERVACIONES INDIVIDUALES EN CADA UNA DE LAS EXPERIENCIAS EN CONCORDANCIA  CON EL NUMERAL  4.5.3 REGLAS  PARA  LA VALORACIÓN  DE LA EXPERIENCIA DEL PROPONENTE DEL PLIEGO DE CONDICIONES DEFINITIVO.</t>
  </si>
  <si>
    <r>
      <rPr>
        <b/>
        <sz val="8"/>
        <color rgb="FF000000"/>
        <rFont val="Century Gothic"/>
        <family val="2"/>
      </rPr>
      <t>MINISTERIO DE AGRICULTURA Y DESARROLLO RURAL:</t>
    </r>
    <r>
      <rPr>
        <sz val="8"/>
        <color rgb="FF000000"/>
        <rFont val="Century Gothic"/>
        <family val="2"/>
      </rPr>
      <t xml:space="preserve"> Realizar la interventoría técnica, administrativa, jurídica, ambiental, contable y financiera a los convenios suscritos por el Ministerio de  Agricultura y Desarrollo Rural en el marco del Fondo de Fomento  Agropecuario con las entidades territoriales u organizaciones  correspondientes a las Región Pacífico</t>
    </r>
  </si>
  <si>
    <r>
      <rPr>
        <b/>
        <sz val="8"/>
        <color rgb="FF000000"/>
        <rFont val="Century Gothic"/>
        <family val="2"/>
      </rPr>
      <t>SECRETARIA DE DESARROLLO ECONOMICO:</t>
    </r>
    <r>
      <rPr>
        <sz val="8"/>
        <color rgb="FF000000"/>
        <rFont val="Century Gothic"/>
        <family val="2"/>
      </rPr>
      <t xml:space="preserve"> Prestar el servicio de interventoría técnica, administrativa, financiera, contable y jurídica al contrato cuyo objeto es “Prestar los servicios para la verificación y validación de los requisitos para la asignación del beneficio a las empresas que vinculen laboralmente población vulnerable en el marco del Programa Empleo Incluyente para el cierre de brechas de población de difícil empleabilidad, de conformidad con lo establecido en el Decreto Distrital 399 de 2022</t>
    </r>
  </si>
  <si>
    <t>La SED le solicita al oferente aclarar cual es el porcentaje de participación de la UT teniendo en cuenta que el documento de conformación y el porcentaje definido en el SECOP II es diferente. En ese sentido se solicita aclarar y subsanar lo correspondiente</t>
  </si>
  <si>
    <t>Se aclara que a pesar que se esta solicitando aclaración de la segunda certificación allegada con la primera certificación cumple con los requisitos mínimos de experiencia habilitante del proponente</t>
  </si>
  <si>
    <t>LA CERTIFICACIÓN APORTADA NO SE ENCUENTRA FIRMADA POR EL REPRESENTANTE LEGAL DE LA ENTIDAD, POR LO TANTO, NO CUMPLE, EL PROPONENTE EN EL TERMINO DE TRASLADO DEBERÁ ADJUNTAR LA CERTIFICACIÓN EN LOS TERMINOS ESTABLECIDOS EN EL NUMERAL  4.5.3 REGLAS  PARA  LA VALORACIÓN  DE LA EXPERIENCIA DEL PROPONENTE.</t>
  </si>
  <si>
    <t>EL PROPONENTE EN EL TERMINO DE TRASLADO DEBERÁ ADJUNTAR LA CERTIFICACIÓN EN LOS TERMINOS ESTABLECIDOS EN EL NUMERAL  4.5.3 REGLAS  PARA  LA VALORACIÓN  DE LA EXPERIENCIA DEL PROPONENTE, EN LA CUAL SE EVIDENCIE: DOCUMENTO DE PARTICIPACIÓN DE LA UT, ACLARACIÓN EN EL OBJETO SIMILAR RELACIONADAS CON SUPERVISIÓN INTEGRAL O INTERVENTORÍA INTEGRAL O AUDITORÍA INTEGRAL.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</si>
</sst>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yyyy\-mm\-dd;@"/>
    <numFmt numFmtId="165" formatCode="&quot;$&quot;\ #,##0.00"/>
    <numFmt numFmtId="166" formatCode="&quot;$&quot;\ #,##0"/>
    <numFmt numFmtId="167" formatCode="[$$-240A]\ #,##0"/>
    <numFmt numFmtId="168" formatCode="&quot;$&quot;#,##0"/>
    <numFmt numFmtId="169" formatCode="_-&quot;$&quot;\ * #,##0_-;\-&quot;$&quot;\ * #,##0_-;_-&quot;$&quot;\ * &quot;-&quot;??_-;_-@_-"/>
    <numFmt numFmtId="170" formatCode="0.0"/>
    <numFmt numFmtId="171" formatCode="_-* #,##0.0_-;\-* #,##0.0_-;_-* &quot;-&quot;??_-;_-@_-"/>
  </numFmts>
  <fonts count="28" x14ac:knownFonts="1">
    <font>
      <sz val="11"/>
      <color theme="1"/>
      <name val="Aptos Narrow"/>
      <family val="2"/>
      <scheme val="minor"/>
    </font>
    <font>
      <sz val="8"/>
      <color theme="1"/>
      <name val="Century Gothic"/>
      <family val="2"/>
    </font>
    <font>
      <b/>
      <sz val="8"/>
      <color theme="1"/>
      <name val="Century Gothic"/>
      <family val="2"/>
    </font>
    <font>
      <sz val="11"/>
      <color theme="1"/>
      <name val="Aptos Narrow"/>
      <family val="2"/>
      <scheme val="minor"/>
    </font>
    <font>
      <b/>
      <sz val="11"/>
      <color theme="1"/>
      <name val="Aptos Narrow"/>
      <family val="2"/>
      <scheme val="minor"/>
    </font>
    <font>
      <sz val="10"/>
      <color theme="1"/>
      <name val="Century Gothic"/>
      <family val="2"/>
    </font>
    <font>
      <sz val="8"/>
      <name val="Century Gothic"/>
      <family val="2"/>
    </font>
    <font>
      <sz val="8"/>
      <color rgb="FF000000"/>
      <name val="Century Gothic"/>
      <family val="2"/>
    </font>
    <font>
      <sz val="9"/>
      <color indexed="81"/>
      <name val="Tahoma"/>
      <family val="2"/>
    </font>
    <font>
      <b/>
      <sz val="9"/>
      <color indexed="81"/>
      <name val="Tahoma"/>
      <family val="2"/>
    </font>
    <font>
      <sz val="8"/>
      <name val="Aptos Narrow"/>
      <family val="2"/>
      <scheme val="minor"/>
    </font>
    <font>
      <sz val="11"/>
      <color theme="1"/>
      <name val="Century Gothic"/>
      <family val="2"/>
    </font>
    <font>
      <b/>
      <u/>
      <sz val="8"/>
      <name val="Century Gothic"/>
      <family val="2"/>
    </font>
    <font>
      <b/>
      <sz val="8"/>
      <name val="Century Gothic"/>
      <family val="2"/>
    </font>
    <font>
      <b/>
      <sz val="10"/>
      <color rgb="FF000000"/>
      <name val="Arial"/>
      <family val="2"/>
    </font>
    <font>
      <b/>
      <sz val="12"/>
      <color rgb="FF000000"/>
      <name val="Arial"/>
      <family val="2"/>
    </font>
    <font>
      <b/>
      <sz val="9"/>
      <color rgb="FF000000"/>
      <name val="Arial"/>
      <family val="2"/>
    </font>
    <font>
      <b/>
      <sz val="8"/>
      <color rgb="FF000000"/>
      <name val="Arial"/>
      <family val="2"/>
    </font>
    <font>
      <sz val="10"/>
      <color rgb="FF000000"/>
      <name val="Arial"/>
      <family val="2"/>
    </font>
    <font>
      <sz val="8"/>
      <color theme="1"/>
      <name val="Century Gothic"/>
      <family val="2"/>
    </font>
    <font>
      <b/>
      <sz val="8"/>
      <name val="Century Gothic"/>
      <family val="2"/>
    </font>
    <font>
      <sz val="8"/>
      <name val="Century Gothic"/>
      <family val="2"/>
    </font>
    <font>
      <b/>
      <sz val="8"/>
      <color rgb="FF000000"/>
      <name val="Century Gothic"/>
      <family val="2"/>
    </font>
    <font>
      <sz val="10"/>
      <color rgb="FF000000"/>
      <name val="Arial"/>
      <family val="2"/>
    </font>
    <font>
      <b/>
      <sz val="10"/>
      <color rgb="FF000000"/>
      <name val="Arial"/>
      <family val="2"/>
    </font>
    <font>
      <sz val="11"/>
      <color rgb="FF000000"/>
      <name val="Aptos Narrow"/>
      <family val="2"/>
      <scheme val="minor"/>
    </font>
    <font>
      <i/>
      <sz val="11"/>
      <color rgb="FF000000"/>
      <name val="Aptos Narrow"/>
      <family val="2"/>
      <scheme val="minor"/>
    </font>
    <font>
      <sz val="8"/>
      <color rgb="FF000000"/>
      <name val="Century Gothic"/>
      <family val="2"/>
    </font>
  </fonts>
  <fills count="13">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rgb="FFD0CECE"/>
        <bgColor rgb="FF000000"/>
      </patternFill>
    </fill>
    <fill>
      <patternFill patternType="solid">
        <fgColor theme="0" tint="-0.14999847407452621"/>
        <bgColor indexed="64"/>
      </patternFill>
    </fill>
    <fill>
      <patternFill patternType="solid">
        <fgColor rgb="FFFFFFFF"/>
        <bgColor rgb="FF000000"/>
      </patternFill>
    </fill>
    <fill>
      <patternFill patternType="solid">
        <fgColor theme="6" tint="0.79998168889431442"/>
        <bgColor indexed="64"/>
      </patternFill>
    </fill>
    <fill>
      <patternFill patternType="solid">
        <fgColor rgb="FFD9D9D9"/>
        <bgColor rgb="FF000000"/>
      </patternFill>
    </fill>
    <fill>
      <patternFill patternType="solid">
        <fgColor theme="0"/>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4">
    <xf numFmtId="0" fontId="0" fillId="0" borderId="0"/>
    <xf numFmtId="44"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cellStyleXfs>
  <cellXfs count="257">
    <xf numFmtId="0" fontId="0" fillId="0" borderId="0" xfId="0"/>
    <xf numFmtId="0" fontId="1" fillId="0" borderId="0" xfId="0" applyFont="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0" fillId="0" borderId="0" xfId="0" applyAlignment="1">
      <alignment horizontal="center"/>
    </xf>
    <xf numFmtId="164" fontId="2" fillId="2" borderId="2" xfId="0" applyNumberFormat="1" applyFont="1" applyFill="1" applyBorder="1" applyAlignment="1" applyProtection="1">
      <alignment horizontal="center" vertical="center" wrapText="1"/>
      <protection locked="0"/>
    </xf>
    <xf numFmtId="0" fontId="4" fillId="0" borderId="0" xfId="0" applyFont="1"/>
    <xf numFmtId="0" fontId="4" fillId="4" borderId="1" xfId="0" applyFont="1" applyFill="1" applyBorder="1" applyAlignment="1">
      <alignment horizontal="center" vertical="center"/>
    </xf>
    <xf numFmtId="9" fontId="1" fillId="0" borderId="3" xfId="0" applyNumberFormat="1"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9" fontId="1" fillId="0" borderId="1" xfId="0" applyNumberFormat="1"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168" fontId="1" fillId="0" borderId="3" xfId="0" applyNumberFormat="1" applyFont="1" applyBorder="1" applyAlignment="1" applyProtection="1">
      <alignment horizontal="center" vertical="center" wrapText="1"/>
      <protection locked="0"/>
    </xf>
    <xf numFmtId="168" fontId="1" fillId="0" borderId="1" xfId="0" applyNumberFormat="1" applyFont="1" applyBorder="1" applyAlignment="1" applyProtection="1">
      <alignment horizontal="center" vertical="center" wrapText="1"/>
      <protection locked="0"/>
    </xf>
    <xf numFmtId="0" fontId="2" fillId="10" borderId="2" xfId="0" applyFont="1" applyFill="1" applyBorder="1" applyAlignment="1" applyProtection="1">
      <alignment horizontal="center" vertical="center" wrapText="1"/>
      <protection locked="0"/>
    </xf>
    <xf numFmtId="0" fontId="7" fillId="0" borderId="19" xfId="0" applyFont="1" applyBorder="1" applyAlignment="1" applyProtection="1">
      <alignment horizontal="center" vertical="center" wrapText="1"/>
      <protection locked="0"/>
    </xf>
    <xf numFmtId="14" fontId="7" fillId="9" borderId="1" xfId="0" applyNumberFormat="1" applyFont="1" applyFill="1" applyBorder="1" applyAlignment="1" applyProtection="1">
      <alignment horizontal="center" vertical="center" wrapText="1"/>
      <protection locked="0"/>
    </xf>
    <xf numFmtId="2" fontId="1" fillId="0" borderId="3" xfId="0" applyNumberFormat="1" applyFont="1" applyBorder="1" applyAlignment="1">
      <alignment horizontal="center" vertical="center"/>
    </xf>
    <xf numFmtId="0" fontId="1" fillId="0" borderId="3" xfId="0" applyFont="1" applyBorder="1" applyAlignment="1" applyProtection="1">
      <alignment horizontal="center" vertical="center"/>
      <protection locked="0"/>
    </xf>
    <xf numFmtId="0" fontId="1" fillId="0" borderId="3" xfId="0" applyFont="1" applyBorder="1" applyAlignment="1">
      <alignment horizontal="center" vertical="center"/>
    </xf>
    <xf numFmtId="44" fontId="1" fillId="0" borderId="3" xfId="1" applyFont="1" applyFill="1" applyBorder="1" applyAlignment="1" applyProtection="1">
      <alignment horizontal="center" vertical="center"/>
    </xf>
    <xf numFmtId="1" fontId="1" fillId="0" borderId="3" xfId="0" applyNumberFormat="1" applyFont="1" applyBorder="1" applyAlignment="1" applyProtection="1">
      <alignment horizontal="center" vertical="center"/>
      <protection locked="0"/>
    </xf>
    <xf numFmtId="0" fontId="2" fillId="0" borderId="3" xfId="0" applyFont="1" applyBorder="1" applyAlignment="1">
      <alignment horizontal="center" vertical="center"/>
    </xf>
    <xf numFmtId="0" fontId="1" fillId="0" borderId="0" xfId="0" applyFont="1" applyProtection="1">
      <protection locked="0"/>
    </xf>
    <xf numFmtId="2" fontId="1" fillId="0" borderId="1" xfId="0" applyNumberFormat="1" applyFont="1" applyBorder="1" applyAlignment="1">
      <alignment horizontal="center" vertical="center"/>
    </xf>
    <xf numFmtId="0" fontId="1" fillId="0" borderId="1" xfId="0" applyFont="1" applyBorder="1" applyAlignment="1" applyProtection="1">
      <alignment horizontal="center" vertical="center"/>
      <protection locked="0"/>
    </xf>
    <xf numFmtId="0" fontId="1" fillId="0" borderId="1" xfId="0" applyFont="1" applyBorder="1" applyAlignment="1" applyProtection="1">
      <alignment vertical="center"/>
      <protection locked="0"/>
    </xf>
    <xf numFmtId="0" fontId="1" fillId="0" borderId="1" xfId="0" applyFont="1" applyBorder="1" applyAlignment="1">
      <alignment horizontal="center" vertical="center"/>
    </xf>
    <xf numFmtId="44" fontId="1" fillId="0" borderId="1" xfId="1" applyFont="1" applyFill="1" applyBorder="1" applyAlignment="1" applyProtection="1">
      <alignment horizontal="center" vertical="center"/>
    </xf>
    <xf numFmtId="1" fontId="1"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9" fontId="1" fillId="0" borderId="1" xfId="2" applyFont="1" applyFill="1" applyBorder="1" applyAlignment="1" applyProtection="1">
      <alignment horizontal="center" vertical="center"/>
      <protection locked="0"/>
    </xf>
    <xf numFmtId="0" fontId="1" fillId="0" borderId="6" xfId="0" applyFont="1" applyBorder="1" applyAlignment="1" applyProtection="1">
      <alignment horizontal="center" vertical="center" wrapText="1"/>
      <protection locked="0"/>
    </xf>
    <xf numFmtId="9" fontId="1" fillId="0" borderId="6" xfId="2" applyFont="1" applyFill="1" applyBorder="1" applyAlignment="1" applyProtection="1">
      <alignment horizontal="center" vertical="center"/>
      <protection locked="0"/>
    </xf>
    <xf numFmtId="2" fontId="1" fillId="0" borderId="6" xfId="0" applyNumberFormat="1" applyFont="1" applyBorder="1" applyAlignment="1">
      <alignment horizontal="center" vertical="center"/>
    </xf>
    <xf numFmtId="0" fontId="1" fillId="0" borderId="6" xfId="0" applyFont="1" applyBorder="1" applyAlignment="1" applyProtection="1">
      <alignment horizontal="center" vertical="center"/>
      <protection locked="0"/>
    </xf>
    <xf numFmtId="0" fontId="1" fillId="0" borderId="6" xfId="0" applyFont="1" applyBorder="1" applyAlignment="1">
      <alignment horizontal="center" vertical="center"/>
    </xf>
    <xf numFmtId="44" fontId="1" fillId="0" borderId="6" xfId="1" applyFont="1" applyFill="1" applyBorder="1" applyAlignment="1" applyProtection="1">
      <alignment horizontal="center" vertical="center"/>
    </xf>
    <xf numFmtId="1" fontId="1" fillId="0" borderId="6" xfId="0" applyNumberFormat="1" applyFont="1" applyBorder="1" applyAlignment="1" applyProtection="1">
      <alignment horizontal="center" vertical="center"/>
      <protection locked="0"/>
    </xf>
    <xf numFmtId="0" fontId="2" fillId="0" borderId="6" xfId="0" applyFont="1" applyBorder="1" applyAlignment="1">
      <alignment horizontal="center" vertical="center"/>
    </xf>
    <xf numFmtId="0" fontId="11" fillId="0" borderId="0" xfId="0" applyFont="1" applyProtection="1">
      <protection locked="0"/>
    </xf>
    <xf numFmtId="0" fontId="11" fillId="0" borderId="0" xfId="0" applyFont="1" applyAlignment="1" applyProtection="1">
      <alignment horizontal="center"/>
      <protection locked="0"/>
    </xf>
    <xf numFmtId="0" fontId="1" fillId="0" borderId="0" xfId="0" applyFont="1" applyAlignment="1" applyProtection="1">
      <alignment horizontal="center"/>
      <protection locked="0"/>
    </xf>
    <xf numFmtId="0" fontId="1" fillId="0" borderId="0" xfId="0" applyFont="1" applyAlignment="1" applyProtection="1">
      <alignment horizontal="center" vertical="center"/>
      <protection locked="0"/>
    </xf>
    <xf numFmtId="165" fontId="1" fillId="0" borderId="3" xfId="0" applyNumberFormat="1" applyFont="1" applyBorder="1" applyAlignment="1">
      <alignment horizontal="center" vertical="center"/>
    </xf>
    <xf numFmtId="2" fontId="1" fillId="0" borderId="3" xfId="0" applyNumberFormat="1" applyFont="1" applyBorder="1" applyAlignment="1" applyProtection="1">
      <alignment horizontal="center" vertical="center"/>
      <protection locked="0"/>
    </xf>
    <xf numFmtId="165" fontId="1" fillId="0" borderId="1" xfId="0" applyNumberFormat="1" applyFont="1" applyBorder="1" applyAlignment="1">
      <alignment horizontal="center" vertical="center"/>
    </xf>
    <xf numFmtId="2" fontId="1" fillId="0" borderId="1" xfId="0" applyNumberFormat="1" applyFont="1" applyBorder="1" applyAlignment="1" applyProtection="1">
      <alignment horizontal="center" vertical="center"/>
      <protection locked="0"/>
    </xf>
    <xf numFmtId="14" fontId="1" fillId="0" borderId="1" xfId="0" applyNumberFormat="1" applyFont="1" applyBorder="1" applyAlignment="1" applyProtection="1">
      <alignment horizontal="center" vertical="center"/>
      <protection locked="0"/>
    </xf>
    <xf numFmtId="166" fontId="1" fillId="0" borderId="1" xfId="1" applyNumberFormat="1" applyFont="1" applyFill="1" applyBorder="1" applyAlignment="1" applyProtection="1">
      <alignment horizontal="center" vertical="center"/>
      <protection locked="0"/>
    </xf>
    <xf numFmtId="14" fontId="1" fillId="0" borderId="6" xfId="0" applyNumberFormat="1" applyFont="1" applyBorder="1" applyAlignment="1" applyProtection="1">
      <alignment horizontal="center" vertical="center"/>
      <protection locked="0"/>
    </xf>
    <xf numFmtId="166" fontId="1" fillId="0" borderId="6" xfId="1" applyNumberFormat="1" applyFont="1" applyFill="1" applyBorder="1" applyAlignment="1" applyProtection="1">
      <alignment horizontal="center" vertical="center"/>
      <protection locked="0"/>
    </xf>
    <xf numFmtId="165" fontId="1" fillId="0" borderId="6" xfId="0" applyNumberFormat="1" applyFont="1" applyBorder="1" applyAlignment="1">
      <alignment horizontal="center" vertical="center"/>
    </xf>
    <xf numFmtId="2" fontId="1" fillId="0" borderId="6" xfId="0" applyNumberFormat="1" applyFont="1" applyBorder="1" applyAlignment="1" applyProtection="1">
      <alignment horizontal="center" vertical="center"/>
      <protection locked="0"/>
    </xf>
    <xf numFmtId="0" fontId="1" fillId="0" borderId="1" xfId="0" applyFont="1" applyBorder="1" applyAlignment="1">
      <alignment vertical="center" wrapText="1"/>
    </xf>
    <xf numFmtId="0" fontId="13" fillId="6" borderId="15" xfId="0" applyFont="1" applyFill="1" applyBorder="1" applyAlignment="1" applyProtection="1">
      <alignment horizontal="center" vertical="center" wrapText="1"/>
      <protection locked="0"/>
    </xf>
    <xf numFmtId="0" fontId="13" fillId="6" borderId="18" xfId="0" applyFont="1" applyFill="1" applyBorder="1" applyAlignment="1" applyProtection="1">
      <alignment horizontal="center" vertical="center" wrapText="1"/>
      <protection locked="0"/>
    </xf>
    <xf numFmtId="170" fontId="1" fillId="0" borderId="1" xfId="0" applyNumberFormat="1" applyFont="1" applyBorder="1" applyAlignment="1">
      <alignment horizontal="center" vertical="center" wrapText="1"/>
    </xf>
    <xf numFmtId="170" fontId="1" fillId="0" borderId="1" xfId="0" applyNumberFormat="1" applyFont="1" applyBorder="1" applyAlignment="1" applyProtection="1">
      <alignment horizontal="center" vertical="center" wrapText="1"/>
      <protection locked="0"/>
    </xf>
    <xf numFmtId="170" fontId="1" fillId="0" borderId="1" xfId="0" applyNumberFormat="1" applyFont="1" applyBorder="1" applyAlignment="1" applyProtection="1">
      <alignment horizontal="left" vertical="center" wrapText="1"/>
      <protection locked="0"/>
    </xf>
    <xf numFmtId="0" fontId="1" fillId="0" borderId="0" xfId="0" applyFont="1" applyAlignment="1" applyProtection="1">
      <alignment horizontal="left"/>
      <protection locked="0"/>
    </xf>
    <xf numFmtId="14" fontId="7" fillId="9" borderId="3" xfId="0" applyNumberFormat="1" applyFont="1" applyFill="1" applyBorder="1" applyAlignment="1" applyProtection="1">
      <alignment horizontal="center" vertical="center" wrapText="1"/>
      <protection locked="0"/>
    </xf>
    <xf numFmtId="170" fontId="1" fillId="0" borderId="3" xfId="0" applyNumberFormat="1" applyFont="1" applyBorder="1" applyAlignment="1">
      <alignment horizontal="center" vertical="center" wrapText="1"/>
    </xf>
    <xf numFmtId="170" fontId="1" fillId="0" borderId="3" xfId="0" applyNumberFormat="1" applyFont="1" applyBorder="1" applyAlignment="1" applyProtection="1">
      <alignment horizontal="center" vertical="center" wrapText="1"/>
      <protection locked="0"/>
    </xf>
    <xf numFmtId="170" fontId="1" fillId="0" borderId="3" xfId="0" applyNumberFormat="1" applyFont="1" applyBorder="1" applyAlignment="1" applyProtection="1">
      <alignment horizontal="left" vertical="center" wrapText="1"/>
      <protection locked="0"/>
    </xf>
    <xf numFmtId="14" fontId="7" fillId="9" borderId="6" xfId="0" applyNumberFormat="1" applyFont="1" applyFill="1" applyBorder="1" applyAlignment="1" applyProtection="1">
      <alignment horizontal="center" vertical="center" wrapText="1"/>
      <protection locked="0"/>
    </xf>
    <xf numFmtId="170" fontId="1" fillId="0" borderId="6" xfId="0" applyNumberFormat="1" applyFont="1" applyBorder="1" applyAlignment="1">
      <alignment horizontal="center" vertical="center" wrapText="1"/>
    </xf>
    <xf numFmtId="170" fontId="1" fillId="0" borderId="6" xfId="0" applyNumberFormat="1" applyFont="1" applyBorder="1" applyAlignment="1" applyProtection="1">
      <alignment horizontal="center" vertical="center" wrapText="1"/>
      <protection locked="0"/>
    </xf>
    <xf numFmtId="170" fontId="1" fillId="0" borderId="6" xfId="0" applyNumberFormat="1" applyFont="1" applyBorder="1" applyAlignment="1" applyProtection="1">
      <alignment horizontal="left" vertical="center" wrapText="1"/>
      <protection locked="0"/>
    </xf>
    <xf numFmtId="14" fontId="2" fillId="8" borderId="2" xfId="0" applyNumberFormat="1" applyFont="1" applyFill="1" applyBorder="1" applyAlignment="1" applyProtection="1">
      <alignment horizontal="center" vertical="center" wrapText="1"/>
      <protection locked="0"/>
    </xf>
    <xf numFmtId="14" fontId="1" fillId="0" borderId="0" xfId="0" applyNumberFormat="1" applyFont="1" applyAlignment="1" applyProtection="1">
      <alignment horizontal="center" vertical="center"/>
      <protection locked="0"/>
    </xf>
    <xf numFmtId="0" fontId="1" fillId="0" borderId="0" xfId="0" applyFont="1" applyAlignment="1">
      <alignment horizontal="left"/>
    </xf>
    <xf numFmtId="0" fontId="1" fillId="0" borderId="0" xfId="0" applyFont="1" applyAlignment="1">
      <alignment horizontal="center" vertical="center"/>
    </xf>
    <xf numFmtId="0" fontId="1" fillId="0" borderId="0" xfId="0" applyFont="1"/>
    <xf numFmtId="0" fontId="13" fillId="2" borderId="2" xfId="0"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5" fillId="3" borderId="1" xfId="0" applyFont="1" applyFill="1" applyBorder="1" applyAlignment="1">
      <alignment horizontal="center"/>
    </xf>
    <xf numFmtId="167" fontId="5" fillId="3" borderId="1" xfId="0" applyNumberFormat="1" applyFont="1" applyFill="1" applyBorder="1"/>
    <xf numFmtId="0" fontId="0" fillId="0" borderId="1" xfId="0" applyBorder="1" applyAlignment="1">
      <alignment horizontal="center"/>
    </xf>
    <xf numFmtId="0" fontId="0" fillId="0" borderId="1" xfId="0" applyBorder="1"/>
    <xf numFmtId="169" fontId="0" fillId="0" borderId="1" xfId="1" applyNumberFormat="1" applyFont="1" applyBorder="1"/>
    <xf numFmtId="14" fontId="0" fillId="0" borderId="1" xfId="0" applyNumberFormat="1" applyBorder="1" applyAlignment="1">
      <alignment horizontal="center"/>
    </xf>
    <xf numFmtId="0" fontId="0" fillId="0" borderId="14" xfId="0" applyBorder="1"/>
    <xf numFmtId="14" fontId="1" fillId="0" borderId="3" xfId="0" applyNumberFormat="1" applyFont="1" applyBorder="1" applyAlignment="1" applyProtection="1">
      <alignment horizontal="center" vertical="center"/>
      <protection locked="0"/>
    </xf>
    <xf numFmtId="0" fontId="7" fillId="0" borderId="20"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43" fontId="16" fillId="11" borderId="15" xfId="3" applyFont="1" applyFill="1" applyBorder="1" applyAlignment="1" applyProtection="1">
      <alignment horizontal="center" vertical="center" wrapText="1"/>
      <protection locked="0"/>
    </xf>
    <xf numFmtId="0" fontId="0" fillId="0" borderId="0" xfId="0" applyProtection="1">
      <protection locked="0"/>
    </xf>
    <xf numFmtId="43" fontId="17" fillId="11" borderId="8" xfId="3" applyFont="1" applyFill="1" applyBorder="1" applyAlignment="1" applyProtection="1">
      <alignment horizontal="center" vertical="center" wrapText="1"/>
      <protection locked="0"/>
    </xf>
    <xf numFmtId="43" fontId="14" fillId="11" borderId="2" xfId="3" applyFont="1" applyFill="1" applyBorder="1" applyAlignment="1" applyProtection="1">
      <alignment horizontal="center" vertical="center" wrapText="1"/>
      <protection locked="0"/>
    </xf>
    <xf numFmtId="44" fontId="18" fillId="12" borderId="1" xfId="1" applyFont="1" applyFill="1" applyBorder="1" applyAlignment="1" applyProtection="1">
      <alignment vertical="center" wrapText="1"/>
      <protection locked="0"/>
    </xf>
    <xf numFmtId="44" fontId="18" fillId="12" borderId="1" xfId="1" applyFont="1" applyFill="1" applyBorder="1" applyAlignment="1" applyProtection="1">
      <alignment horizontal="center" vertical="center" wrapText="1"/>
      <protection locked="0"/>
    </xf>
    <xf numFmtId="0" fontId="0" fillId="3" borderId="1" xfId="0" applyFill="1" applyBorder="1" applyAlignment="1" applyProtection="1">
      <alignment horizontal="center"/>
      <protection locked="0"/>
    </xf>
    <xf numFmtId="0" fontId="0" fillId="3" borderId="0" xfId="0" applyFill="1" applyProtection="1">
      <protection locked="0"/>
    </xf>
    <xf numFmtId="0" fontId="0" fillId="0" borderId="0" xfId="0" applyAlignment="1" applyProtection="1">
      <alignment horizontal="center"/>
      <protection locked="0"/>
    </xf>
    <xf numFmtId="43" fontId="0" fillId="0" borderId="0" xfId="3" applyFont="1" applyProtection="1">
      <protection locked="0"/>
    </xf>
    <xf numFmtId="43" fontId="0" fillId="0" borderId="0" xfId="3" applyFont="1" applyAlignment="1" applyProtection="1">
      <alignment horizontal="center"/>
      <protection locked="0"/>
    </xf>
    <xf numFmtId="0" fontId="0" fillId="0" borderId="0" xfId="0" applyAlignment="1" applyProtection="1">
      <alignment horizontal="center" vertical="center"/>
      <protection locked="0"/>
    </xf>
    <xf numFmtId="0" fontId="18" fillId="12" borderId="1" xfId="0" applyFont="1" applyFill="1" applyBorder="1" applyAlignment="1">
      <alignment horizontal="center" vertical="center" wrapText="1"/>
    </xf>
    <xf numFmtId="0" fontId="18" fillId="12" borderId="1" xfId="0" applyFont="1" applyFill="1" applyBorder="1" applyAlignment="1">
      <alignment vertical="center" wrapText="1"/>
    </xf>
    <xf numFmtId="44" fontId="18" fillId="12" borderId="1" xfId="1" applyFont="1" applyFill="1" applyBorder="1" applyAlignment="1" applyProtection="1">
      <alignment vertical="center" wrapText="1"/>
    </xf>
    <xf numFmtId="0" fontId="4" fillId="0" borderId="1" xfId="0" applyFont="1" applyBorder="1" applyAlignment="1">
      <alignment horizontal="center" vertical="center"/>
    </xf>
    <xf numFmtId="0" fontId="1" fillId="0" borderId="19"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9" fontId="1" fillId="0" borderId="19" xfId="0" applyNumberFormat="1" applyFont="1" applyBorder="1" applyAlignment="1" applyProtection="1">
      <alignment horizontal="center" vertical="center" wrapText="1"/>
      <protection locked="0"/>
    </xf>
    <xf numFmtId="2" fontId="1" fillId="0" borderId="19" xfId="0" applyNumberFormat="1" applyFont="1" applyBorder="1" applyAlignment="1">
      <alignment horizontal="center" vertical="center"/>
    </xf>
    <xf numFmtId="0" fontId="1" fillId="0" borderId="19" xfId="0" applyFont="1" applyBorder="1" applyAlignment="1" applyProtection="1">
      <alignment horizontal="center" vertical="center"/>
      <protection locked="0"/>
    </xf>
    <xf numFmtId="14" fontId="1" fillId="0" borderId="19" xfId="0" applyNumberFormat="1" applyFont="1" applyBorder="1" applyAlignment="1" applyProtection="1">
      <alignment horizontal="center" vertical="center"/>
      <protection locked="0"/>
    </xf>
    <xf numFmtId="0" fontId="1" fillId="0" borderId="19" xfId="0" applyFont="1" applyBorder="1" applyAlignment="1">
      <alignment horizontal="center" vertical="center"/>
    </xf>
    <xf numFmtId="168" fontId="1" fillId="0" borderId="19" xfId="0" applyNumberFormat="1" applyFont="1" applyBorder="1" applyAlignment="1" applyProtection="1">
      <alignment horizontal="center" vertical="center" wrapText="1"/>
      <protection locked="0"/>
    </xf>
    <xf numFmtId="165" fontId="1" fillId="0" borderId="19" xfId="0" applyNumberFormat="1" applyFont="1" applyBorder="1" applyAlignment="1">
      <alignment horizontal="center" vertical="center"/>
    </xf>
    <xf numFmtId="2" fontId="1" fillId="0" borderId="19" xfId="0" applyNumberFormat="1" applyFont="1" applyBorder="1" applyAlignment="1" applyProtection="1">
      <alignment horizontal="center" vertical="center"/>
      <protection locked="0"/>
    </xf>
    <xf numFmtId="44" fontId="1" fillId="0" borderId="19" xfId="1" applyFont="1" applyFill="1" applyBorder="1" applyAlignment="1" applyProtection="1">
      <alignment horizontal="center" vertical="center"/>
    </xf>
    <xf numFmtId="1" fontId="1" fillId="0" borderId="19" xfId="0" applyNumberFormat="1" applyFont="1" applyBorder="1" applyAlignment="1" applyProtection="1">
      <alignment horizontal="center" vertical="center"/>
      <protection locked="0"/>
    </xf>
    <xf numFmtId="0" fontId="2" fillId="0" borderId="19" xfId="0" applyFont="1" applyBorder="1" applyAlignment="1">
      <alignment horizontal="center" vertical="center"/>
    </xf>
    <xf numFmtId="0" fontId="1" fillId="0" borderId="3"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 fillId="0" borderId="6" xfId="0" applyFont="1" applyBorder="1" applyAlignment="1" applyProtection="1">
      <alignment horizontal="left" vertical="center" wrapText="1"/>
      <protection locked="0"/>
    </xf>
    <xf numFmtId="0" fontId="1" fillId="0" borderId="19" xfId="0" applyFont="1" applyBorder="1" applyAlignment="1" applyProtection="1">
      <alignment horizontal="left" vertical="center" wrapText="1"/>
      <protection locked="0"/>
    </xf>
    <xf numFmtId="0" fontId="1" fillId="0" borderId="20" xfId="0" applyFont="1" applyBorder="1" applyAlignment="1" applyProtection="1">
      <alignment horizontal="left" vertical="center" wrapText="1"/>
      <protection locked="0"/>
    </xf>
    <xf numFmtId="170" fontId="19" fillId="0" borderId="1" xfId="0" applyNumberFormat="1" applyFont="1" applyBorder="1" applyAlignment="1" applyProtection="1">
      <alignment horizontal="left" vertical="center" wrapText="1"/>
      <protection locked="0"/>
    </xf>
    <xf numFmtId="170" fontId="1" fillId="0" borderId="19" xfId="0" applyNumberFormat="1" applyFont="1" applyBorder="1" applyAlignment="1" applyProtection="1">
      <alignment horizontal="left" vertical="center" wrapText="1"/>
      <protection locked="0"/>
    </xf>
    <xf numFmtId="14" fontId="7" fillId="9" borderId="19" xfId="0" applyNumberFormat="1" applyFont="1" applyFill="1" applyBorder="1" applyAlignment="1" applyProtection="1">
      <alignment horizontal="center" vertical="center" wrapText="1"/>
      <protection locked="0"/>
    </xf>
    <xf numFmtId="170" fontId="1" fillId="0" borderId="19" xfId="0" applyNumberFormat="1" applyFont="1" applyBorder="1" applyAlignment="1">
      <alignment horizontal="center" vertical="center" wrapText="1"/>
    </xf>
    <xf numFmtId="170" fontId="1" fillId="0" borderId="19" xfId="0" applyNumberFormat="1"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0" fontId="1" fillId="0" borderId="24" xfId="0" applyFont="1" applyBorder="1" applyAlignment="1" applyProtection="1">
      <alignment horizontal="center" vertical="center" wrapText="1"/>
      <protection locked="0"/>
    </xf>
    <xf numFmtId="170" fontId="1" fillId="0" borderId="25" xfId="0" applyNumberFormat="1" applyFont="1" applyBorder="1" applyAlignment="1">
      <alignment horizontal="center" vertical="center" wrapText="1"/>
    </xf>
    <xf numFmtId="170" fontId="1" fillId="0" borderId="14" xfId="0" applyNumberFormat="1" applyFont="1" applyBorder="1" applyAlignment="1">
      <alignment horizontal="center" vertical="center" wrapText="1"/>
    </xf>
    <xf numFmtId="170" fontId="1" fillId="0" borderId="26" xfId="0" applyNumberFormat="1" applyFont="1" applyBorder="1" applyAlignment="1">
      <alignment horizontal="center" vertical="center" wrapText="1"/>
    </xf>
    <xf numFmtId="14" fontId="7" fillId="9" borderId="2" xfId="0" applyNumberFormat="1" applyFont="1" applyFill="1" applyBorder="1" applyAlignment="1" applyProtection="1">
      <alignment horizontal="center" vertical="center" wrapText="1"/>
      <protection locked="0"/>
    </xf>
    <xf numFmtId="14" fontId="7" fillId="0" borderId="1" xfId="0" applyNumberFormat="1" applyFont="1" applyBorder="1" applyAlignment="1" applyProtection="1">
      <alignment horizontal="center" vertical="center" wrapText="1"/>
      <protection locked="0"/>
    </xf>
    <xf numFmtId="171" fontId="0" fillId="0" borderId="0" xfId="3" applyNumberFormat="1" applyFont="1" applyProtection="1">
      <protection locked="0"/>
    </xf>
    <xf numFmtId="171" fontId="23" fillId="12" borderId="1" xfId="1" applyNumberFormat="1" applyFont="1" applyFill="1" applyBorder="1" applyAlignment="1" applyProtection="1">
      <alignment vertical="center" wrapText="1"/>
      <protection locked="0"/>
    </xf>
    <xf numFmtId="171" fontId="24" fillId="11" borderId="2" xfId="3" applyNumberFormat="1" applyFont="1" applyFill="1" applyBorder="1" applyAlignment="1" applyProtection="1">
      <alignment horizontal="center" vertical="center" wrapText="1"/>
      <protection locked="0"/>
    </xf>
    <xf numFmtId="44" fontId="1" fillId="0" borderId="1" xfId="1" applyFont="1" applyBorder="1" applyAlignment="1">
      <alignment horizontal="center" vertical="center"/>
    </xf>
    <xf numFmtId="44" fontId="1" fillId="0" borderId="3" xfId="1" applyFont="1" applyBorder="1" applyAlignment="1">
      <alignment horizontal="center" vertical="center"/>
    </xf>
    <xf numFmtId="44" fontId="1" fillId="0" borderId="6" xfId="1" applyFont="1" applyBorder="1" applyAlignment="1">
      <alignment horizontal="center" vertical="center"/>
    </xf>
    <xf numFmtId="0" fontId="25" fillId="3" borderId="1" xfId="0" applyFont="1" applyFill="1" applyBorder="1" applyAlignment="1" applyProtection="1">
      <alignment horizontal="center" vertical="center" wrapText="1"/>
      <protection locked="0"/>
    </xf>
    <xf numFmtId="0" fontId="27" fillId="0" borderId="19"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9" fillId="0" borderId="1" xfId="0" applyFont="1" applyBorder="1" applyAlignment="1" applyProtection="1">
      <alignment horizontal="left" vertical="center" wrapText="1"/>
      <protection locked="0"/>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3"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166" fontId="1" fillId="0" borderId="3" xfId="0" applyNumberFormat="1" applyFont="1" applyBorder="1" applyAlignment="1">
      <alignment horizontal="center" vertical="center" wrapText="1"/>
    </xf>
    <xf numFmtId="166" fontId="1" fillId="0" borderId="1" xfId="0" applyNumberFormat="1" applyFont="1" applyBorder="1" applyAlignment="1">
      <alignment horizontal="center" vertical="center" wrapText="1"/>
    </xf>
    <xf numFmtId="166" fontId="1" fillId="0" borderId="6" xfId="0" applyNumberFormat="1" applyFont="1" applyBorder="1" applyAlignment="1">
      <alignment horizontal="center" vertical="center" wrapText="1"/>
    </xf>
    <xf numFmtId="2" fontId="1" fillId="0" borderId="3" xfId="0" applyNumberFormat="1" applyFont="1" applyBorder="1" applyAlignment="1">
      <alignment horizontal="center" vertical="center"/>
    </xf>
    <xf numFmtId="2" fontId="1" fillId="0" borderId="1" xfId="0" applyNumberFormat="1" applyFont="1" applyBorder="1" applyAlignment="1">
      <alignment horizontal="center" vertical="center"/>
    </xf>
    <xf numFmtId="2" fontId="1" fillId="0" borderId="6" xfId="0" applyNumberFormat="1" applyFont="1" applyBorder="1" applyAlignment="1">
      <alignment horizontal="center" vertical="center"/>
    </xf>
    <xf numFmtId="44" fontId="1" fillId="0" borderId="3" xfId="1" applyFont="1" applyFill="1" applyBorder="1" applyAlignment="1" applyProtection="1">
      <alignment horizontal="center" vertical="center"/>
    </xf>
    <xf numFmtId="44" fontId="1" fillId="0" borderId="1" xfId="1" applyFont="1" applyFill="1" applyBorder="1" applyAlignment="1" applyProtection="1">
      <alignment horizontal="center" vertical="center"/>
    </xf>
    <xf numFmtId="44" fontId="1" fillId="0" borderId="6" xfId="1" applyFont="1" applyFill="1" applyBorder="1" applyAlignment="1" applyProtection="1">
      <alignment horizontal="center" vertical="center"/>
    </xf>
    <xf numFmtId="0" fontId="2" fillId="0" borderId="19" xfId="0" applyFont="1" applyBorder="1" applyAlignment="1">
      <alignment horizontal="center" vertical="center"/>
    </xf>
    <xf numFmtId="0" fontId="1" fillId="0" borderId="22" xfId="0" applyFont="1" applyBorder="1" applyAlignment="1" applyProtection="1">
      <alignment horizontal="center" vertical="center"/>
      <protection locked="0"/>
    </xf>
    <xf numFmtId="0" fontId="1" fillId="0" borderId="21" xfId="0" applyFont="1" applyBorder="1" applyAlignment="1">
      <alignment horizontal="center" vertical="center"/>
    </xf>
    <xf numFmtId="0" fontId="1" fillId="0" borderId="19" xfId="0" applyFont="1" applyBorder="1" applyAlignment="1" applyProtection="1">
      <alignment horizontal="center" vertical="center" wrapText="1"/>
      <protection locked="0"/>
    </xf>
    <xf numFmtId="166" fontId="1" fillId="0" borderId="19" xfId="0" applyNumberFormat="1" applyFont="1" applyBorder="1" applyAlignment="1">
      <alignment horizontal="center" vertical="center" wrapText="1"/>
    </xf>
    <xf numFmtId="2" fontId="1" fillId="0" borderId="19" xfId="0" applyNumberFormat="1" applyFont="1" applyBorder="1" applyAlignment="1">
      <alignment horizontal="center" vertical="center"/>
    </xf>
    <xf numFmtId="44" fontId="1" fillId="0" borderId="19" xfId="1" applyFont="1" applyFill="1" applyBorder="1" applyAlignment="1" applyProtection="1">
      <alignment horizontal="center" vertical="center"/>
    </xf>
    <xf numFmtId="0" fontId="1" fillId="0" borderId="4" xfId="0" applyFont="1" applyBorder="1" applyAlignment="1" applyProtection="1">
      <alignment horizontal="left" vertical="center" wrapText="1"/>
      <protection locked="0"/>
    </xf>
    <xf numFmtId="0" fontId="1" fillId="0" borderId="5" xfId="0" applyFont="1" applyBorder="1" applyAlignment="1" applyProtection="1">
      <alignment horizontal="left" vertical="center"/>
      <protection locked="0"/>
    </xf>
    <xf numFmtId="0" fontId="1" fillId="0" borderId="7" xfId="0" applyFont="1" applyBorder="1" applyAlignment="1" applyProtection="1">
      <alignment horizontal="left" vertical="center"/>
      <protection locked="0"/>
    </xf>
    <xf numFmtId="0" fontId="1"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2" fillId="5" borderId="12" xfId="0" applyFont="1" applyFill="1" applyBorder="1" applyAlignment="1" applyProtection="1">
      <alignment horizontal="center" vertical="center" wrapText="1"/>
      <protection locked="0"/>
    </xf>
    <xf numFmtId="0" fontId="12" fillId="5" borderId="13" xfId="0" applyFont="1" applyFill="1" applyBorder="1" applyAlignment="1" applyProtection="1">
      <alignment horizontal="center" vertical="center" wrapText="1"/>
      <protection locked="0"/>
    </xf>
    <xf numFmtId="0" fontId="13" fillId="7" borderId="2" xfId="0" applyFont="1" applyFill="1" applyBorder="1" applyAlignment="1" applyProtection="1">
      <alignment horizontal="center" vertical="center" wrapText="1"/>
      <protection locked="0"/>
    </xf>
    <xf numFmtId="0" fontId="13" fillId="7" borderId="8" xfId="0" applyFont="1" applyFill="1" applyBorder="1" applyAlignment="1" applyProtection="1">
      <alignment horizontal="center" vertical="center" wrapText="1"/>
      <protection locked="0"/>
    </xf>
    <xf numFmtId="170" fontId="1" fillId="0" borderId="19" xfId="0" applyNumberFormat="1" applyFont="1" applyBorder="1" applyAlignment="1" applyProtection="1">
      <alignment horizontal="center" vertical="center" wrapText="1"/>
      <protection locked="0"/>
    </xf>
    <xf numFmtId="170" fontId="1" fillId="0" borderId="1" xfId="0" applyNumberFormat="1" applyFont="1" applyBorder="1" applyAlignment="1" applyProtection="1">
      <alignment horizontal="center" vertical="center" wrapText="1"/>
      <protection locked="0"/>
    </xf>
    <xf numFmtId="170" fontId="1" fillId="0" borderId="6" xfId="0" applyNumberFormat="1" applyFont="1" applyBorder="1" applyAlignment="1" applyProtection="1">
      <alignment horizontal="center" vertical="center" wrapText="1"/>
      <protection locked="0"/>
    </xf>
    <xf numFmtId="0" fontId="13" fillId="0" borderId="19"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6" fillId="0" borderId="22"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1" fillId="3" borderId="21" xfId="0" applyFont="1" applyFill="1" applyBorder="1" applyAlignment="1" applyProtection="1">
      <alignment horizontal="center" vertical="center" wrapText="1"/>
      <protection locked="0"/>
    </xf>
    <xf numFmtId="0" fontId="1" fillId="3" borderId="10" xfId="0" applyFont="1" applyFill="1" applyBorder="1" applyAlignment="1" applyProtection="1">
      <alignment horizontal="center" vertical="center" wrapText="1"/>
      <protection locked="0"/>
    </xf>
    <xf numFmtId="0" fontId="1" fillId="3" borderId="11" xfId="0" applyFont="1" applyFill="1" applyBorder="1" applyAlignment="1" applyProtection="1">
      <alignment horizontal="center" vertical="center" wrapText="1"/>
      <protection locked="0"/>
    </xf>
    <xf numFmtId="0" fontId="1" fillId="3" borderId="19" xfId="0"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3" borderId="6" xfId="0" applyFont="1" applyFill="1" applyBorder="1" applyAlignment="1">
      <alignment horizontal="left" vertical="center" wrapText="1"/>
    </xf>
    <xf numFmtId="0" fontId="1" fillId="3" borderId="19"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wrapText="1"/>
      <protection locked="0"/>
    </xf>
    <xf numFmtId="3" fontId="1" fillId="3" borderId="19" xfId="0" applyNumberFormat="1" applyFont="1" applyFill="1" applyBorder="1" applyAlignment="1" applyProtection="1">
      <alignment horizontal="center" vertical="center" wrapText="1"/>
      <protection locked="0"/>
    </xf>
    <xf numFmtId="1" fontId="1" fillId="0" borderId="19"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1" fontId="1" fillId="0" borderId="6" xfId="0" applyNumberFormat="1" applyFont="1" applyBorder="1" applyAlignment="1">
      <alignment horizontal="center" vertical="center" wrapText="1"/>
    </xf>
    <xf numFmtId="170" fontId="1" fillId="0" borderId="3" xfId="0" applyNumberFormat="1" applyFont="1" applyBorder="1" applyAlignment="1" applyProtection="1">
      <alignment horizontal="center" vertical="center" wrapText="1"/>
      <protection locked="0"/>
    </xf>
    <xf numFmtId="0" fontId="13" fillId="0" borderId="3" xfId="0" applyFont="1" applyBorder="1" applyAlignment="1">
      <alignment horizontal="center" vertical="center"/>
    </xf>
    <xf numFmtId="0" fontId="6" fillId="0" borderId="4" xfId="0" applyFont="1" applyBorder="1" applyAlignment="1" applyProtection="1">
      <alignment horizontal="center" vertical="center"/>
      <protection locked="0"/>
    </xf>
    <xf numFmtId="0" fontId="1" fillId="3" borderId="9" xfId="0" applyFont="1" applyFill="1" applyBorder="1" applyAlignment="1" applyProtection="1">
      <alignment horizontal="center" vertical="center" wrapText="1"/>
      <protection locked="0"/>
    </xf>
    <xf numFmtId="0" fontId="1" fillId="3" borderId="3" xfId="0" applyFont="1" applyFill="1" applyBorder="1" applyAlignment="1">
      <alignment horizontal="left" vertical="center" wrapText="1"/>
    </xf>
    <xf numFmtId="0" fontId="1" fillId="3" borderId="3" xfId="0" applyFont="1" applyFill="1" applyBorder="1" applyAlignment="1" applyProtection="1">
      <alignment horizontal="center" vertical="center" wrapText="1"/>
      <protection locked="0"/>
    </xf>
    <xf numFmtId="3" fontId="1" fillId="3" borderId="3" xfId="0" applyNumberFormat="1" applyFont="1" applyFill="1" applyBorder="1" applyAlignment="1" applyProtection="1">
      <alignment horizontal="center" vertical="center" wrapText="1"/>
      <protection locked="0"/>
    </xf>
    <xf numFmtId="1" fontId="1" fillId="0" borderId="3" xfId="0" applyNumberFormat="1" applyFont="1" applyBorder="1" applyAlignment="1">
      <alignment horizontal="center" vertical="center" wrapText="1"/>
    </xf>
    <xf numFmtId="0" fontId="6" fillId="0" borderId="4" xfId="0" applyFont="1" applyBorder="1" applyAlignment="1" applyProtection="1">
      <alignment horizontal="center" vertical="center" wrapText="1"/>
      <protection locked="0"/>
    </xf>
    <xf numFmtId="0" fontId="13" fillId="5" borderId="16" xfId="0" applyFont="1" applyFill="1" applyBorder="1" applyAlignment="1" applyProtection="1">
      <alignment horizontal="center" vertical="center" wrapText="1"/>
      <protection locked="0"/>
    </xf>
    <xf numFmtId="0" fontId="13" fillId="5" borderId="17" xfId="0" applyFont="1" applyFill="1" applyBorder="1" applyAlignment="1" applyProtection="1">
      <alignment horizontal="center" vertical="center" wrapText="1"/>
      <protection locked="0"/>
    </xf>
    <xf numFmtId="0" fontId="20" fillId="0" borderId="3" xfId="0" applyFont="1" applyBorder="1" applyAlignment="1">
      <alignment horizontal="center" vertical="center"/>
    </xf>
    <xf numFmtId="0" fontId="20" fillId="0" borderId="1" xfId="0" applyFont="1" applyBorder="1" applyAlignment="1">
      <alignment horizontal="center" vertical="center"/>
    </xf>
    <xf numFmtId="0" fontId="20" fillId="0" borderId="6" xfId="0" applyFont="1" applyBorder="1" applyAlignment="1">
      <alignment horizontal="center" vertical="center"/>
    </xf>
    <xf numFmtId="14" fontId="2" fillId="8" borderId="12" xfId="0" applyNumberFormat="1" applyFont="1" applyFill="1" applyBorder="1" applyAlignment="1" applyProtection="1">
      <alignment horizontal="center" vertical="center" wrapText="1"/>
      <protection locked="0"/>
    </xf>
    <xf numFmtId="14" fontId="2" fillId="8" borderId="14" xfId="0" applyNumberFormat="1" applyFont="1" applyFill="1" applyBorder="1" applyAlignment="1" applyProtection="1">
      <alignment horizontal="center" vertical="center" wrapText="1"/>
      <protection locked="0"/>
    </xf>
    <xf numFmtId="0" fontId="2" fillId="8" borderId="2" xfId="0" applyFont="1" applyFill="1" applyBorder="1" applyAlignment="1" applyProtection="1">
      <alignment horizontal="center" vertical="center" wrapText="1"/>
      <protection locked="0"/>
    </xf>
    <xf numFmtId="0" fontId="2" fillId="8" borderId="8" xfId="0" applyFont="1" applyFill="1" applyBorder="1" applyAlignment="1" applyProtection="1">
      <alignment horizontal="center" vertical="center" wrapText="1"/>
      <protection locked="0"/>
    </xf>
    <xf numFmtId="0" fontId="2" fillId="8" borderId="1" xfId="0" applyFont="1" applyFill="1" applyBorder="1" applyAlignment="1" applyProtection="1">
      <alignment horizontal="center" vertical="center" wrapText="1"/>
      <protection locked="0"/>
    </xf>
    <xf numFmtId="170" fontId="2" fillId="0" borderId="3" xfId="0" applyNumberFormat="1" applyFont="1" applyBorder="1" applyAlignment="1" applyProtection="1">
      <alignment horizontal="center" vertical="center" wrapText="1"/>
      <protection locked="0"/>
    </xf>
    <xf numFmtId="170" fontId="2" fillId="0" borderId="1" xfId="0" applyNumberFormat="1" applyFont="1" applyBorder="1" applyAlignment="1" applyProtection="1">
      <alignment horizontal="center" vertical="center" wrapText="1"/>
      <protection locked="0"/>
    </xf>
    <xf numFmtId="170" fontId="2" fillId="0" borderId="6" xfId="0" applyNumberFormat="1" applyFont="1" applyBorder="1" applyAlignment="1" applyProtection="1">
      <alignment horizontal="center"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19" fillId="3" borderId="3" xfId="0"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9" fillId="3" borderId="6" xfId="0" applyFont="1" applyFill="1" applyBorder="1" applyAlignment="1" applyProtection="1">
      <alignment horizontal="center" vertical="center" wrapText="1"/>
      <protection locked="0"/>
    </xf>
    <xf numFmtId="3" fontId="19" fillId="3" borderId="3" xfId="0" applyNumberFormat="1" applyFont="1" applyFill="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1" fontId="19" fillId="0" borderId="3" xfId="0" applyNumberFormat="1" applyFont="1" applyBorder="1" applyAlignment="1">
      <alignment horizontal="center" vertical="center" wrapText="1"/>
    </xf>
    <xf numFmtId="1" fontId="19" fillId="0" borderId="1" xfId="0" applyNumberFormat="1" applyFont="1" applyBorder="1" applyAlignment="1">
      <alignment horizontal="center" vertical="center" wrapText="1"/>
    </xf>
    <xf numFmtId="1" fontId="19" fillId="0" borderId="6" xfId="0" applyNumberFormat="1" applyFont="1" applyBorder="1" applyAlignment="1">
      <alignment horizontal="center" vertical="center" wrapText="1"/>
    </xf>
    <xf numFmtId="0" fontId="21" fillId="0" borderId="4" xfId="0" applyFont="1" applyBorder="1" applyAlignment="1" applyProtection="1">
      <alignment horizontal="left" vertical="center" wrapText="1"/>
      <protection locked="0"/>
    </xf>
    <xf numFmtId="0" fontId="21" fillId="0" borderId="5" xfId="0" applyFont="1" applyBorder="1" applyAlignment="1" applyProtection="1">
      <alignment horizontal="left" vertical="center" wrapText="1"/>
      <protection locked="0"/>
    </xf>
    <xf numFmtId="0" fontId="21" fillId="0" borderId="7" xfId="0" applyFont="1" applyBorder="1" applyAlignment="1" applyProtection="1">
      <alignment horizontal="left" vertical="center" wrapText="1"/>
      <protection locked="0"/>
    </xf>
    <xf numFmtId="0" fontId="2" fillId="8" borderId="1"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8" borderId="8" xfId="0" applyFont="1" applyFill="1" applyBorder="1" applyAlignment="1">
      <alignment horizontal="center" vertical="center" wrapText="1"/>
    </xf>
    <xf numFmtId="0" fontId="13" fillId="2" borderId="1" xfId="0" applyFont="1" applyFill="1" applyBorder="1" applyAlignment="1" applyProtection="1">
      <alignment horizontal="center" vertical="center"/>
      <protection locked="0"/>
    </xf>
    <xf numFmtId="0" fontId="15" fillId="11" borderId="2" xfId="0" applyFont="1" applyFill="1" applyBorder="1" applyAlignment="1" applyProtection="1">
      <alignment horizontal="center" vertical="center" wrapText="1"/>
      <protection locked="0"/>
    </xf>
    <xf numFmtId="0" fontId="15" fillId="11" borderId="19" xfId="0" applyFont="1" applyFill="1" applyBorder="1" applyAlignment="1" applyProtection="1">
      <alignment horizontal="center" vertical="center" wrapText="1"/>
      <protection locked="0"/>
    </xf>
    <xf numFmtId="0" fontId="15" fillId="11" borderId="1" xfId="0" applyFont="1" applyFill="1" applyBorder="1" applyAlignment="1" applyProtection="1">
      <alignment horizontal="center" vertical="center" wrapText="1"/>
      <protection locked="0"/>
    </xf>
    <xf numFmtId="0" fontId="14" fillId="11" borderId="2" xfId="0" applyFont="1" applyFill="1" applyBorder="1" applyAlignment="1" applyProtection="1">
      <alignment horizontal="center" vertical="center" wrapText="1"/>
      <protection locked="0"/>
    </xf>
    <xf numFmtId="0" fontId="14" fillId="11" borderId="19" xfId="0" applyFont="1" applyFill="1" applyBorder="1" applyAlignment="1" applyProtection="1">
      <alignment horizontal="center" vertical="center" wrapText="1"/>
      <protection locked="0"/>
    </xf>
    <xf numFmtId="43" fontId="15" fillId="11" borderId="2" xfId="3" applyFont="1" applyFill="1" applyBorder="1" applyAlignment="1" applyProtection="1">
      <alignment horizontal="center" vertical="center" wrapText="1"/>
      <protection locked="0"/>
    </xf>
    <xf numFmtId="43" fontId="15" fillId="11" borderId="19" xfId="3" applyFont="1" applyFill="1" applyBorder="1" applyAlignment="1" applyProtection="1">
      <alignment horizontal="center" vertical="center" wrapText="1"/>
      <protection locked="0"/>
    </xf>
    <xf numFmtId="43" fontId="15" fillId="11" borderId="12" xfId="3" applyFont="1" applyFill="1" applyBorder="1" applyAlignment="1" applyProtection="1">
      <alignment horizontal="center" vertical="center" wrapText="1"/>
      <protection locked="0"/>
    </xf>
    <xf numFmtId="43" fontId="15" fillId="11" borderId="13" xfId="3" applyFont="1" applyFill="1" applyBorder="1" applyAlignment="1" applyProtection="1">
      <alignment horizontal="center" vertical="center" wrapText="1"/>
      <protection locked="0"/>
    </xf>
    <xf numFmtId="43" fontId="15" fillId="11" borderId="14" xfId="3" applyFont="1" applyFill="1" applyBorder="1" applyAlignment="1" applyProtection="1">
      <alignment horizontal="center" vertical="center" wrapText="1"/>
      <protection locked="0"/>
    </xf>
    <xf numFmtId="0" fontId="1" fillId="0" borderId="27" xfId="0" applyFont="1" applyBorder="1" applyAlignment="1" applyProtection="1">
      <alignment horizontal="left" vertical="center" wrapText="1"/>
      <protection locked="0"/>
    </xf>
    <xf numFmtId="0" fontId="1" fillId="0" borderId="28" xfId="0" applyFont="1" applyBorder="1" applyAlignment="1" applyProtection="1">
      <alignment horizontal="left" vertical="center" wrapText="1"/>
      <protection locked="0"/>
    </xf>
    <xf numFmtId="0" fontId="1" fillId="0" borderId="29" xfId="0" applyFont="1" applyBorder="1" applyAlignment="1" applyProtection="1">
      <alignment horizontal="left" vertical="center" wrapText="1"/>
      <protection locked="0"/>
    </xf>
  </cellXfs>
  <cellStyles count="4">
    <cellStyle name="Millares" xfId="3" builtinId="3"/>
    <cellStyle name="Moneda" xfId="1" builtinId="4"/>
    <cellStyle name="Normal" xfId="0" builtinId="0"/>
    <cellStyle name="Porcentaje" xfId="2" builtinId="5"/>
  </cellStyles>
  <dxfs count="225">
    <dxf>
      <fill>
        <patternFill>
          <bgColor theme="0" tint="-0.24994659260841701"/>
        </patternFill>
      </fill>
    </dxf>
    <dxf>
      <fill>
        <patternFill>
          <bgColor theme="0" tint="-0.24994659260841701"/>
        </patternFill>
      </fill>
    </dxf>
    <dxf>
      <fill>
        <patternFill>
          <bgColor theme="0" tint="-0.24994659260841701"/>
        </patternFill>
      </fill>
    </dxf>
    <dxf>
      <fill>
        <patternFill>
          <bgColor theme="2" tint="-0.24994659260841701"/>
        </patternFill>
      </fill>
    </dxf>
    <dxf>
      <fill>
        <patternFill>
          <bgColor rgb="FF00B0F0"/>
        </patternFill>
      </fill>
    </dxf>
    <dxf>
      <fill>
        <patternFill>
          <bgColor theme="2" tint="-0.24994659260841701"/>
        </patternFill>
      </fill>
    </dxf>
    <dxf>
      <font>
        <color rgb="FF9C0006"/>
      </font>
      <fill>
        <patternFill>
          <bgColor rgb="FFFFC7CE"/>
        </patternFill>
      </fill>
    </dxf>
    <dxf>
      <fill>
        <patternFill>
          <bgColor theme="2"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0.24994659260841701"/>
        </patternFill>
      </fill>
    </dxf>
    <dxf>
      <fill>
        <patternFill>
          <bgColor theme="2" tint="-0.24994659260841701"/>
        </patternFill>
      </fill>
    </dxf>
    <dxf>
      <fill>
        <patternFill>
          <bgColor theme="2"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0.24994659260841701"/>
        </patternFill>
      </fill>
    </dxf>
    <dxf>
      <fill>
        <patternFill>
          <bgColor rgb="FF00B0F0"/>
        </patternFill>
      </fill>
    </dxf>
    <dxf>
      <fill>
        <patternFill>
          <bgColor theme="2" tint="-0.24994659260841701"/>
        </patternFill>
      </fill>
    </dxf>
    <dxf>
      <fill>
        <patternFill>
          <fgColor auto="1"/>
          <bgColor theme="2" tint="-0.24994659260841701"/>
        </patternFill>
      </fill>
    </dxf>
    <dxf>
      <fill>
        <patternFill>
          <bgColor rgb="FF00B0F0"/>
        </patternFill>
      </fill>
    </dxf>
    <dxf>
      <fill>
        <patternFill>
          <fgColor auto="1"/>
          <bgColor theme="2"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fgColor auto="1"/>
          <bgColor theme="2" tint="-0.24994659260841701"/>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ill>
        <patternFill>
          <fgColor auto="1"/>
          <bgColor theme="2" tint="-0.24994659260841701"/>
        </patternFill>
      </fill>
    </dxf>
    <dxf>
      <fill>
        <patternFill>
          <bgColor rgb="FFFFCCFF"/>
        </patternFill>
      </fill>
    </dxf>
    <dxf>
      <fill>
        <patternFill>
          <bgColor rgb="FFFF99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CAMILO ANDRES VELASCO TRIANA" id="{E1572A20-16F3-46A4-B092-DE4D4C6E056F}" userId="S::cvelasco@educacionbogota.gov.co::3c2f51c6-002c-434e-ac87-7df6e9e6a41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Y1" dT="2024-10-09T15:05:45.69" personId="{E1572A20-16F3-46A4-B092-DE4D4C6E056F}" id="{5939C287-3190-4943-AACF-9080395F9AB7}">
    <text>Pagina 40 del pliego de condiciones</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28683-5D19-46AA-AE29-39D3543CFA63}">
  <sheetPr codeName="Hoja1"/>
  <dimension ref="A1:AD105"/>
  <sheetViews>
    <sheetView tabSelected="1" topLeftCell="S1" zoomScale="85" zoomScaleNormal="85" workbookViewId="0">
      <pane ySplit="1" topLeftCell="A90" activePane="bottomLeft" state="frozen"/>
      <selection activeCell="A2" sqref="A2"/>
      <selection pane="bottomLeft" activeCell="W100" sqref="W100"/>
    </sheetView>
  </sheetViews>
  <sheetFormatPr baseColWidth="10" defaultColWidth="11.44140625" defaultRowHeight="10.8" x14ac:dyDescent="0.3"/>
  <cols>
    <col min="1" max="1" width="11.44140625" style="42"/>
    <col min="2" max="2" width="23.44140625" style="42" bestFit="1" customWidth="1"/>
    <col min="3" max="3" width="26.6640625" style="42" customWidth="1"/>
    <col min="4" max="4" width="13.33203125" style="42" customWidth="1"/>
    <col min="5" max="5" width="17.6640625" style="42" bestFit="1" customWidth="1"/>
    <col min="6" max="6" width="11.44140625" style="42"/>
    <col min="7" max="7" width="19.109375" style="42" bestFit="1" customWidth="1"/>
    <col min="8" max="8" width="53.88671875" style="42" customWidth="1"/>
    <col min="9" max="9" width="59.6640625" style="42" bestFit="1" customWidth="1"/>
    <col min="10" max="10" width="20.44140625" style="42" customWidth="1"/>
    <col min="11" max="11" width="14.109375" style="42" bestFit="1" customWidth="1"/>
    <col min="12" max="13" width="11.44140625" style="42"/>
    <col min="14" max="14" width="17.44140625" style="42" customWidth="1"/>
    <col min="15" max="15" width="12.5546875" style="42" bestFit="1" customWidth="1"/>
    <col min="16" max="16" width="17.88671875" style="42" bestFit="1" customWidth="1"/>
    <col min="17" max="17" width="14.109375" style="42" customWidth="1"/>
    <col min="18" max="18" width="11.44140625" style="42"/>
    <col min="19" max="19" width="20.88671875" style="42" customWidth="1"/>
    <col min="20" max="20" width="15" style="42" customWidth="1"/>
    <col min="21" max="21" width="13.109375" style="42" customWidth="1"/>
    <col min="22" max="22" width="13.5546875" style="42" customWidth="1"/>
    <col min="23" max="23" width="61.88671875" style="1" customWidth="1"/>
    <col min="24" max="24" width="70" style="42" bestFit="1" customWidth="1"/>
    <col min="25" max="25" width="20.109375" style="42" customWidth="1"/>
    <col min="26" max="26" width="15.5546875" style="42" customWidth="1"/>
    <col min="27" max="27" width="19.33203125" style="42" bestFit="1" customWidth="1"/>
    <col min="28" max="28" width="20.44140625" style="42" customWidth="1"/>
    <col min="29" max="29" width="17.5546875" style="42" customWidth="1"/>
    <col min="30" max="30" width="32.109375" style="42" customWidth="1"/>
    <col min="31" max="16384" width="11.44140625" style="42"/>
  </cols>
  <sheetData>
    <row r="1" spans="1:30" s="1" customFormat="1" ht="96.75" customHeight="1" thickBot="1" x14ac:dyDescent="0.35">
      <c r="A1" s="2" t="s">
        <v>0</v>
      </c>
      <c r="B1" s="2" t="s">
        <v>1</v>
      </c>
      <c r="C1" s="2" t="s">
        <v>2</v>
      </c>
      <c r="D1" s="2" t="s">
        <v>3</v>
      </c>
      <c r="E1" s="2" t="s">
        <v>4</v>
      </c>
      <c r="F1" s="2" t="s">
        <v>5</v>
      </c>
      <c r="G1" s="2" t="s">
        <v>6</v>
      </c>
      <c r="H1" s="2" t="s">
        <v>7</v>
      </c>
      <c r="I1" s="2" t="s">
        <v>8</v>
      </c>
      <c r="J1" s="2" t="s">
        <v>9</v>
      </c>
      <c r="K1" s="2" t="s">
        <v>10</v>
      </c>
      <c r="L1" s="4" t="s">
        <v>11</v>
      </c>
      <c r="M1" s="4" t="s">
        <v>12</v>
      </c>
      <c r="N1" s="4" t="s">
        <v>13</v>
      </c>
      <c r="O1" s="2" t="s">
        <v>14</v>
      </c>
      <c r="P1" s="2" t="s">
        <v>15</v>
      </c>
      <c r="Q1" s="2" t="s">
        <v>16</v>
      </c>
      <c r="R1" s="13" t="s">
        <v>17</v>
      </c>
      <c r="S1" s="2" t="s">
        <v>18</v>
      </c>
      <c r="T1" s="2" t="s">
        <v>19</v>
      </c>
      <c r="U1" s="2" t="s">
        <v>20</v>
      </c>
      <c r="V1" s="2" t="s">
        <v>21</v>
      </c>
      <c r="W1" s="2" t="s">
        <v>22</v>
      </c>
      <c r="X1" s="2" t="s">
        <v>23</v>
      </c>
      <c r="Y1" s="2" t="s">
        <v>24</v>
      </c>
      <c r="Z1" s="2" t="s">
        <v>25</v>
      </c>
      <c r="AA1" s="2" t="s">
        <v>26</v>
      </c>
      <c r="AB1" s="2" t="s">
        <v>27</v>
      </c>
      <c r="AC1" s="2" t="s">
        <v>28</v>
      </c>
      <c r="AD1" s="2" t="s">
        <v>29</v>
      </c>
    </row>
    <row r="2" spans="1:30" ht="138" customHeight="1" x14ac:dyDescent="0.3">
      <c r="A2" s="149">
        <v>1</v>
      </c>
      <c r="B2" s="152" t="s">
        <v>30</v>
      </c>
      <c r="C2" s="83" t="str">
        <f>B2</f>
        <v>ARES SECURITY LTDA: NIT 900.599.147-1</v>
      </c>
      <c r="D2" s="7">
        <v>1</v>
      </c>
      <c r="E2" s="155">
        <f>Listados!$M$3</f>
        <v>1351954266</v>
      </c>
      <c r="F2" s="158">
        <f>E2/Listados!$C$32</f>
        <v>1039.9648199999999</v>
      </c>
      <c r="G2" s="17">
        <v>1</v>
      </c>
      <c r="H2" s="10" t="s">
        <v>31</v>
      </c>
      <c r="I2" s="17" t="s">
        <v>30</v>
      </c>
      <c r="J2" s="17" t="s">
        <v>32</v>
      </c>
      <c r="K2" s="7">
        <v>1</v>
      </c>
      <c r="L2" s="82">
        <v>43101</v>
      </c>
      <c r="M2" s="82">
        <v>43465</v>
      </c>
      <c r="N2" s="18" t="str">
        <f>IF(M2&lt;&gt;"",IF(M2&gt;Listados!$O$4,"NO CUMPLE","CUMPLE"),"")</f>
        <v>CUMPLE</v>
      </c>
      <c r="O2" s="11"/>
      <c r="P2" s="43" t="str">
        <f>IF(O2&gt;0,K2*O2,"")</f>
        <v/>
      </c>
      <c r="Q2" s="16" t="str">
        <f>IFERROR((P2/_xlfn.XLOOKUP(YEAR(M2),Listados!$B$3:$B$32,Listados!$C$3:$C$32)),"")</f>
        <v/>
      </c>
      <c r="R2" s="44">
        <v>578.53</v>
      </c>
      <c r="S2" s="19" t="str">
        <f>IF(V2="CUMPLE",IFERROR(R2*Listados!$C$32,"0"),"")</f>
        <v/>
      </c>
      <c r="T2" s="20">
        <v>801015</v>
      </c>
      <c r="U2" s="17">
        <v>3</v>
      </c>
      <c r="V2" s="18" t="str">
        <f>IF(COUNTBLANK(J2)+COUNTBLANK(N2)+COUNTBLANK(T2)=3,"",IF(COUNTIF(J2,"CUMPLE")+COUNTIF(N2,"CUMPLE")+COUNTIF(T2,"801015")+COUNTIF(T2,"801016")+COUNTIF(T2,"841116")=3,IF(W2="","CUMPLE","NO CUMPLE"),"NO CUMPLE"))</f>
        <v>NO CUMPLE</v>
      </c>
      <c r="W2" s="118" t="s">
        <v>33</v>
      </c>
      <c r="X2" s="18" t="str">
        <f t="shared" ref="X2:X33" si="0">IF(C2&lt;&gt;"",C2,"")</f>
        <v>ARES SECURITY LTDA: NIT 900.599.147-1</v>
      </c>
      <c r="Y2" s="19">
        <f>+IF(X2&lt;&gt;"",(SUMIFS($S2:$S9,$I2:$I9,C2,$V2:$V9,"CUMPLE")),"")</f>
        <v>0</v>
      </c>
      <c r="Z2" s="21" t="str">
        <f>IF(D2&gt;0,(IF(Y2&gt;=($D2*E$2),"CUMPLE","NO CUMPLE")),"")</f>
        <v>NO CUMPLE</v>
      </c>
      <c r="AA2" s="161">
        <f>IF(C2&gt;0,SUMIFS(Y2:Y9,Z2:Z9,"CUMPLE"),"")</f>
        <v>0</v>
      </c>
      <c r="AB2" s="17"/>
      <c r="AC2" s="143" t="str">
        <f>IF(B2="","",IF(COUNTIF(Z2:Z9,"NO CUMPLE")&gt;0,"NO CUMPLE",IF(E2&gt;AA2,"NO CUMPLE",IF(AA2="","","CUMPLE"))))</f>
        <v>NO CUMPLE</v>
      </c>
      <c r="AD2" s="171" t="s">
        <v>34</v>
      </c>
    </row>
    <row r="3" spans="1:30" ht="125.25" customHeight="1" x14ac:dyDescent="0.3">
      <c r="A3" s="150"/>
      <c r="B3" s="153"/>
      <c r="C3" s="84"/>
      <c r="D3" s="9"/>
      <c r="E3" s="156"/>
      <c r="F3" s="159"/>
      <c r="G3" s="24">
        <v>2</v>
      </c>
      <c r="H3" s="8" t="s">
        <v>35</v>
      </c>
      <c r="I3" s="24" t="s">
        <v>30</v>
      </c>
      <c r="J3" s="24" t="s">
        <v>32</v>
      </c>
      <c r="K3" s="9">
        <v>1</v>
      </c>
      <c r="L3" s="47">
        <v>43101</v>
      </c>
      <c r="M3" s="47">
        <v>43465</v>
      </c>
      <c r="N3" s="26" t="str">
        <f>IF(M3&lt;&gt;"",IF(M3&gt;Listados!$O$4,"NO CUMPLE","CUMPLE"),"")</f>
        <v>CUMPLE</v>
      </c>
      <c r="O3" s="12"/>
      <c r="P3" s="45" t="str">
        <f t="shared" ref="P3:P9" si="1">IF(O3&gt;0,K3*O3,"")</f>
        <v/>
      </c>
      <c r="Q3" s="23" t="str">
        <f>IFERROR((P3/_xlfn.XLOOKUP(YEAR(M3),Listados!$B$3:$B$32,Listados!$C$3:$C$32)),"")</f>
        <v/>
      </c>
      <c r="R3" s="46">
        <v>380.65</v>
      </c>
      <c r="S3" s="27" t="str">
        <f>IF(V3="CUMPLE",IFERROR(R3*Listados!$C$32,"0"),"")</f>
        <v/>
      </c>
      <c r="T3" s="28">
        <v>801015</v>
      </c>
      <c r="U3" s="24">
        <v>4</v>
      </c>
      <c r="V3" s="26" t="str">
        <f t="shared" ref="V3:V9" si="2">IF(COUNTBLANK(J3)+COUNTBLANK(N3)+COUNTBLANK(T3)=3,"",IF(COUNTIF(J3,"CUMPLE")+COUNTIF(N3,"CUMPLE")+COUNTIF(T3,"801015")+COUNTIF(T3,"801016")+COUNTIF(T3,"841116")=3,IF(W3="","CUMPLE","NO CUMPLE"),"NO CUMPLE"))</f>
        <v>NO CUMPLE</v>
      </c>
      <c r="W3" s="115" t="s">
        <v>33</v>
      </c>
      <c r="X3" s="26" t="str">
        <f t="shared" si="0"/>
        <v/>
      </c>
      <c r="Y3" s="19" t="str">
        <f>+IF(X3&lt;&gt;"",(SUMIFS($S2:$S9,$I2:$I9,C3,$V2:$V9,"CUMPLE")),"")</f>
        <v/>
      </c>
      <c r="Z3" s="29" t="str">
        <f t="shared" ref="Z3:Z33" si="3">IF(D3&gt;0,(IF(Y3&gt;=($D3*E$2),"CUMPLE","NO CUMPLE")),"")</f>
        <v/>
      </c>
      <c r="AA3" s="162"/>
      <c r="AB3" s="24"/>
      <c r="AC3" s="144"/>
      <c r="AD3" s="172"/>
    </row>
    <row r="4" spans="1:30" ht="132.75" customHeight="1" x14ac:dyDescent="0.3">
      <c r="A4" s="150"/>
      <c r="B4" s="153"/>
      <c r="C4" s="14"/>
      <c r="D4" s="30"/>
      <c r="E4" s="156"/>
      <c r="F4" s="159"/>
      <c r="G4" s="24">
        <v>3</v>
      </c>
      <c r="H4" s="8" t="s">
        <v>36</v>
      </c>
      <c r="I4" s="24" t="s">
        <v>30</v>
      </c>
      <c r="J4" s="24" t="s">
        <v>32</v>
      </c>
      <c r="K4" s="9">
        <v>1</v>
      </c>
      <c r="L4" s="47">
        <v>43101</v>
      </c>
      <c r="M4" s="47">
        <v>45291</v>
      </c>
      <c r="N4" s="26" t="str">
        <f>IF(M4&lt;&gt;"",IF(M4&gt;Listados!$O$4,"NO CUMPLE","CUMPLE"),"")</f>
        <v>CUMPLE</v>
      </c>
      <c r="O4" s="12"/>
      <c r="P4" s="45" t="str">
        <f t="shared" si="1"/>
        <v/>
      </c>
      <c r="Q4" s="23" t="str">
        <f>IFERROR((P4/_xlfn.XLOOKUP(YEAR(M4),Listados!$B$3:$B$32,Listados!$C$3:$C$32)),"")</f>
        <v/>
      </c>
      <c r="R4" s="46">
        <v>294.36</v>
      </c>
      <c r="S4" s="27" t="str">
        <f>IF(V4="CUMPLE",IFERROR(R4*Listados!$C$32,"0"),"")</f>
        <v/>
      </c>
      <c r="T4" s="28">
        <v>801015</v>
      </c>
      <c r="U4" s="24">
        <v>13</v>
      </c>
      <c r="V4" s="26" t="str">
        <f t="shared" si="2"/>
        <v>NO CUMPLE</v>
      </c>
      <c r="W4" s="142" t="s">
        <v>33</v>
      </c>
      <c r="X4" s="26" t="str">
        <f t="shared" si="0"/>
        <v/>
      </c>
      <c r="Y4" s="27" t="str">
        <f>+IF(X4&lt;&gt;"",(SUMIFS($S2:$S9,$I2:$I9,C4,$V2:$V9,"CUMPLE")),"")</f>
        <v/>
      </c>
      <c r="Z4" s="29" t="str">
        <f t="shared" si="3"/>
        <v/>
      </c>
      <c r="AA4" s="162"/>
      <c r="AB4" s="24"/>
      <c r="AC4" s="144"/>
      <c r="AD4" s="172"/>
    </row>
    <row r="5" spans="1:30" ht="128.25" customHeight="1" x14ac:dyDescent="0.3">
      <c r="A5" s="150"/>
      <c r="B5" s="153"/>
      <c r="C5" s="24"/>
      <c r="D5" s="30"/>
      <c r="E5" s="156"/>
      <c r="F5" s="159"/>
      <c r="G5" s="24">
        <v>4</v>
      </c>
      <c r="H5" s="8" t="s">
        <v>37</v>
      </c>
      <c r="I5" s="24" t="s">
        <v>30</v>
      </c>
      <c r="J5" s="24" t="s">
        <v>32</v>
      </c>
      <c r="K5" s="9">
        <v>1</v>
      </c>
      <c r="L5" s="47">
        <v>44927</v>
      </c>
      <c r="M5" s="47">
        <v>45291</v>
      </c>
      <c r="N5" s="26" t="str">
        <f>IF(M5&lt;&gt;"",IF(M5&gt;Listados!$O$4,"NO CUMPLE","CUMPLE"),"")</f>
        <v>CUMPLE</v>
      </c>
      <c r="O5" s="12"/>
      <c r="P5" s="45" t="str">
        <f>IF(O5&gt;0,K5*O5,"")</f>
        <v/>
      </c>
      <c r="Q5" s="23" t="str">
        <f>IFERROR((P5/_xlfn.XLOOKUP(YEAR(M5),Listados!$B$3:$B$32,Listados!$C$3:$C$32)),"")</f>
        <v/>
      </c>
      <c r="R5" s="46">
        <v>254.5</v>
      </c>
      <c r="S5" s="27" t="str">
        <f>IF(V5="CUMPLE",IFERROR(R5*Listados!$C$32,"0"),"")</f>
        <v/>
      </c>
      <c r="T5" s="28">
        <v>801015</v>
      </c>
      <c r="U5" s="24">
        <v>16</v>
      </c>
      <c r="V5" s="26" t="str">
        <f t="shared" si="2"/>
        <v>NO CUMPLE</v>
      </c>
      <c r="W5" s="115" t="s">
        <v>33</v>
      </c>
      <c r="X5" s="26" t="str">
        <f t="shared" si="0"/>
        <v/>
      </c>
      <c r="Y5" s="27" t="str">
        <f>+IF(X5&lt;&gt;"",(SUMIFS($S2:$S9,$I2:$I9,C5,$V2:$V9,"CUMPLE")),"")</f>
        <v/>
      </c>
      <c r="Z5" s="29" t="str">
        <f t="shared" si="3"/>
        <v/>
      </c>
      <c r="AA5" s="162"/>
      <c r="AB5" s="24"/>
      <c r="AC5" s="144"/>
      <c r="AD5" s="172"/>
    </row>
    <row r="6" spans="1:30" ht="135.75" customHeight="1" x14ac:dyDescent="0.3">
      <c r="A6" s="150"/>
      <c r="B6" s="153"/>
      <c r="C6" s="24"/>
      <c r="D6" s="30"/>
      <c r="E6" s="156"/>
      <c r="F6" s="159"/>
      <c r="G6" s="24">
        <v>5</v>
      </c>
      <c r="H6" s="24" t="s">
        <v>38</v>
      </c>
      <c r="I6" s="24" t="s">
        <v>30</v>
      </c>
      <c r="J6" s="24" t="s">
        <v>32</v>
      </c>
      <c r="K6" s="30">
        <v>1</v>
      </c>
      <c r="L6" s="47">
        <v>44927</v>
      </c>
      <c r="M6" s="47">
        <v>45291</v>
      </c>
      <c r="N6" s="26" t="str">
        <f>IF(M6&lt;&gt;"",IF(M6&gt;Listados!$O$4,"NO CUMPLE","CUMPLE"),"")</f>
        <v>CUMPLE</v>
      </c>
      <c r="O6" s="48"/>
      <c r="P6" s="45" t="str">
        <f>IF(O6&gt;0,K6*O6,"")</f>
        <v/>
      </c>
      <c r="Q6" s="23" t="str">
        <f>IFERROR((P6/_xlfn.XLOOKUP(YEAR(M6),Listados!$B$3:$B$32,Listados!$C$3:$C$32)),"")</f>
        <v/>
      </c>
      <c r="R6" s="46">
        <v>86.2</v>
      </c>
      <c r="S6" s="27" t="str">
        <f>IF(V6="CUMPLE",IFERROR(R6*Listados!$C$32,"0"),"")</f>
        <v/>
      </c>
      <c r="T6" s="28">
        <v>801015</v>
      </c>
      <c r="U6" s="24">
        <v>20</v>
      </c>
      <c r="V6" s="26" t="str">
        <f t="shared" si="2"/>
        <v>NO CUMPLE</v>
      </c>
      <c r="W6" s="115" t="s">
        <v>33</v>
      </c>
      <c r="X6" s="26" t="str">
        <f t="shared" si="0"/>
        <v/>
      </c>
      <c r="Y6" s="27" t="str">
        <f>+IF(X6&lt;&gt;"",(SUMIFS($S2:$S9,$I2:$I9,C6,$V2:$V9,"CUMPLE")),"")</f>
        <v/>
      </c>
      <c r="Z6" s="29" t="str">
        <f t="shared" si="3"/>
        <v/>
      </c>
      <c r="AA6" s="162"/>
      <c r="AB6" s="24"/>
      <c r="AC6" s="144"/>
      <c r="AD6" s="172"/>
    </row>
    <row r="7" spans="1:30" ht="126.75" customHeight="1" x14ac:dyDescent="0.3">
      <c r="A7" s="150"/>
      <c r="B7" s="153"/>
      <c r="C7" s="24"/>
      <c r="D7" s="30"/>
      <c r="E7" s="156"/>
      <c r="F7" s="159"/>
      <c r="G7" s="24">
        <v>6</v>
      </c>
      <c r="H7" s="8" t="s">
        <v>39</v>
      </c>
      <c r="I7" s="24" t="s">
        <v>30</v>
      </c>
      <c r="J7" s="24" t="s">
        <v>32</v>
      </c>
      <c r="K7" s="30">
        <v>1</v>
      </c>
      <c r="L7" s="47">
        <v>44927</v>
      </c>
      <c r="M7" s="47">
        <v>45291</v>
      </c>
      <c r="N7" s="26" t="str">
        <f>IF(M7&lt;&gt;"",IF(M7&gt;Listados!$O$4,"NO CUMPLE","CUMPLE"),"")</f>
        <v>CUMPLE</v>
      </c>
      <c r="O7" s="48"/>
      <c r="P7" s="45" t="str">
        <f t="shared" si="1"/>
        <v/>
      </c>
      <c r="Q7" s="23" t="str">
        <f>IFERROR((P7/_xlfn.XLOOKUP(YEAR(M7),Listados!$B$3:$B$32,Listados!$C$3:$C$32)),"")</f>
        <v/>
      </c>
      <c r="R7" s="46">
        <v>44.7</v>
      </c>
      <c r="S7" s="27" t="str">
        <f>IF(V7="CUMPLE",IFERROR(R7*Listados!$C$32,"0"),"")</f>
        <v/>
      </c>
      <c r="T7" s="28">
        <v>801015</v>
      </c>
      <c r="U7" s="24">
        <v>18</v>
      </c>
      <c r="V7" s="26" t="str">
        <f t="shared" si="2"/>
        <v>NO CUMPLE</v>
      </c>
      <c r="W7" s="115" t="s">
        <v>33</v>
      </c>
      <c r="X7" s="26" t="str">
        <f t="shared" si="0"/>
        <v/>
      </c>
      <c r="Y7" s="27" t="str">
        <f>+IF(X7&lt;&gt;"",(SUMIFS($S2:$S9,$I2:$I9,C7,$V2:$V9,"CUMPLE")),"")</f>
        <v/>
      </c>
      <c r="Z7" s="29" t="str">
        <f t="shared" si="3"/>
        <v/>
      </c>
      <c r="AA7" s="162"/>
      <c r="AB7" s="24"/>
      <c r="AC7" s="144"/>
      <c r="AD7" s="172"/>
    </row>
    <row r="8" spans="1:30" x14ac:dyDescent="0.3">
      <c r="A8" s="150"/>
      <c r="B8" s="153"/>
      <c r="C8" s="24"/>
      <c r="D8" s="30"/>
      <c r="E8" s="156"/>
      <c r="F8" s="159"/>
      <c r="G8" s="24"/>
      <c r="H8" s="24"/>
      <c r="I8" s="24"/>
      <c r="J8" s="24"/>
      <c r="K8" s="30"/>
      <c r="L8" s="47"/>
      <c r="M8" s="47"/>
      <c r="N8" s="26" t="str">
        <f>IF(M8&lt;&gt;"",IF(M8&gt;Listados!$O$4,"NO CUMPLE","CUMPLE"),"")</f>
        <v/>
      </c>
      <c r="O8" s="48"/>
      <c r="P8" s="45" t="str">
        <f t="shared" si="1"/>
        <v/>
      </c>
      <c r="Q8" s="23" t="str">
        <f>IFERROR((P8/_xlfn.XLOOKUP(YEAR(M8),Listados!$B$3:$B$32,Listados!$C$3:$C$32)),"")</f>
        <v/>
      </c>
      <c r="R8" s="46"/>
      <c r="S8" s="27" t="str">
        <f>IF(V8="CUMPLE",IFERROR(R8*Listados!$C$32,"0"),"")</f>
        <v/>
      </c>
      <c r="T8" s="28"/>
      <c r="U8" s="24"/>
      <c r="V8" s="26" t="str">
        <f t="shared" si="2"/>
        <v/>
      </c>
      <c r="W8" s="115"/>
      <c r="X8" s="26" t="str">
        <f t="shared" si="0"/>
        <v/>
      </c>
      <c r="Y8" s="27" t="str">
        <f>+IF(X8&lt;&gt;"",(SUMIFS($S2:$S9,$I2:$I9,C8,$V2:$V9,"CUMPLE")),"")</f>
        <v/>
      </c>
      <c r="Z8" s="29" t="str">
        <f t="shared" si="3"/>
        <v/>
      </c>
      <c r="AA8" s="162"/>
      <c r="AB8" s="24"/>
      <c r="AC8" s="144"/>
      <c r="AD8" s="172"/>
    </row>
    <row r="9" spans="1:30" ht="11.4" thickBot="1" x14ac:dyDescent="0.35">
      <c r="A9" s="151"/>
      <c r="B9" s="154"/>
      <c r="C9" s="34"/>
      <c r="D9" s="32"/>
      <c r="E9" s="157"/>
      <c r="F9" s="160"/>
      <c r="G9" s="34"/>
      <c r="H9" s="34"/>
      <c r="I9" s="34"/>
      <c r="J9" s="34"/>
      <c r="K9" s="32"/>
      <c r="L9" s="49"/>
      <c r="M9" s="49"/>
      <c r="N9" s="35" t="str">
        <f>IF(M9&lt;&gt;"",IF(M9&gt;Listados!$O$4,"NO CUMPLE","CUMPLE"),"")</f>
        <v/>
      </c>
      <c r="O9" s="50"/>
      <c r="P9" s="51" t="str">
        <f t="shared" si="1"/>
        <v/>
      </c>
      <c r="Q9" s="33" t="str">
        <f>IFERROR((P9/_xlfn.XLOOKUP(YEAR(M9),Listados!$B$3:$B$32,Listados!$C$3:$C$32)),"")</f>
        <v/>
      </c>
      <c r="R9" s="52"/>
      <c r="S9" s="36" t="str">
        <f>IF(V9="CUMPLE",IFERROR(R9*Listados!$C$32,"0"),"")</f>
        <v/>
      </c>
      <c r="T9" s="37"/>
      <c r="U9" s="34"/>
      <c r="V9" s="35" t="str">
        <f t="shared" si="2"/>
        <v/>
      </c>
      <c r="W9" s="116"/>
      <c r="X9" s="35" t="str">
        <f t="shared" si="0"/>
        <v/>
      </c>
      <c r="Y9" s="36" t="str">
        <f>+IF(X9&lt;&gt;"",(SUMIFS($S2:$S9,$I2:$I9,C9,$V2:$V9,"CUMPLE")),"")</f>
        <v/>
      </c>
      <c r="Z9" s="38" t="str">
        <f t="shared" si="3"/>
        <v/>
      </c>
      <c r="AA9" s="163"/>
      <c r="AB9" s="34"/>
      <c r="AC9" s="145"/>
      <c r="AD9" s="173"/>
    </row>
    <row r="10" spans="1:30" ht="181.2" customHeight="1" x14ac:dyDescent="0.3">
      <c r="A10" s="166">
        <v>2</v>
      </c>
      <c r="B10" s="167" t="s">
        <v>40</v>
      </c>
      <c r="C10" s="102" t="str">
        <f>B10</f>
        <v>GERMAN MONTENEGRO FAJARDO AUDITORES &amp; ASESORES S.A.S. BIC 900.335.334-8</v>
      </c>
      <c r="D10" s="103">
        <v>1</v>
      </c>
      <c r="E10" s="168">
        <f>Listados!$M$3</f>
        <v>1351954266</v>
      </c>
      <c r="F10" s="169">
        <f>E10/Listados!$C$32</f>
        <v>1039.9648199999999</v>
      </c>
      <c r="G10" s="105">
        <v>1</v>
      </c>
      <c r="H10" s="140" t="s">
        <v>41</v>
      </c>
      <c r="I10" s="105" t="s">
        <v>40</v>
      </c>
      <c r="J10" s="105" t="s">
        <v>42</v>
      </c>
      <c r="K10" s="103">
        <v>1</v>
      </c>
      <c r="L10" s="106">
        <v>41701</v>
      </c>
      <c r="M10" s="106">
        <v>42075</v>
      </c>
      <c r="N10" s="107" t="str">
        <f>IF(M10&lt;&gt;"",IF(M10&gt;Listados!$O$4,"NO CUMPLE","CUMPLE"),"")</f>
        <v>CUMPLE</v>
      </c>
      <c r="O10" s="108">
        <f>476771238</f>
        <v>476771238</v>
      </c>
      <c r="P10" s="109">
        <f>IF(O10&gt;0,K10*O10,"")</f>
        <v>476771238</v>
      </c>
      <c r="Q10" s="104">
        <f>IFERROR((P10/_xlfn.XLOOKUP(YEAR(M10),Listados!$B$3:$B$32,Listados!$C$3:$C$32)),"")</f>
        <v>739.9258756886785</v>
      </c>
      <c r="R10" s="110">
        <v>739.93</v>
      </c>
      <c r="S10" s="111">
        <f>IF(V10="CUMPLE",IFERROR(R10*Listados!$C$32,"0"),"")</f>
        <v>961908999.99999988</v>
      </c>
      <c r="T10" s="112">
        <v>801015</v>
      </c>
      <c r="U10" s="105">
        <v>50</v>
      </c>
      <c r="V10" s="107" t="str">
        <f>IF(COUNTBLANK(J10)+COUNTBLANK(N10)+COUNTBLANK(T10)=3,"",IF(COUNTIF(J10,"CUMPLE")+COUNTIF(N10,"CUMPLE")+COUNTIF(T10,"801015")+COUNTIF(T10,"801016")+COUNTIF(T10,"841116")=3,IF(W10="","CUMPLE","NO CUMPLE"),"NO CUMPLE"))</f>
        <v>CUMPLE</v>
      </c>
      <c r="W10" s="117"/>
      <c r="X10" s="107" t="str">
        <f t="shared" si="0"/>
        <v>GERMAN MONTENEGRO FAJARDO AUDITORES &amp; ASESORES S.A.S. BIC 900.335.334-8</v>
      </c>
      <c r="Y10" s="137">
        <f>+IF(X10&lt;&gt;"",(SUMIFS($S10:$S17,$I10:$I17,C10,$V10:$V17,"CUMPLE")),"")</f>
        <v>3976882000</v>
      </c>
      <c r="Z10" s="113" t="str">
        <f t="shared" si="3"/>
        <v>CUMPLE</v>
      </c>
      <c r="AA10" s="170">
        <f>IF(C10&gt;0,SUMIFS(Y10:Y17,Z10:Z17,"CUMPLE"),"")</f>
        <v>3976882000</v>
      </c>
      <c r="AB10" s="105"/>
      <c r="AC10" s="164" t="str">
        <f>IF(B10="","",IF(COUNTIF(Z10:Z17,"NO CUMPLE")&gt;0,"NO CUMPLE",IF(E10&gt;AA10,"NO CUMPLE",IF(AA10="","","CUMPLE"))))</f>
        <v>CUMPLE</v>
      </c>
      <c r="AD10" s="165"/>
    </row>
    <row r="11" spans="1:30" ht="88.2" customHeight="1" x14ac:dyDescent="0.3">
      <c r="A11" s="150"/>
      <c r="B11" s="153"/>
      <c r="C11" s="84"/>
      <c r="D11" s="9"/>
      <c r="E11" s="156"/>
      <c r="F11" s="159"/>
      <c r="G11" s="24">
        <v>2</v>
      </c>
      <c r="H11" s="8" t="s">
        <v>43</v>
      </c>
      <c r="I11" s="24" t="str">
        <f>C10</f>
        <v>GERMAN MONTENEGRO FAJARDO AUDITORES &amp; ASESORES S.A.S. BIC 900.335.334-8</v>
      </c>
      <c r="J11" s="24" t="s">
        <v>42</v>
      </c>
      <c r="K11" s="9">
        <v>1</v>
      </c>
      <c r="L11" s="47">
        <v>42853</v>
      </c>
      <c r="M11" s="47">
        <v>43084</v>
      </c>
      <c r="N11" s="26" t="str">
        <f>IF(M11&lt;&gt;"",IF(M11&gt;Listados!$O$4,"NO CUMPLE","CUMPLE"),"")</f>
        <v>CUMPLE</v>
      </c>
      <c r="O11" s="12">
        <v>448000000</v>
      </c>
      <c r="P11" s="45">
        <f t="shared" ref="P11:P17" si="4">IF(O11&gt;0,K11*O11,"")</f>
        <v>448000000</v>
      </c>
      <c r="Q11" s="23">
        <f>IFERROR((P11/_xlfn.XLOOKUP(YEAR(M11),Listados!$B$3:$B$32,Listados!$C$3:$C$32)),"")</f>
        <v>607.27894300931121</v>
      </c>
      <c r="R11" s="46">
        <v>607.27</v>
      </c>
      <c r="S11" s="27">
        <f>IF(V11="CUMPLE",IFERROR(R11*Listados!$C$32,"0"),"")</f>
        <v>789451000</v>
      </c>
      <c r="T11" s="28">
        <v>801015</v>
      </c>
      <c r="U11" s="24">
        <v>112</v>
      </c>
      <c r="V11" s="26" t="str">
        <f t="shared" ref="V11:V17" si="5">IF(COUNTBLANK(J11)+COUNTBLANK(N11)+COUNTBLANK(T11)=3,"",IF(COUNTIF(J11,"CUMPLE")+COUNTIF(N11,"CUMPLE")+COUNTIF(T11,"801015")+COUNTIF(T11,"801016")+COUNTIF(T11,"841116")=3,IF(W11="","CUMPLE","NO CUMPLE"),"NO CUMPLE"))</f>
        <v>CUMPLE</v>
      </c>
      <c r="W11" s="115"/>
      <c r="X11" s="26" t="str">
        <f t="shared" si="0"/>
        <v/>
      </c>
      <c r="Y11" s="137" t="str">
        <f>+IF(X11&lt;&gt;"",(SUMIFS($S10:$S17,$I10:$I17,C11,$V10:$V17,"CUMPLE")),"")</f>
        <v/>
      </c>
      <c r="Z11" s="29" t="str">
        <f>IF(D11&gt;0,(IF(Y11&gt;=($D11*E$2),"CUMPLE","NO CUMPLE")),"")</f>
        <v/>
      </c>
      <c r="AA11" s="162"/>
      <c r="AB11" s="24"/>
      <c r="AC11" s="144"/>
      <c r="AD11" s="147"/>
    </row>
    <row r="12" spans="1:30" ht="81" customHeight="1" x14ac:dyDescent="0.3">
      <c r="A12" s="150"/>
      <c r="B12" s="153"/>
      <c r="C12" s="14"/>
      <c r="D12" s="30"/>
      <c r="E12" s="156"/>
      <c r="F12" s="159"/>
      <c r="G12" s="24">
        <v>3</v>
      </c>
      <c r="H12" s="8" t="s">
        <v>44</v>
      </c>
      <c r="I12" s="24" t="s">
        <v>40</v>
      </c>
      <c r="J12" s="24" t="s">
        <v>42</v>
      </c>
      <c r="K12" s="9">
        <v>1</v>
      </c>
      <c r="L12" s="47">
        <v>43126</v>
      </c>
      <c r="M12" s="47">
        <v>43434</v>
      </c>
      <c r="N12" s="26" t="str">
        <f>IF(M12&lt;&gt;"",IF(M12&gt;Listados!$O$4,"NO CUMPLE","CUMPLE"),"")</f>
        <v>CUMPLE</v>
      </c>
      <c r="O12" s="12">
        <v>665000000</v>
      </c>
      <c r="P12" s="45">
        <f t="shared" si="4"/>
        <v>665000000</v>
      </c>
      <c r="Q12" s="23">
        <f>IFERROR((P12/_xlfn.XLOOKUP(YEAR(M12),Listados!$B$3:$B$32,Listados!$C$3:$C$32)),"")</f>
        <v>851.20871637725566</v>
      </c>
      <c r="R12" s="46">
        <v>851.2</v>
      </c>
      <c r="S12" s="27">
        <f>IF(V12="CUMPLE",IFERROR(R12*Listados!$C$32,"0"),"")</f>
        <v>1106560000</v>
      </c>
      <c r="T12" s="28">
        <v>801015</v>
      </c>
      <c r="U12" s="24">
        <v>124</v>
      </c>
      <c r="V12" s="26" t="str">
        <f t="shared" si="5"/>
        <v>CUMPLE</v>
      </c>
      <c r="W12" s="115"/>
      <c r="X12" s="26" t="str">
        <f t="shared" si="0"/>
        <v/>
      </c>
      <c r="Y12" s="27" t="str">
        <f>+IF(X12&lt;&gt;"",(SUMIFS($S10:$S17,$I10:$I17,C12,$V10:$V17,"CUMPLE")),"")</f>
        <v/>
      </c>
      <c r="Z12" s="29" t="str">
        <f t="shared" si="3"/>
        <v/>
      </c>
      <c r="AA12" s="162"/>
      <c r="AB12" s="24"/>
      <c r="AC12" s="144"/>
      <c r="AD12" s="147"/>
    </row>
    <row r="13" spans="1:30" ht="64.8" x14ac:dyDescent="0.3">
      <c r="A13" s="150"/>
      <c r="B13" s="153"/>
      <c r="C13" s="24"/>
      <c r="D13" s="30"/>
      <c r="E13" s="156"/>
      <c r="F13" s="159"/>
      <c r="G13" s="24">
        <v>4</v>
      </c>
      <c r="H13" s="8" t="s">
        <v>45</v>
      </c>
      <c r="I13" s="24" t="s">
        <v>40</v>
      </c>
      <c r="J13" s="24" t="s">
        <v>42</v>
      </c>
      <c r="K13" s="9">
        <v>1</v>
      </c>
      <c r="L13" s="47">
        <v>43479</v>
      </c>
      <c r="M13" s="47">
        <v>43801</v>
      </c>
      <c r="N13" s="26" t="str">
        <f>IF(M13&lt;&gt;"",IF(M13&gt;Listados!$O$4,"NO CUMPLE","CUMPLE"),"")</f>
        <v>CUMPLE</v>
      </c>
      <c r="O13" s="12">
        <v>712800000</v>
      </c>
      <c r="P13" s="45">
        <f t="shared" si="4"/>
        <v>712800000</v>
      </c>
      <c r="Q13" s="23">
        <f>IFERROR((P13/_xlfn.XLOOKUP(YEAR(M13),Listados!$B$3:$B$32,Listados!$C$3:$C$32)),"")</f>
        <v>860.74897719643138</v>
      </c>
      <c r="R13" s="46">
        <v>860.74</v>
      </c>
      <c r="S13" s="27">
        <f>IF(V13="CUMPLE",IFERROR(R13*Listados!$C$32,"0"),"")</f>
        <v>1118962000</v>
      </c>
      <c r="T13" s="28">
        <v>801015</v>
      </c>
      <c r="U13" s="24">
        <v>132</v>
      </c>
      <c r="V13" s="26" t="str">
        <f t="shared" si="5"/>
        <v>CUMPLE</v>
      </c>
      <c r="W13" s="115"/>
      <c r="X13" s="26" t="str">
        <f t="shared" si="0"/>
        <v/>
      </c>
      <c r="Y13" s="27" t="str">
        <f>+IF(X13&lt;&gt;"",(SUMIFS($S10:$S17,$I10:$I17,C13,$V10:$V17,"CUMPLE")),"")</f>
        <v/>
      </c>
      <c r="Z13" s="29" t="str">
        <f t="shared" si="3"/>
        <v/>
      </c>
      <c r="AA13" s="162"/>
      <c r="AB13" s="24"/>
      <c r="AC13" s="144"/>
      <c r="AD13" s="147"/>
    </row>
    <row r="14" spans="1:30" x14ac:dyDescent="0.3">
      <c r="A14" s="150"/>
      <c r="B14" s="153"/>
      <c r="C14" s="24"/>
      <c r="D14" s="30"/>
      <c r="E14" s="156"/>
      <c r="F14" s="159"/>
      <c r="G14" s="24"/>
      <c r="H14" s="24"/>
      <c r="I14" s="24"/>
      <c r="J14" s="24"/>
      <c r="K14" s="30"/>
      <c r="L14" s="47"/>
      <c r="M14" s="47"/>
      <c r="N14" s="26" t="str">
        <f>IF(M14&lt;&gt;"",IF(M14&gt;Listados!$O$4,"NO CUMPLE","CUMPLE"),"")</f>
        <v/>
      </c>
      <c r="O14" s="48"/>
      <c r="P14" s="45" t="str">
        <f t="shared" si="4"/>
        <v/>
      </c>
      <c r="Q14" s="23" t="str">
        <f>IFERROR((P14/_xlfn.XLOOKUP(YEAR(M14),Listados!$B$3:$B$32,Listados!$C$3:$C$32)),"")</f>
        <v/>
      </c>
      <c r="R14" s="46"/>
      <c r="S14" s="27" t="str">
        <f>IF(V14="CUMPLE",IFERROR(R14*Listados!$C$32,"0"),"")</f>
        <v/>
      </c>
      <c r="T14" s="28"/>
      <c r="U14" s="24"/>
      <c r="V14" s="26" t="str">
        <f t="shared" si="5"/>
        <v/>
      </c>
      <c r="W14" s="115"/>
      <c r="X14" s="26" t="str">
        <f t="shared" si="0"/>
        <v/>
      </c>
      <c r="Y14" s="27" t="str">
        <f>+IF(X14&lt;&gt;"",(SUMIFS($S10:$S17,$I10:$I17,C14,$V10:$V17,"CUMPLE")),"")</f>
        <v/>
      </c>
      <c r="Z14" s="29" t="str">
        <f t="shared" si="3"/>
        <v/>
      </c>
      <c r="AA14" s="162"/>
      <c r="AB14" s="24"/>
      <c r="AC14" s="144"/>
      <c r="AD14" s="147"/>
    </row>
    <row r="15" spans="1:30" x14ac:dyDescent="0.3">
      <c r="A15" s="150"/>
      <c r="B15" s="153"/>
      <c r="C15" s="24"/>
      <c r="D15" s="30"/>
      <c r="E15" s="156"/>
      <c r="F15" s="159"/>
      <c r="G15" s="24"/>
      <c r="H15" s="24"/>
      <c r="I15" s="24"/>
      <c r="J15" s="24"/>
      <c r="K15" s="30"/>
      <c r="L15" s="47"/>
      <c r="M15" s="47"/>
      <c r="N15" s="26" t="str">
        <f>IF(M15&lt;&gt;"",IF(M15&gt;Listados!$O$4,"NO CUMPLE","CUMPLE"),"")</f>
        <v/>
      </c>
      <c r="O15" s="48"/>
      <c r="P15" s="45" t="str">
        <f t="shared" si="4"/>
        <v/>
      </c>
      <c r="Q15" s="23" t="str">
        <f>IFERROR((P15/_xlfn.XLOOKUP(YEAR(M15),Listados!$B$3:$B$32,Listados!$C$3:$C$32)),"")</f>
        <v/>
      </c>
      <c r="R15" s="46"/>
      <c r="S15" s="27" t="str">
        <f>IF(V15="CUMPLE",IFERROR(R15*Listados!$C$32,"0"),"")</f>
        <v/>
      </c>
      <c r="T15" s="28"/>
      <c r="U15" s="24"/>
      <c r="V15" s="26" t="str">
        <f t="shared" si="5"/>
        <v/>
      </c>
      <c r="W15" s="115"/>
      <c r="X15" s="26" t="str">
        <f t="shared" si="0"/>
        <v/>
      </c>
      <c r="Y15" s="27" t="str">
        <f>+IF(X15&lt;&gt;"",(SUMIFS($S10:$S17,$I10:$I17,C15,$V10:$V17,"CUMPLE")),"")</f>
        <v/>
      </c>
      <c r="Z15" s="29" t="str">
        <f t="shared" si="3"/>
        <v/>
      </c>
      <c r="AA15" s="162"/>
      <c r="AB15" s="24"/>
      <c r="AC15" s="144"/>
      <c r="AD15" s="147"/>
    </row>
    <row r="16" spans="1:30" x14ac:dyDescent="0.3">
      <c r="A16" s="150"/>
      <c r="B16" s="153"/>
      <c r="C16" s="24"/>
      <c r="D16" s="30"/>
      <c r="E16" s="156"/>
      <c r="F16" s="159"/>
      <c r="G16" s="24"/>
      <c r="H16" s="24"/>
      <c r="I16" s="24"/>
      <c r="J16" s="24"/>
      <c r="K16" s="30"/>
      <c r="L16" s="47"/>
      <c r="M16" s="47"/>
      <c r="N16" s="26" t="str">
        <f>IF(M16&lt;&gt;"",IF(M16&gt;Listados!$O$4,"NO CUMPLE","CUMPLE"),"")</f>
        <v/>
      </c>
      <c r="O16" s="48"/>
      <c r="P16" s="45" t="str">
        <f t="shared" si="4"/>
        <v/>
      </c>
      <c r="Q16" s="23" t="str">
        <f>IFERROR((P16/_xlfn.XLOOKUP(YEAR(M16),Listados!$B$3:$B$32,Listados!$C$3:$C$32)),"")</f>
        <v/>
      </c>
      <c r="R16" s="46"/>
      <c r="S16" s="27" t="str">
        <f>IF(V16="CUMPLE",IFERROR(R16*Listados!$C$32,"0"),"")</f>
        <v/>
      </c>
      <c r="T16" s="28"/>
      <c r="U16" s="24"/>
      <c r="V16" s="26" t="str">
        <f t="shared" si="5"/>
        <v/>
      </c>
      <c r="W16" s="115"/>
      <c r="X16" s="26" t="str">
        <f t="shared" si="0"/>
        <v/>
      </c>
      <c r="Y16" s="27" t="str">
        <f>+IF(X16&lt;&gt;"",(SUMIFS($S10:$S17,$I10:$I17,C16,$V10:$V17,"CUMPLE")),"")</f>
        <v/>
      </c>
      <c r="Z16" s="29" t="str">
        <f t="shared" si="3"/>
        <v/>
      </c>
      <c r="AA16" s="162"/>
      <c r="AB16" s="24"/>
      <c r="AC16" s="144"/>
      <c r="AD16" s="147"/>
    </row>
    <row r="17" spans="1:30" ht="11.4" thickBot="1" x14ac:dyDescent="0.35">
      <c r="A17" s="151"/>
      <c r="B17" s="154"/>
      <c r="C17" s="34"/>
      <c r="D17" s="32"/>
      <c r="E17" s="157"/>
      <c r="F17" s="160"/>
      <c r="G17" s="34"/>
      <c r="H17" s="34"/>
      <c r="I17" s="34"/>
      <c r="J17" s="34"/>
      <c r="K17" s="32"/>
      <c r="L17" s="49"/>
      <c r="M17" s="49"/>
      <c r="N17" s="35" t="str">
        <f>IF(M17&lt;&gt;"",IF(M17&gt;Listados!$O$4,"NO CUMPLE","CUMPLE"),"")</f>
        <v/>
      </c>
      <c r="O17" s="50"/>
      <c r="P17" s="51" t="str">
        <f t="shared" si="4"/>
        <v/>
      </c>
      <c r="Q17" s="33" t="str">
        <f>IFERROR((P17/_xlfn.XLOOKUP(YEAR(M17),Listados!$B$3:$B$32,Listados!$C$3:$C$32)),"")</f>
        <v/>
      </c>
      <c r="R17" s="52"/>
      <c r="S17" s="36" t="str">
        <f>IF(V17="CUMPLE",IFERROR(R17*Listados!$C$32,"0"),"")</f>
        <v/>
      </c>
      <c r="T17" s="37"/>
      <c r="U17" s="34"/>
      <c r="V17" s="35" t="str">
        <f t="shared" si="5"/>
        <v/>
      </c>
      <c r="W17" s="116"/>
      <c r="X17" s="35" t="str">
        <f t="shared" si="0"/>
        <v/>
      </c>
      <c r="Y17" s="36" t="str">
        <f>+IF(X17&lt;&gt;"",(SUMIFS($S10:$S17,$I10:$I17,C17,$V10:$V17,"CUMPLE")),"")</f>
        <v/>
      </c>
      <c r="Z17" s="38" t="str">
        <f t="shared" si="3"/>
        <v/>
      </c>
      <c r="AA17" s="163"/>
      <c r="AB17" s="34"/>
      <c r="AC17" s="145"/>
      <c r="AD17" s="148"/>
    </row>
    <row r="18" spans="1:30" ht="32.4" x14ac:dyDescent="0.3">
      <c r="A18" s="149">
        <v>3</v>
      </c>
      <c r="B18" s="152" t="s">
        <v>46</v>
      </c>
      <c r="C18" s="83" t="str">
        <f>B18</f>
        <v>JFS CONSULTORES S.A.S. -BIC 901.542.814-2</v>
      </c>
      <c r="D18" s="7">
        <v>1</v>
      </c>
      <c r="E18" s="155">
        <f>Listados!$M$3</f>
        <v>1351954266</v>
      </c>
      <c r="F18" s="158">
        <f>E18/Listados!$C$32</f>
        <v>1039.9648199999999</v>
      </c>
      <c r="G18" s="17">
        <v>1</v>
      </c>
      <c r="H18" s="10" t="s">
        <v>47</v>
      </c>
      <c r="I18" s="17" t="s">
        <v>46</v>
      </c>
      <c r="J18" s="17" t="s">
        <v>42</v>
      </c>
      <c r="K18" s="7">
        <v>1</v>
      </c>
      <c r="L18" s="82">
        <v>43816</v>
      </c>
      <c r="M18" s="82">
        <v>44271</v>
      </c>
      <c r="N18" s="18" t="str">
        <f>IF(M18&lt;&gt;"",IF(M18&gt;Listados!$O$4,"NO CUMPLE","CUMPLE"),"")</f>
        <v>CUMPLE</v>
      </c>
      <c r="O18" s="11">
        <v>4638840000</v>
      </c>
      <c r="P18" s="43">
        <f>IF(O18&gt;0,K18*O18,"")</f>
        <v>4638840000</v>
      </c>
      <c r="Q18" s="16">
        <f>IFERROR((P18/_xlfn.XLOOKUP(YEAR(M18),Listados!$B$3:$B$32,Listados!$C$3:$C$32)),"")</f>
        <v>5105.8968042741762</v>
      </c>
      <c r="R18" s="44">
        <f>5105.89*0.22</f>
        <v>1123.2958000000001</v>
      </c>
      <c r="S18" s="19">
        <f>IF(V18="CUMPLE",IFERROR(R18*Listados!$C$32,"0"),"")</f>
        <v>1460284540.0000002</v>
      </c>
      <c r="T18" s="20">
        <v>801015</v>
      </c>
      <c r="U18" s="17">
        <v>84</v>
      </c>
      <c r="V18" s="18" t="str">
        <f>IF(COUNTBLANK(J18)+COUNTBLANK(N18)+COUNTBLANK(T18)=3,"",IF(COUNTIF(J18,"CUMPLE")+COUNTIF(N18,"CUMPLE")+COUNTIF(T18,"801015")+COUNTIF(T18,"801016")+COUNTIF(T18,"841116")=3,IF(W18="","CUMPLE","NO CUMPLE"),"NO CUMPLE"))</f>
        <v>CUMPLE</v>
      </c>
      <c r="W18" s="114"/>
      <c r="X18" s="18" t="str">
        <f t="shared" si="0"/>
        <v>JFS CONSULTORES S.A.S. -BIC 901.542.814-2</v>
      </c>
      <c r="Y18" s="19">
        <f>+IF(X18&lt;&gt;"",(SUMIFS($S18:$S25,$I18:$I25,C18,$V18:$V25,"CUMPLE")),"")</f>
        <v>1460284540.0000002</v>
      </c>
      <c r="Z18" s="21" t="str">
        <f t="shared" si="3"/>
        <v>CUMPLE</v>
      </c>
      <c r="AA18" s="161">
        <f>IF(C18&gt;0,SUMIFS(Y18:Y25,Z18:Z25,"CUMPLE"),"")</f>
        <v>1460284540.0000002</v>
      </c>
      <c r="AB18" s="17"/>
      <c r="AC18" s="143" t="str">
        <f>IF(B18="","",IF(COUNTIF(Z18:Z25,"NO CUMPLE")&gt;0,"NO CUMPLE",IF(E18&gt;AA18,"NO CUMPLE",IF(AA18="","","CUMPLE"))))</f>
        <v>CUMPLE</v>
      </c>
      <c r="AD18" s="146"/>
    </row>
    <row r="19" spans="1:30" x14ac:dyDescent="0.3">
      <c r="A19" s="150"/>
      <c r="B19" s="153"/>
      <c r="C19" s="84"/>
      <c r="D19" s="9"/>
      <c r="E19" s="156"/>
      <c r="F19" s="159"/>
      <c r="G19" s="24"/>
      <c r="H19" s="8"/>
      <c r="I19" s="24"/>
      <c r="J19" s="24"/>
      <c r="K19" s="9"/>
      <c r="L19" s="47"/>
      <c r="M19" s="47"/>
      <c r="N19" s="26" t="str">
        <f>IF(M19&lt;&gt;"",IF(M19&gt;Listados!$O$4,"NO CUMPLE","CUMPLE"),"")</f>
        <v/>
      </c>
      <c r="O19" s="12"/>
      <c r="P19" s="45" t="str">
        <f t="shared" ref="P19:P25" si="6">IF(O19&gt;0,K19*O19,"")</f>
        <v/>
      </c>
      <c r="Q19" s="23" t="str">
        <f>IFERROR((P19/_xlfn.XLOOKUP(YEAR(M19),Listados!$B$3:$B$32,Listados!$C$3:$C$32)),"")</f>
        <v/>
      </c>
      <c r="R19" s="46"/>
      <c r="S19" s="27" t="str">
        <f>IF(V19="CUMPLE",IFERROR(R19*Listados!$C$32,"0"),"")</f>
        <v/>
      </c>
      <c r="T19" s="28"/>
      <c r="U19" s="24"/>
      <c r="V19" s="26" t="str">
        <f t="shared" ref="V19:V25" si="7">IF(COUNTBLANK(J19)+COUNTBLANK(N19)+COUNTBLANK(T19)=3,"",IF(COUNTIF(J19,"CUMPLE")+COUNTIF(N19,"CUMPLE")+COUNTIF(T19,"801015")+COUNTIF(T19,"801016")+COUNTIF(T19,"841116")=3,IF(W19="","CUMPLE","NO CUMPLE"),"NO CUMPLE"))</f>
        <v/>
      </c>
      <c r="W19" s="115"/>
      <c r="X19" s="26" t="str">
        <f t="shared" si="0"/>
        <v/>
      </c>
      <c r="Y19" s="136" t="str">
        <f>+IF(X19&lt;&gt;"",(SUMIFS($S18:$S25,$I18:$I25,C19,$V18:$V25,"CUMPLE")),"")</f>
        <v/>
      </c>
      <c r="Z19" s="29" t="str">
        <f t="shared" si="3"/>
        <v/>
      </c>
      <c r="AA19" s="162"/>
      <c r="AB19" s="24"/>
      <c r="AC19" s="144"/>
      <c r="AD19" s="147"/>
    </row>
    <row r="20" spans="1:30" x14ac:dyDescent="0.3">
      <c r="A20" s="150"/>
      <c r="B20" s="153"/>
      <c r="C20" s="14"/>
      <c r="D20" s="30"/>
      <c r="E20" s="156"/>
      <c r="F20" s="159"/>
      <c r="G20" s="24"/>
      <c r="H20" s="8"/>
      <c r="I20" s="24"/>
      <c r="J20" s="24"/>
      <c r="K20" s="9"/>
      <c r="L20" s="47"/>
      <c r="M20" s="47"/>
      <c r="N20" s="26" t="str">
        <f>IF(M20&lt;&gt;"",IF(M20&gt;Listados!$O$4,"NO CUMPLE","CUMPLE"),"")</f>
        <v/>
      </c>
      <c r="O20" s="12"/>
      <c r="P20" s="45" t="str">
        <f t="shared" si="6"/>
        <v/>
      </c>
      <c r="Q20" s="23" t="str">
        <f>IFERROR((P20/_xlfn.XLOOKUP(YEAR(M20),Listados!$B$3:$B$32,Listados!$C$3:$C$32)),"")</f>
        <v/>
      </c>
      <c r="R20" s="46"/>
      <c r="S20" s="27" t="str">
        <f>IF(V20="CUMPLE",IFERROR(R20*Listados!$C$32,"0"),"")</f>
        <v/>
      </c>
      <c r="T20" s="28"/>
      <c r="U20" s="24"/>
      <c r="V20" s="26" t="str">
        <f t="shared" si="7"/>
        <v/>
      </c>
      <c r="W20" s="115"/>
      <c r="X20" s="26" t="str">
        <f t="shared" si="0"/>
        <v/>
      </c>
      <c r="Y20" s="27" t="str">
        <f>+IF(X20&lt;&gt;"",(SUMIFS($S18:$S25,$I18:$I25,C20,$V18:$V25,"CUMPLE")),"")</f>
        <v/>
      </c>
      <c r="Z20" s="29" t="str">
        <f t="shared" si="3"/>
        <v/>
      </c>
      <c r="AA20" s="162"/>
      <c r="AB20" s="24"/>
      <c r="AC20" s="144"/>
      <c r="AD20" s="147"/>
    </row>
    <row r="21" spans="1:30" x14ac:dyDescent="0.3">
      <c r="A21" s="150"/>
      <c r="B21" s="153"/>
      <c r="C21" s="24"/>
      <c r="D21" s="30"/>
      <c r="E21" s="156"/>
      <c r="F21" s="159"/>
      <c r="G21" s="24"/>
      <c r="H21" s="8"/>
      <c r="I21" s="24"/>
      <c r="J21" s="24"/>
      <c r="K21" s="9"/>
      <c r="L21" s="47"/>
      <c r="M21" s="47"/>
      <c r="N21" s="26" t="str">
        <f>IF(M21&lt;&gt;"",IF(M21&gt;Listados!$O$4,"NO CUMPLE","CUMPLE"),"")</f>
        <v/>
      </c>
      <c r="O21" s="12"/>
      <c r="P21" s="45" t="str">
        <f t="shared" si="6"/>
        <v/>
      </c>
      <c r="Q21" s="23" t="str">
        <f>IFERROR((P21/_xlfn.XLOOKUP(YEAR(M21),Listados!$B$3:$B$32,Listados!$C$3:$C$32)),"")</f>
        <v/>
      </c>
      <c r="R21" s="46"/>
      <c r="S21" s="27" t="str">
        <f>IF(V21="CUMPLE",IFERROR(R21*Listados!$C$32,"0"),"")</f>
        <v/>
      </c>
      <c r="T21" s="28"/>
      <c r="U21" s="24"/>
      <c r="V21" s="26" t="str">
        <f t="shared" si="7"/>
        <v/>
      </c>
      <c r="W21" s="115"/>
      <c r="X21" s="26" t="str">
        <f t="shared" si="0"/>
        <v/>
      </c>
      <c r="Y21" s="27" t="str">
        <f>+IF(X21&lt;&gt;"",(SUMIFS($S18:$S25,$I18:$I25,C21,$V18:$V25,"CUMPLE")),"")</f>
        <v/>
      </c>
      <c r="Z21" s="29" t="str">
        <f t="shared" si="3"/>
        <v/>
      </c>
      <c r="AA21" s="162"/>
      <c r="AB21" s="24"/>
      <c r="AC21" s="144"/>
      <c r="AD21" s="147"/>
    </row>
    <row r="22" spans="1:30" x14ac:dyDescent="0.3">
      <c r="A22" s="150"/>
      <c r="B22" s="153"/>
      <c r="C22" s="24"/>
      <c r="D22" s="30"/>
      <c r="E22" s="156"/>
      <c r="F22" s="159"/>
      <c r="G22" s="24"/>
      <c r="H22" s="24"/>
      <c r="I22" s="24"/>
      <c r="J22" s="24"/>
      <c r="K22" s="30"/>
      <c r="L22" s="47"/>
      <c r="M22" s="47"/>
      <c r="N22" s="26" t="str">
        <f>IF(M22&lt;&gt;"",IF(M22&gt;Listados!$O$4,"NO CUMPLE","CUMPLE"),"")</f>
        <v/>
      </c>
      <c r="O22" s="48"/>
      <c r="P22" s="45" t="str">
        <f t="shared" si="6"/>
        <v/>
      </c>
      <c r="Q22" s="23" t="str">
        <f>IFERROR((P22/_xlfn.XLOOKUP(YEAR(M22),Listados!$B$3:$B$32,Listados!$C$3:$C$32)),"")</f>
        <v/>
      </c>
      <c r="R22" s="46"/>
      <c r="S22" s="27" t="str">
        <f>IF(V22="CUMPLE",IFERROR(R22*Listados!$C$32,"0"),"")</f>
        <v/>
      </c>
      <c r="T22" s="28"/>
      <c r="U22" s="24"/>
      <c r="V22" s="26" t="str">
        <f t="shared" si="7"/>
        <v/>
      </c>
      <c r="W22" s="115"/>
      <c r="X22" s="26" t="str">
        <f t="shared" si="0"/>
        <v/>
      </c>
      <c r="Y22" s="27" t="str">
        <f>+IF(X22&lt;&gt;"",(SUMIFS($S18:$S25,$I18:$I25,C22,$V18:$V25,"CUMPLE")),"")</f>
        <v/>
      </c>
      <c r="Z22" s="29" t="str">
        <f t="shared" si="3"/>
        <v/>
      </c>
      <c r="AA22" s="162"/>
      <c r="AB22" s="24"/>
      <c r="AC22" s="144"/>
      <c r="AD22" s="147"/>
    </row>
    <row r="23" spans="1:30" x14ac:dyDescent="0.3">
      <c r="A23" s="150"/>
      <c r="B23" s="153"/>
      <c r="C23" s="24"/>
      <c r="D23" s="30"/>
      <c r="E23" s="156"/>
      <c r="F23" s="159"/>
      <c r="G23" s="24"/>
      <c r="H23" s="24"/>
      <c r="I23" s="24"/>
      <c r="J23" s="24"/>
      <c r="K23" s="30"/>
      <c r="L23" s="47"/>
      <c r="M23" s="47"/>
      <c r="N23" s="26" t="str">
        <f>IF(M23&lt;&gt;"",IF(M23&gt;Listados!$O$4,"NO CUMPLE","CUMPLE"),"")</f>
        <v/>
      </c>
      <c r="O23" s="48"/>
      <c r="P23" s="45" t="str">
        <f t="shared" si="6"/>
        <v/>
      </c>
      <c r="Q23" s="23" t="str">
        <f>IFERROR((P23/_xlfn.XLOOKUP(YEAR(M23),Listados!$B$3:$B$32,Listados!$C$3:$C$32)),"")</f>
        <v/>
      </c>
      <c r="R23" s="46"/>
      <c r="S23" s="27" t="str">
        <f>IF(V23="CUMPLE",IFERROR(R23*Listados!$C$32,"0"),"")</f>
        <v/>
      </c>
      <c r="T23" s="28"/>
      <c r="U23" s="24"/>
      <c r="V23" s="26" t="str">
        <f t="shared" si="7"/>
        <v/>
      </c>
      <c r="W23" s="115"/>
      <c r="X23" s="26" t="str">
        <f t="shared" si="0"/>
        <v/>
      </c>
      <c r="Y23" s="27" t="str">
        <f>+IF(X23&lt;&gt;"",(SUMIFS($S18:$S25,$I18:$I25,C23,$V18:$V25,"CUMPLE")),"")</f>
        <v/>
      </c>
      <c r="Z23" s="29" t="str">
        <f t="shared" si="3"/>
        <v/>
      </c>
      <c r="AA23" s="162"/>
      <c r="AB23" s="24"/>
      <c r="AC23" s="144"/>
      <c r="AD23" s="147"/>
    </row>
    <row r="24" spans="1:30" x14ac:dyDescent="0.3">
      <c r="A24" s="150"/>
      <c r="B24" s="153"/>
      <c r="C24" s="24"/>
      <c r="D24" s="30"/>
      <c r="E24" s="156"/>
      <c r="F24" s="159"/>
      <c r="G24" s="24"/>
      <c r="H24" s="24"/>
      <c r="I24" s="24"/>
      <c r="J24" s="24"/>
      <c r="K24" s="30"/>
      <c r="L24" s="47"/>
      <c r="M24" s="47"/>
      <c r="N24" s="26" t="str">
        <f>IF(M24&lt;&gt;"",IF(M24&gt;Listados!$O$4,"NO CUMPLE","CUMPLE"),"")</f>
        <v/>
      </c>
      <c r="O24" s="48"/>
      <c r="P24" s="45" t="str">
        <f t="shared" si="6"/>
        <v/>
      </c>
      <c r="Q24" s="23" t="str">
        <f>IFERROR((P24/_xlfn.XLOOKUP(YEAR(M24),Listados!$B$3:$B$32,Listados!$C$3:$C$32)),"")</f>
        <v/>
      </c>
      <c r="R24" s="46"/>
      <c r="S24" s="27" t="str">
        <f>IF(V24="CUMPLE",IFERROR(R24*Listados!$C$32,"0"),"")</f>
        <v/>
      </c>
      <c r="T24" s="28"/>
      <c r="U24" s="24"/>
      <c r="V24" s="26" t="str">
        <f t="shared" si="7"/>
        <v/>
      </c>
      <c r="W24" s="115"/>
      <c r="X24" s="26" t="str">
        <f t="shared" si="0"/>
        <v/>
      </c>
      <c r="Y24" s="27" t="str">
        <f>+IF(X24&lt;&gt;"",(SUMIFS($S18:$S25,$I18:$I25,C24,$V18:$V25,"CUMPLE")),"")</f>
        <v/>
      </c>
      <c r="Z24" s="29" t="str">
        <f t="shared" si="3"/>
        <v/>
      </c>
      <c r="AA24" s="162"/>
      <c r="AB24" s="24"/>
      <c r="AC24" s="144"/>
      <c r="AD24" s="147"/>
    </row>
    <row r="25" spans="1:30" ht="11.4" thickBot="1" x14ac:dyDescent="0.35">
      <c r="A25" s="151"/>
      <c r="B25" s="154"/>
      <c r="C25" s="34"/>
      <c r="D25" s="32"/>
      <c r="E25" s="157"/>
      <c r="F25" s="160"/>
      <c r="G25" s="34"/>
      <c r="H25" s="34"/>
      <c r="I25" s="34"/>
      <c r="J25" s="34"/>
      <c r="K25" s="32"/>
      <c r="L25" s="49"/>
      <c r="M25" s="49"/>
      <c r="N25" s="35" t="str">
        <f>IF(M25&lt;&gt;"",IF(M25&gt;Listados!$O$4,"NO CUMPLE","CUMPLE"),"")</f>
        <v/>
      </c>
      <c r="O25" s="50"/>
      <c r="P25" s="51" t="str">
        <f t="shared" si="6"/>
        <v/>
      </c>
      <c r="Q25" s="33" t="str">
        <f>IFERROR((P25/_xlfn.XLOOKUP(YEAR(M25),Listados!$B$3:$B$32,Listados!$C$3:$C$32)),"")</f>
        <v/>
      </c>
      <c r="R25" s="52"/>
      <c r="S25" s="36" t="str">
        <f>IF(V25="CUMPLE",IFERROR(R25*Listados!$C$32,"0"),"")</f>
        <v/>
      </c>
      <c r="T25" s="37"/>
      <c r="U25" s="34"/>
      <c r="V25" s="35" t="str">
        <f t="shared" si="7"/>
        <v/>
      </c>
      <c r="W25" s="116"/>
      <c r="X25" s="35" t="str">
        <f t="shared" si="0"/>
        <v/>
      </c>
      <c r="Y25" s="36" t="str">
        <f>+IF(X25&lt;&gt;"",(SUMIFS($S18:$S25,$I18:$I25,C25,$V18:$V25,"CUMPLE")),"")</f>
        <v/>
      </c>
      <c r="Z25" s="38" t="str">
        <f t="shared" si="3"/>
        <v/>
      </c>
      <c r="AA25" s="163"/>
      <c r="AB25" s="34"/>
      <c r="AC25" s="145"/>
      <c r="AD25" s="148"/>
    </row>
    <row r="26" spans="1:30" ht="75.599999999999994" x14ac:dyDescent="0.3">
      <c r="A26" s="149">
        <v>4</v>
      </c>
      <c r="B26" s="152" t="s">
        <v>48</v>
      </c>
      <c r="C26" s="83" t="str">
        <f>B26</f>
        <v>SCAIPROYEKTA S.A.S. BIC: NIT 901.476.977-1</v>
      </c>
      <c r="D26" s="7">
        <v>1</v>
      </c>
      <c r="E26" s="155">
        <f>Listados!$M$3</f>
        <v>1351954266</v>
      </c>
      <c r="F26" s="158">
        <f>E26/Listados!$C$32</f>
        <v>1039.9648199999999</v>
      </c>
      <c r="G26" s="17">
        <v>1</v>
      </c>
      <c r="H26" s="10" t="s">
        <v>49</v>
      </c>
      <c r="I26" s="17" t="s">
        <v>48</v>
      </c>
      <c r="J26" s="17" t="s">
        <v>42</v>
      </c>
      <c r="K26" s="7">
        <v>1</v>
      </c>
      <c r="L26" s="82">
        <v>43191</v>
      </c>
      <c r="M26" s="82">
        <v>43616</v>
      </c>
      <c r="N26" s="18" t="str">
        <f>IF(M26&lt;&gt;"",IF(M26&gt;Listados!$O$4,"NO CUMPLE","CUMPLE"),"")</f>
        <v>CUMPLE</v>
      </c>
      <c r="O26" s="11">
        <v>7043148265</v>
      </c>
      <c r="P26" s="43">
        <f>IF(O26&gt;0,K26*O26,"")</f>
        <v>7043148265</v>
      </c>
      <c r="Q26" s="16">
        <f>IFERROR((P26/_xlfn.XLOOKUP(YEAR(M26),Listados!$B$3:$B$32,Listados!$C$3:$C$32)),"")</f>
        <v>8505.0261859449638</v>
      </c>
      <c r="R26" s="44">
        <v>8505.02</v>
      </c>
      <c r="S26" s="19">
        <f>IF(V26="CUMPLE",IFERROR(R26*Listados!$C$32,"0"),"")</f>
        <v>11056526000</v>
      </c>
      <c r="T26" s="20">
        <v>801015</v>
      </c>
      <c r="U26" s="17">
        <v>84</v>
      </c>
      <c r="V26" s="18" t="str">
        <f>IF(COUNTBLANK(J26)+COUNTBLANK(N26)+COUNTBLANK(T26)=3,"",IF(COUNTIF(J26,"CUMPLE")+COUNTIF(N26,"CUMPLE")+COUNTIF(T26,"801015")+COUNTIF(T26,"801016")+COUNTIF(T26,"841116")=3,IF(W26="","CUMPLE","NO CUMPLE"),"NO CUMPLE"))</f>
        <v>CUMPLE</v>
      </c>
      <c r="W26" s="114"/>
      <c r="X26" s="18" t="str">
        <f t="shared" si="0"/>
        <v>SCAIPROYEKTA S.A.S. BIC: NIT 901.476.977-1</v>
      </c>
      <c r="Y26" s="19">
        <f>+IF(X26&lt;&gt;"",(SUMIFS($S26:$S33,$I26:$I33,C26,$V26:$V33,"CUMPLE")),"")</f>
        <v>24315083000</v>
      </c>
      <c r="Z26" s="21" t="str">
        <f>IF(D26&gt;0,(IF(Y26&gt;=($D26*E$2),"CUMPLE","NO CUMPLE")),"")</f>
        <v>CUMPLE</v>
      </c>
      <c r="AA26" s="161">
        <f>IF(C26&gt;0,SUMIFS(Y26:Y33,Z26:Z33,"CUMPLE"),"")</f>
        <v>24315083000</v>
      </c>
      <c r="AB26" s="17"/>
      <c r="AC26" s="143" t="str">
        <f>IF(B26="","",IF(COUNTIF(Z26:Z33,"NO CUMPLE")&gt;0,"NO CUMPLE",IF(E26&gt;AA26,"NO CUMPLE",IF(AA26="","","CUMPLE"))))</f>
        <v>CUMPLE</v>
      </c>
      <c r="AD26" s="146"/>
    </row>
    <row r="27" spans="1:30" ht="108.75" customHeight="1" x14ac:dyDescent="0.3">
      <c r="A27" s="150"/>
      <c r="B27" s="153"/>
      <c r="C27" s="84"/>
      <c r="D27" s="9"/>
      <c r="E27" s="156"/>
      <c r="F27" s="159"/>
      <c r="G27" s="24">
        <v>2</v>
      </c>
      <c r="H27" s="8" t="s">
        <v>50</v>
      </c>
      <c r="I27" s="24" t="s">
        <v>48</v>
      </c>
      <c r="J27" s="24" t="s">
        <v>42</v>
      </c>
      <c r="K27" s="9">
        <v>1</v>
      </c>
      <c r="L27" s="47">
        <v>42826</v>
      </c>
      <c r="M27" s="47">
        <v>43220</v>
      </c>
      <c r="N27" s="26" t="str">
        <f>IF(M27&lt;&gt;"",IF(M27&gt;Listados!$O$4,"NO CUMPLE","CUMPLE"),"")</f>
        <v>CUMPLE</v>
      </c>
      <c r="O27" s="12">
        <v>4407408950</v>
      </c>
      <c r="P27" s="45">
        <f t="shared" ref="P27:P33" si="8">IF(O27&gt;0,K27*O27,"")</f>
        <v>4407408950</v>
      </c>
      <c r="Q27" s="23">
        <f>IFERROR((P27/_xlfn.XLOOKUP(YEAR(M27),Listados!$B$3:$B$32,Listados!$C$3:$C$32)),"")</f>
        <v>5641.5412253821478</v>
      </c>
      <c r="R27" s="46">
        <v>5641.54</v>
      </c>
      <c r="S27" s="27">
        <f>IF(V27="CUMPLE",IFERROR(R27*Listados!$C$32,"0"),"")</f>
        <v>7334002000</v>
      </c>
      <c r="T27" s="28">
        <v>801015</v>
      </c>
      <c r="U27" s="24">
        <v>75</v>
      </c>
      <c r="V27" s="26" t="str">
        <f t="shared" ref="V27:V33" si="9">IF(COUNTBLANK(J27)+COUNTBLANK(N27)+COUNTBLANK(T27)=3,"",IF(COUNTIF(J27,"CUMPLE")+COUNTIF(N27,"CUMPLE")+COUNTIF(T27,"801015")+COUNTIF(T27,"801016")+COUNTIF(T27,"841116")=3,IF(W27="","CUMPLE","NO CUMPLE"),"NO CUMPLE"))</f>
        <v>CUMPLE</v>
      </c>
      <c r="W27" s="115"/>
      <c r="X27" s="26" t="str">
        <f t="shared" si="0"/>
        <v/>
      </c>
      <c r="Y27" s="136" t="str">
        <f>+IF(X27&lt;&gt;"",(SUMIFS($S26:$S33,$I26:$I33,C27,$V26:$V33,"CUMPLE")),"")</f>
        <v/>
      </c>
      <c r="Z27" s="29" t="str">
        <f t="shared" si="3"/>
        <v/>
      </c>
      <c r="AA27" s="162"/>
      <c r="AB27" s="24"/>
      <c r="AC27" s="144"/>
      <c r="AD27" s="147"/>
    </row>
    <row r="28" spans="1:30" ht="84" customHeight="1" x14ac:dyDescent="0.3">
      <c r="A28" s="150"/>
      <c r="B28" s="153"/>
      <c r="C28" s="14"/>
      <c r="D28" s="30"/>
      <c r="E28" s="156"/>
      <c r="F28" s="159"/>
      <c r="G28" s="24">
        <v>3</v>
      </c>
      <c r="H28" s="8" t="s">
        <v>51</v>
      </c>
      <c r="I28" s="24" t="s">
        <v>48</v>
      </c>
      <c r="J28" s="24" t="s">
        <v>42</v>
      </c>
      <c r="K28" s="9">
        <v>0.5</v>
      </c>
      <c r="L28" s="47">
        <v>43715</v>
      </c>
      <c r="M28" s="47">
        <v>44042</v>
      </c>
      <c r="N28" s="26" t="str">
        <f>IF(M28&lt;&gt;"",IF(M28&gt;Listados!$O$4,"NO CUMPLE","CUMPLE"),"")</f>
        <v>CUMPLE</v>
      </c>
      <c r="O28" s="12">
        <v>4000458660</v>
      </c>
      <c r="P28" s="45">
        <f t="shared" si="8"/>
        <v>2000229330</v>
      </c>
      <c r="Q28" s="23">
        <f>IFERROR((P28/_xlfn.XLOOKUP(YEAR(M28),Listados!$B$3:$B$32,Listados!$C$3:$C$32)),"")</f>
        <v>2278.676798780592</v>
      </c>
      <c r="R28" s="46">
        <v>4557.3500000000004</v>
      </c>
      <c r="S28" s="27">
        <f>IF(V28="CUMPLE",IFERROR(R28*Listados!$C$32,"0"),"")</f>
        <v>5924555000</v>
      </c>
      <c r="T28" s="28">
        <v>801016</v>
      </c>
      <c r="U28" s="24">
        <v>100</v>
      </c>
      <c r="V28" s="26" t="str">
        <f t="shared" si="9"/>
        <v>CUMPLE</v>
      </c>
      <c r="W28" s="115"/>
      <c r="X28" s="26" t="str">
        <f t="shared" si="0"/>
        <v/>
      </c>
      <c r="Y28" s="27" t="str">
        <f>+IF(X28&lt;&gt;"",(SUMIFS($S26:$S33,$I26:$I33,C28,$V26:$V33,"CUMPLE")),"")</f>
        <v/>
      </c>
      <c r="Z28" s="29" t="str">
        <f t="shared" si="3"/>
        <v/>
      </c>
      <c r="AA28" s="162"/>
      <c r="AB28" s="24"/>
      <c r="AC28" s="144"/>
      <c r="AD28" s="147"/>
    </row>
    <row r="29" spans="1:30" x14ac:dyDescent="0.3">
      <c r="A29" s="150"/>
      <c r="B29" s="153"/>
      <c r="C29" s="24"/>
      <c r="D29" s="30"/>
      <c r="E29" s="156"/>
      <c r="F29" s="159"/>
      <c r="G29" s="24"/>
      <c r="H29" s="8"/>
      <c r="I29" s="24"/>
      <c r="J29" s="24"/>
      <c r="K29" s="9"/>
      <c r="L29" s="47"/>
      <c r="M29" s="47"/>
      <c r="N29" s="26" t="str">
        <f>IF(M29&lt;&gt;"",IF(M29&gt;Listados!$O$4,"NO CUMPLE","CUMPLE"),"")</f>
        <v/>
      </c>
      <c r="O29" s="12"/>
      <c r="P29" s="45" t="str">
        <f t="shared" si="8"/>
        <v/>
      </c>
      <c r="Q29" s="23" t="str">
        <f>IFERROR((P29/_xlfn.XLOOKUP(YEAR(M29),Listados!$B$3:$B$32,Listados!$C$3:$C$32)),"")</f>
        <v/>
      </c>
      <c r="R29" s="46"/>
      <c r="S29" s="27" t="str">
        <f>IF(V29="CUMPLE",IFERROR(R29*Listados!$C$32,"0"),"")</f>
        <v/>
      </c>
      <c r="T29" s="28"/>
      <c r="U29" s="24"/>
      <c r="V29" s="26" t="str">
        <f t="shared" si="9"/>
        <v/>
      </c>
      <c r="W29" s="115"/>
      <c r="X29" s="26" t="str">
        <f t="shared" si="0"/>
        <v/>
      </c>
      <c r="Y29" s="27" t="str">
        <f>+IF(X29&lt;&gt;"",(SUMIFS($S26:$S33,$I26:$I33,C29,$V26:$V33,"CUMPLE")),"")</f>
        <v/>
      </c>
      <c r="Z29" s="29" t="str">
        <f t="shared" si="3"/>
        <v/>
      </c>
      <c r="AA29" s="162"/>
      <c r="AB29" s="24"/>
      <c r="AC29" s="144"/>
      <c r="AD29" s="147"/>
    </row>
    <row r="30" spans="1:30" x14ac:dyDescent="0.3">
      <c r="A30" s="150"/>
      <c r="B30" s="153"/>
      <c r="C30" s="24"/>
      <c r="D30" s="30"/>
      <c r="E30" s="156"/>
      <c r="F30" s="159"/>
      <c r="G30" s="24"/>
      <c r="H30" s="24"/>
      <c r="I30" s="24"/>
      <c r="J30" s="24"/>
      <c r="K30" s="30"/>
      <c r="L30" s="47"/>
      <c r="M30" s="47"/>
      <c r="N30" s="26" t="str">
        <f>IF(M30&lt;&gt;"",IF(M30&gt;Listados!$O$4,"NO CUMPLE","CUMPLE"),"")</f>
        <v/>
      </c>
      <c r="O30" s="48"/>
      <c r="P30" s="45" t="str">
        <f t="shared" si="8"/>
        <v/>
      </c>
      <c r="Q30" s="23" t="str">
        <f>IFERROR((P30/_xlfn.XLOOKUP(YEAR(M30),Listados!$B$3:$B$32,Listados!$C$3:$C$32)),"")</f>
        <v/>
      </c>
      <c r="R30" s="46"/>
      <c r="S30" s="27" t="str">
        <f>IF(V30="CUMPLE",IFERROR(R30*Listados!$C$32,"0"),"")</f>
        <v/>
      </c>
      <c r="T30" s="28"/>
      <c r="U30" s="24"/>
      <c r="V30" s="26" t="str">
        <f t="shared" si="9"/>
        <v/>
      </c>
      <c r="W30" s="115"/>
      <c r="X30" s="26" t="str">
        <f t="shared" si="0"/>
        <v/>
      </c>
      <c r="Y30" s="27" t="str">
        <f>+IF(X30&lt;&gt;"",(SUMIFS($S26:$S33,$I26:$I33,C30,$V26:$V33,"CUMPLE")),"")</f>
        <v/>
      </c>
      <c r="Z30" s="29" t="str">
        <f t="shared" si="3"/>
        <v/>
      </c>
      <c r="AA30" s="162"/>
      <c r="AB30" s="24"/>
      <c r="AC30" s="144"/>
      <c r="AD30" s="147"/>
    </row>
    <row r="31" spans="1:30" x14ac:dyDescent="0.3">
      <c r="A31" s="150"/>
      <c r="B31" s="153"/>
      <c r="C31" s="24"/>
      <c r="D31" s="30"/>
      <c r="E31" s="156"/>
      <c r="F31" s="159"/>
      <c r="G31" s="24"/>
      <c r="H31" s="24"/>
      <c r="I31" s="24"/>
      <c r="J31" s="24"/>
      <c r="K31" s="30"/>
      <c r="L31" s="47"/>
      <c r="M31" s="47"/>
      <c r="N31" s="26" t="str">
        <f>IF(M31&lt;&gt;"",IF(M31&gt;Listados!$O$4,"NO CUMPLE","CUMPLE"),"")</f>
        <v/>
      </c>
      <c r="O31" s="48"/>
      <c r="P31" s="45" t="str">
        <f t="shared" si="8"/>
        <v/>
      </c>
      <c r="Q31" s="23" t="str">
        <f>IFERROR((P31/_xlfn.XLOOKUP(YEAR(M31),Listados!$B$3:$B$32,Listados!$C$3:$C$32)),"")</f>
        <v/>
      </c>
      <c r="R31" s="46"/>
      <c r="S31" s="27" t="str">
        <f>IF(V31="CUMPLE",IFERROR(R31*Listados!$C$32,"0"),"")</f>
        <v/>
      </c>
      <c r="T31" s="28"/>
      <c r="U31" s="24"/>
      <c r="V31" s="26" t="str">
        <f t="shared" si="9"/>
        <v/>
      </c>
      <c r="W31" s="115"/>
      <c r="X31" s="26" t="str">
        <f t="shared" si="0"/>
        <v/>
      </c>
      <c r="Y31" s="27" t="str">
        <f>+IF(X31&lt;&gt;"",(SUMIFS($S26:$S33,$I26:$I33,C31,$V26:$V33,"CUMPLE")),"")</f>
        <v/>
      </c>
      <c r="Z31" s="29" t="str">
        <f t="shared" si="3"/>
        <v/>
      </c>
      <c r="AA31" s="162"/>
      <c r="AB31" s="24"/>
      <c r="AC31" s="144"/>
      <c r="AD31" s="147"/>
    </row>
    <row r="32" spans="1:30" x14ac:dyDescent="0.3">
      <c r="A32" s="150"/>
      <c r="B32" s="153"/>
      <c r="C32" s="24"/>
      <c r="D32" s="30"/>
      <c r="E32" s="156"/>
      <c r="F32" s="159"/>
      <c r="G32" s="24"/>
      <c r="H32" s="24"/>
      <c r="I32" s="24"/>
      <c r="J32" s="24"/>
      <c r="K32" s="30"/>
      <c r="L32" s="47"/>
      <c r="M32" s="47"/>
      <c r="N32" s="26" t="str">
        <f>IF(M32&lt;&gt;"",IF(M32&gt;Listados!$O$4,"NO CUMPLE","CUMPLE"),"")</f>
        <v/>
      </c>
      <c r="O32" s="48"/>
      <c r="P32" s="45" t="str">
        <f t="shared" si="8"/>
        <v/>
      </c>
      <c r="Q32" s="23" t="str">
        <f>IFERROR((P32/_xlfn.XLOOKUP(YEAR(M32),Listados!$B$3:$B$32,Listados!$C$3:$C$32)),"")</f>
        <v/>
      </c>
      <c r="R32" s="46"/>
      <c r="S32" s="27" t="str">
        <f>IF(V32="CUMPLE",IFERROR(R32*Listados!$C$32,"0"),"")</f>
        <v/>
      </c>
      <c r="T32" s="28"/>
      <c r="U32" s="24"/>
      <c r="V32" s="26" t="str">
        <f t="shared" si="9"/>
        <v/>
      </c>
      <c r="W32" s="115"/>
      <c r="X32" s="26" t="str">
        <f t="shared" si="0"/>
        <v/>
      </c>
      <c r="Y32" s="27" t="str">
        <f>+IF(X32&lt;&gt;"",(SUMIFS($S26:$S33,$I26:$I33,C32,$V26:$V33,"CUMPLE")),"")</f>
        <v/>
      </c>
      <c r="Z32" s="29" t="str">
        <f t="shared" si="3"/>
        <v/>
      </c>
      <c r="AA32" s="162"/>
      <c r="AB32" s="24"/>
      <c r="AC32" s="144"/>
      <c r="AD32" s="147"/>
    </row>
    <row r="33" spans="1:30" ht="11.4" thickBot="1" x14ac:dyDescent="0.35">
      <c r="A33" s="151"/>
      <c r="B33" s="154"/>
      <c r="C33" s="34"/>
      <c r="D33" s="32"/>
      <c r="E33" s="157"/>
      <c r="F33" s="160"/>
      <c r="G33" s="34"/>
      <c r="H33" s="34"/>
      <c r="I33" s="34"/>
      <c r="J33" s="34"/>
      <c r="K33" s="32"/>
      <c r="L33" s="49"/>
      <c r="M33" s="49"/>
      <c r="N33" s="35" t="str">
        <f>IF(M33&lt;&gt;"",IF(M33&gt;Listados!$O$4,"NO CUMPLE","CUMPLE"),"")</f>
        <v/>
      </c>
      <c r="O33" s="50"/>
      <c r="P33" s="51" t="str">
        <f t="shared" si="8"/>
        <v/>
      </c>
      <c r="Q33" s="33" t="str">
        <f>IFERROR((P33/_xlfn.XLOOKUP(YEAR(M33),Listados!$B$3:$B$32,Listados!$C$3:$C$32)),"")</f>
        <v/>
      </c>
      <c r="R33" s="52"/>
      <c r="S33" s="36" t="str">
        <f>IF(V33="CUMPLE",IFERROR(R33*Listados!$C$32,"0"),"")</f>
        <v/>
      </c>
      <c r="T33" s="37"/>
      <c r="U33" s="34"/>
      <c r="V33" s="35" t="str">
        <f t="shared" si="9"/>
        <v/>
      </c>
      <c r="W33" s="116"/>
      <c r="X33" s="35" t="str">
        <f t="shared" si="0"/>
        <v/>
      </c>
      <c r="Y33" s="36" t="str">
        <f>+IF(X33&lt;&gt;"",(SUMIFS($S26:$S33,$I26:$I33,C33,$V26:$V33,"CUMPLE")),"")</f>
        <v/>
      </c>
      <c r="Z33" s="38" t="str">
        <f t="shared" si="3"/>
        <v/>
      </c>
      <c r="AA33" s="163"/>
      <c r="AB33" s="34"/>
      <c r="AC33" s="145"/>
      <c r="AD33" s="148"/>
    </row>
    <row r="34" spans="1:30" ht="78" customHeight="1" x14ac:dyDescent="0.3">
      <c r="A34" s="149">
        <v>5</v>
      </c>
      <c r="B34" s="152" t="s">
        <v>52</v>
      </c>
      <c r="C34" s="83" t="s">
        <v>53</v>
      </c>
      <c r="D34" s="7">
        <v>0.6</v>
      </c>
      <c r="E34" s="155">
        <f>Listados!$M$3</f>
        <v>1351954266</v>
      </c>
      <c r="F34" s="158">
        <f>E34/Listados!$C$32</f>
        <v>1039.9648199999999</v>
      </c>
      <c r="G34" s="17">
        <v>1</v>
      </c>
      <c r="H34" s="10" t="s">
        <v>54</v>
      </c>
      <c r="I34" s="10" t="s">
        <v>55</v>
      </c>
      <c r="J34" s="17" t="s">
        <v>42</v>
      </c>
      <c r="K34" s="7">
        <v>0.5</v>
      </c>
      <c r="L34" s="82">
        <v>45029</v>
      </c>
      <c r="M34" s="82">
        <v>45304</v>
      </c>
      <c r="N34" s="18" t="str">
        <f>IF(M34&lt;&gt;"",IF(M34&gt;Listados!$O$4,"NO CUMPLE","CUMPLE"),"")</f>
        <v>CUMPLE</v>
      </c>
      <c r="O34" s="11">
        <v>1083284662</v>
      </c>
      <c r="P34" s="43">
        <f>IF(O34&gt;0,K34*O34,"")</f>
        <v>541642331</v>
      </c>
      <c r="Q34" s="16">
        <f>IFERROR((P34/_xlfn.XLOOKUP(YEAR(M34),Listados!$B$3:$B$32,Listados!$C$3:$C$32)),"")</f>
        <v>416.64794692307692</v>
      </c>
      <c r="R34" s="44">
        <v>416.5</v>
      </c>
      <c r="S34" s="19" t="str">
        <f>IF(V34="CUMPLE",IFERROR(R34*Listados!$C$32,"0"),"")</f>
        <v/>
      </c>
      <c r="T34" s="20">
        <v>841116</v>
      </c>
      <c r="U34" s="17">
        <v>67</v>
      </c>
      <c r="V34" s="18" t="str">
        <f>IF(COUNTBLANK(J34)+COUNTBLANK(N34)+COUNTBLANK(T34)=3,"",IF(COUNTIF(J34,"CUMPLE")+COUNTIF(N34,"CUMPLE")+COUNTIF(T34,"801015")+COUNTIF(T34,"801016")+COUNTIF(T34,"841116")=3,IF(W34="","CUMPLE","NO CUMPLE"),"NO CUMPLE"))</f>
        <v>NO CUMPLE</v>
      </c>
      <c r="W34" s="114" t="s">
        <v>274</v>
      </c>
      <c r="X34" s="18" t="str">
        <f>IF(C34&lt;&gt;"",C34,"")</f>
        <v>INTERNOVAC GROUP S.A.S – BIC- NIT 901.719.021-0</v>
      </c>
      <c r="Y34" s="19">
        <f>+IF(X34&lt;&gt;"",(SUMIFS($S34:$S41,$I34:$I41,C34,$V34:$V41,"CUMPLE")),"")</f>
        <v>0</v>
      </c>
      <c r="Z34" s="21" t="str">
        <f>IF(D34&gt;0,(IF(Y34&gt;=($D34*E$2),"CUMPLE","NO CUMPLE")),"")</f>
        <v>NO CUMPLE</v>
      </c>
      <c r="AA34" s="161">
        <f>IF(C34&gt;0,SUMIFS(Y34:Y41,Z34:Z41,"CUMPLE"),"")</f>
        <v>0</v>
      </c>
      <c r="AB34" s="17"/>
      <c r="AC34" s="143" t="str">
        <f>IF(B34="","",IF(COUNTIF(Z34:Z41,"NO CUMPLE")&gt;0,"NO CUMPLE",IF(E34&gt;AA34,"NO CUMPLE",IF(AA34="","","CUMPLE"))))</f>
        <v>NO CUMPLE</v>
      </c>
      <c r="AD34" s="174" t="s">
        <v>274</v>
      </c>
    </row>
    <row r="35" spans="1:30" ht="57.6" customHeight="1" x14ac:dyDescent="0.3">
      <c r="A35" s="150"/>
      <c r="B35" s="153"/>
      <c r="C35" s="84" t="s">
        <v>55</v>
      </c>
      <c r="D35" s="9">
        <v>0.4</v>
      </c>
      <c r="E35" s="156"/>
      <c r="F35" s="159"/>
      <c r="G35" s="24">
        <v>2</v>
      </c>
      <c r="H35" s="84" t="s">
        <v>56</v>
      </c>
      <c r="I35" s="24" t="s">
        <v>53</v>
      </c>
      <c r="J35" s="24" t="s">
        <v>42</v>
      </c>
      <c r="K35" s="9">
        <v>0.5</v>
      </c>
      <c r="L35" s="47">
        <v>39826</v>
      </c>
      <c r="M35" s="47">
        <v>40785</v>
      </c>
      <c r="N35" s="26" t="str">
        <f>IF(M35&lt;&gt;"",IF(M35&gt;Listados!$O$4,"NO CUMPLE","CUMPLE"),"")</f>
        <v>CUMPLE</v>
      </c>
      <c r="O35" s="12">
        <v>2485311943</v>
      </c>
      <c r="P35" s="45">
        <f t="shared" ref="P35:P41" si="10">IF(O35&gt;0,K35*O35,"")</f>
        <v>1242655971.5</v>
      </c>
      <c r="Q35" s="23">
        <f>IFERROR((P35/_xlfn.XLOOKUP(YEAR(M35),Listados!$B$3:$B$32,Listados!$C$3:$C$32)),"")</f>
        <v>2320.1194389469752</v>
      </c>
      <c r="R35" s="46">
        <v>2320.1999999999998</v>
      </c>
      <c r="S35" s="27" t="str">
        <f>IF(V35="CUMPLE",IFERROR(R35*Listados!$C$32,"0"),"")</f>
        <v/>
      </c>
      <c r="T35" s="28">
        <v>801015</v>
      </c>
      <c r="U35" s="24">
        <v>10</v>
      </c>
      <c r="V35" s="18" t="str">
        <f>IF(COUNTBLANK(J35)+COUNTBLANK(N35)+COUNTBLANK(T35)=3,"",IF(COUNTIF(J35,"CUMPLE")+COUNTIF(N35,"CUMPLE")+COUNTIF(T35,"801015")+COUNTIF(T35,"801016")+COUNTIF(T35,"841116")=3,IF(W35="","CUMPLE","NO CUMPLE"),"NO CUMPLE"))</f>
        <v>NO CUMPLE</v>
      </c>
      <c r="W35" s="115" t="s">
        <v>274</v>
      </c>
      <c r="X35" s="26" t="str">
        <f>IF(C35&lt;&gt;"",C35,"")</f>
        <v>GRUPO EMPRESARIAL DE CONSULTORES E INTERVENTORES S.A.S BIC, NIT 901.548.063-5</v>
      </c>
      <c r="Y35" s="136">
        <f>+IF(X35&lt;&gt;"",(SUMIFS($S34:$S41,$I34:$I41,C35,$V34:$V41,"CUMPLE")),"")</f>
        <v>0</v>
      </c>
      <c r="Z35" s="29" t="str">
        <f>IF(D35&gt;0,(IF(Y35&gt;=($D35*E$2),"CUMPLE","NO CUMPLE")),"")</f>
        <v>NO CUMPLE</v>
      </c>
      <c r="AA35" s="162"/>
      <c r="AB35" s="24"/>
      <c r="AC35" s="144"/>
      <c r="AD35" s="175"/>
    </row>
    <row r="36" spans="1:30" ht="62.4" customHeight="1" x14ac:dyDescent="0.3">
      <c r="A36" s="150"/>
      <c r="B36" s="153"/>
      <c r="C36" s="14"/>
      <c r="D36" s="30"/>
      <c r="E36" s="156"/>
      <c r="F36" s="159"/>
      <c r="G36" s="24">
        <v>3</v>
      </c>
      <c r="H36" s="8" t="s">
        <v>57</v>
      </c>
      <c r="I36" s="24" t="s">
        <v>53</v>
      </c>
      <c r="J36" s="24" t="s">
        <v>42</v>
      </c>
      <c r="K36" s="9">
        <v>0.5</v>
      </c>
      <c r="L36" s="47">
        <v>39826</v>
      </c>
      <c r="M36" s="47">
        <v>40513</v>
      </c>
      <c r="N36" s="26" t="str">
        <f>IF(M36&lt;&gt;"",IF(M36&gt;Listados!$O$4,"NO CUMPLE","CUMPLE"),"")</f>
        <v>CUMPLE</v>
      </c>
      <c r="O36" s="12">
        <v>2580314357</v>
      </c>
      <c r="P36" s="45">
        <f t="shared" si="10"/>
        <v>1290157178.5</v>
      </c>
      <c r="Q36" s="23">
        <f>IFERROR((P36/_xlfn.XLOOKUP(YEAR(M36),Listados!$B$3:$B$32,Listados!$C$3:$C$32)),"")</f>
        <v>2505.1595699029126</v>
      </c>
      <c r="R36" s="46">
        <v>2408</v>
      </c>
      <c r="S36" s="27" t="str">
        <f>IF(V36="CUMPLE",IFERROR(R36*Listados!$C$32,"0"),"")</f>
        <v/>
      </c>
      <c r="T36" s="28">
        <v>801015</v>
      </c>
      <c r="U36" s="24">
        <v>11</v>
      </c>
      <c r="V36" s="26" t="str">
        <f t="shared" ref="V36:V41" si="11">IF(COUNTBLANK(J36)+COUNTBLANK(N36)+COUNTBLANK(T36)=3,"",IF(COUNTIF(J36,"CUMPLE")+COUNTIF(N36,"CUMPLE")+COUNTIF(T36,"801015")+COUNTIF(T36,"801016")+COUNTIF(T36,"841116")=3,IF(W36="","CUMPLE","NO CUMPLE"),"NO CUMPLE"))</f>
        <v>NO CUMPLE</v>
      </c>
      <c r="W36" s="115" t="s">
        <v>274</v>
      </c>
      <c r="X36" s="26" t="str">
        <f t="shared" ref="X36:X65" si="12">IF(C36&lt;&gt;"",C36,"")</f>
        <v/>
      </c>
      <c r="Y36" s="27" t="str">
        <f>+IF(X36&lt;&gt;"",(SUMIFS($S34:$S41,$I34:$I41,C36,$V34:$V41,"CUMPLE")),"")</f>
        <v/>
      </c>
      <c r="Z36" s="29" t="str">
        <f t="shared" ref="Z36:Z65" si="13">IF(D36&gt;0,(IF(Y36&gt;=($D36*E$2),"CUMPLE","NO CUMPLE")),"")</f>
        <v/>
      </c>
      <c r="AA36" s="162"/>
      <c r="AB36" s="24"/>
      <c r="AC36" s="144"/>
      <c r="AD36" s="175"/>
    </row>
    <row r="37" spans="1:30" x14ac:dyDescent="0.3">
      <c r="A37" s="150"/>
      <c r="B37" s="153"/>
      <c r="C37" s="24"/>
      <c r="D37" s="30"/>
      <c r="E37" s="156"/>
      <c r="F37" s="159"/>
      <c r="G37" s="24"/>
      <c r="H37" s="8"/>
      <c r="I37" s="24"/>
      <c r="J37" s="24"/>
      <c r="K37" s="9"/>
      <c r="L37" s="47"/>
      <c r="M37" s="47"/>
      <c r="N37" s="26" t="str">
        <f>IF(M37&lt;&gt;"",IF(M37&gt;Listados!$O$4,"NO CUMPLE","CUMPLE"),"")</f>
        <v/>
      </c>
      <c r="O37" s="12"/>
      <c r="P37" s="45" t="str">
        <f t="shared" si="10"/>
        <v/>
      </c>
      <c r="Q37" s="23" t="str">
        <f>IFERROR((P37/_xlfn.XLOOKUP(YEAR(M37),Listados!$B$3:$B$32,Listados!$C$3:$C$32)),"")</f>
        <v/>
      </c>
      <c r="R37" s="46"/>
      <c r="S37" s="27" t="str">
        <f>IF(V37="CUMPLE",IFERROR(R37*Listados!$C$32,"0"),"")</f>
        <v/>
      </c>
      <c r="T37" s="28"/>
      <c r="U37" s="24"/>
      <c r="V37" s="26" t="str">
        <f>IF(COUNTBLANK(J37)+COUNTBLANK(N37)+COUNTBLANK(T37)=3,"",IF(COUNTIF(J37,"CUMPLE")+COUNTIF(N37,"CUMPLE")+COUNTIF(T37,"801015")+COUNTIF(T37,"801016")+COUNTIF(T37,"841116")=3,IF(#REF!="","CUMPLE","NO CUMPLE"),"NO CUMPLE"))</f>
        <v/>
      </c>
      <c r="W37" s="115"/>
      <c r="X37" s="26" t="str">
        <f t="shared" si="12"/>
        <v/>
      </c>
      <c r="Y37" s="27" t="str">
        <f>+IF(X37&lt;&gt;"",(SUMIFS($S34:$S41,$I34:$I41,C37,$V34:$V41,"CUMPLE")),"")</f>
        <v/>
      </c>
      <c r="Z37" s="29" t="str">
        <f t="shared" si="13"/>
        <v/>
      </c>
      <c r="AA37" s="162"/>
      <c r="AB37" s="24"/>
      <c r="AC37" s="144"/>
      <c r="AD37" s="175"/>
    </row>
    <row r="38" spans="1:30" x14ac:dyDescent="0.3">
      <c r="A38" s="150"/>
      <c r="B38" s="153"/>
      <c r="C38" s="24"/>
      <c r="D38" s="30"/>
      <c r="E38" s="156"/>
      <c r="F38" s="159"/>
      <c r="G38" s="24"/>
      <c r="H38" s="24"/>
      <c r="I38" s="24"/>
      <c r="J38" s="24"/>
      <c r="K38" s="30"/>
      <c r="L38" s="47"/>
      <c r="M38" s="47"/>
      <c r="N38" s="26" t="str">
        <f>IF(M38&lt;&gt;"",IF(M38&gt;Listados!$O$4,"NO CUMPLE","CUMPLE"),"")</f>
        <v/>
      </c>
      <c r="O38" s="48"/>
      <c r="P38" s="45" t="str">
        <f t="shared" si="10"/>
        <v/>
      </c>
      <c r="Q38" s="23" t="str">
        <f>IFERROR((P38/_xlfn.XLOOKUP(YEAR(M38),Listados!$B$3:$B$32,Listados!$C$3:$C$32)),"")</f>
        <v/>
      </c>
      <c r="R38" s="46"/>
      <c r="S38" s="27" t="str">
        <f>IF(V38="CUMPLE",IFERROR(R38*Listados!$C$32,"0"),"")</f>
        <v/>
      </c>
      <c r="T38" s="28"/>
      <c r="U38" s="24"/>
      <c r="V38" s="26" t="str">
        <f>IF(COUNTBLANK(J38)+COUNTBLANK(N38)+COUNTBLANK(T38)=3,"",IF(COUNTIF(J38,"CUMPLE")+COUNTIF(N38,"CUMPLE")+COUNTIF(T38,"801015")+COUNTIF(T38,"801016")+COUNTIF(T38,"841116")=3,IF(#REF!="","CUMPLE","NO CUMPLE"),"NO CUMPLE"))</f>
        <v/>
      </c>
      <c r="W38" s="115"/>
      <c r="X38" s="26" t="str">
        <f t="shared" si="12"/>
        <v/>
      </c>
      <c r="Y38" s="27" t="str">
        <f>+IF(X38&lt;&gt;"",(SUMIFS($S34:$S41,$I34:$I41,C38,$V34:$V41,"CUMPLE")),"")</f>
        <v/>
      </c>
      <c r="Z38" s="29" t="str">
        <f t="shared" si="13"/>
        <v/>
      </c>
      <c r="AA38" s="162"/>
      <c r="AB38" s="24"/>
      <c r="AC38" s="144"/>
      <c r="AD38" s="175"/>
    </row>
    <row r="39" spans="1:30" x14ac:dyDescent="0.3">
      <c r="A39" s="150"/>
      <c r="B39" s="153"/>
      <c r="C39" s="24"/>
      <c r="D39" s="30"/>
      <c r="E39" s="156"/>
      <c r="F39" s="159"/>
      <c r="G39" s="24"/>
      <c r="H39" s="24"/>
      <c r="I39" s="24"/>
      <c r="J39" s="24"/>
      <c r="K39" s="30"/>
      <c r="L39" s="47"/>
      <c r="M39" s="47"/>
      <c r="N39" s="26" t="str">
        <f>IF(M39&lt;&gt;"",IF(M39&gt;Listados!$O$4,"NO CUMPLE","CUMPLE"),"")</f>
        <v/>
      </c>
      <c r="O39" s="48"/>
      <c r="P39" s="45" t="str">
        <f t="shared" si="10"/>
        <v/>
      </c>
      <c r="Q39" s="23" t="str">
        <f>IFERROR((P39/_xlfn.XLOOKUP(YEAR(M39),Listados!$B$3:$B$32,Listados!$C$3:$C$32)),"")</f>
        <v/>
      </c>
      <c r="R39" s="46"/>
      <c r="S39" s="27" t="str">
        <f>IF(V39="CUMPLE",IFERROR(R39*Listados!$C$32,"0"),"")</f>
        <v/>
      </c>
      <c r="T39" s="28"/>
      <c r="U39" s="24"/>
      <c r="V39" s="26" t="str">
        <f>IF(COUNTBLANK(J39)+COUNTBLANK(N39)+COUNTBLANK(T39)=3,"",IF(COUNTIF(J39,"CUMPLE")+COUNTIF(N39,"CUMPLE")+COUNTIF(T39,"801015")+COUNTIF(T39,"801016")+COUNTIF(T39,"841116")=3,IF(W38="","CUMPLE","NO CUMPLE"),"NO CUMPLE"))</f>
        <v/>
      </c>
      <c r="W39" s="115"/>
      <c r="X39" s="26" t="str">
        <f t="shared" si="12"/>
        <v/>
      </c>
      <c r="Y39" s="27" t="str">
        <f>+IF(X39&lt;&gt;"",(SUMIFS($S34:$S41,$I34:$I41,C39,$V34:$V41,"CUMPLE")),"")</f>
        <v/>
      </c>
      <c r="Z39" s="29" t="str">
        <f t="shared" si="13"/>
        <v/>
      </c>
      <c r="AA39" s="162"/>
      <c r="AB39" s="24"/>
      <c r="AC39" s="144"/>
      <c r="AD39" s="175"/>
    </row>
    <row r="40" spans="1:30" x14ac:dyDescent="0.3">
      <c r="A40" s="150"/>
      <c r="B40" s="153"/>
      <c r="C40" s="24"/>
      <c r="D40" s="30"/>
      <c r="E40" s="156"/>
      <c r="F40" s="159"/>
      <c r="G40" s="24"/>
      <c r="H40" s="24"/>
      <c r="I40" s="24"/>
      <c r="J40" s="24"/>
      <c r="K40" s="30"/>
      <c r="L40" s="47"/>
      <c r="M40" s="47"/>
      <c r="N40" s="26" t="str">
        <f>IF(M40&lt;&gt;"",IF(M40&gt;Listados!$O$4,"NO CUMPLE","CUMPLE"),"")</f>
        <v/>
      </c>
      <c r="O40" s="48"/>
      <c r="P40" s="45" t="str">
        <f t="shared" si="10"/>
        <v/>
      </c>
      <c r="Q40" s="23" t="str">
        <f>IFERROR((P40/_xlfn.XLOOKUP(YEAR(M40),Listados!$B$3:$B$32,Listados!$C$3:$C$32)),"")</f>
        <v/>
      </c>
      <c r="R40" s="46"/>
      <c r="S40" s="27" t="str">
        <f>IF(V40="CUMPLE",IFERROR(R40*Listados!$C$32,"0"),"")</f>
        <v/>
      </c>
      <c r="T40" s="28"/>
      <c r="U40" s="24"/>
      <c r="V40" s="26" t="str">
        <f>IF(COUNTBLANK(J40)+COUNTBLANK(N40)+COUNTBLANK(T40)=3,"",IF(COUNTIF(J40,"CUMPLE")+COUNTIF(N40,"CUMPLE")+COUNTIF(T40,"801015")+COUNTIF(T40,"801016")+COUNTIF(T40,"841116")=3,IF(W39="","CUMPLE","NO CUMPLE"),"NO CUMPLE"))</f>
        <v/>
      </c>
      <c r="X40" s="26" t="str">
        <f t="shared" si="12"/>
        <v/>
      </c>
      <c r="Y40" s="27" t="str">
        <f>+IF(X40&lt;&gt;"",(SUMIFS($S34:$S41,$I34:$I41,C40,$V34:$V41,"CUMPLE")),"")</f>
        <v/>
      </c>
      <c r="Z40" s="29" t="str">
        <f t="shared" si="13"/>
        <v/>
      </c>
      <c r="AA40" s="162"/>
      <c r="AB40" s="24"/>
      <c r="AC40" s="144"/>
      <c r="AD40" s="175"/>
    </row>
    <row r="41" spans="1:30" ht="11.4" thickBot="1" x14ac:dyDescent="0.35">
      <c r="A41" s="151"/>
      <c r="B41" s="154"/>
      <c r="C41" s="34"/>
      <c r="D41" s="32"/>
      <c r="E41" s="157"/>
      <c r="F41" s="160"/>
      <c r="G41" s="34"/>
      <c r="H41" s="34"/>
      <c r="I41" s="34"/>
      <c r="J41" s="34"/>
      <c r="K41" s="32"/>
      <c r="L41" s="49"/>
      <c r="M41" s="49"/>
      <c r="N41" s="35" t="str">
        <f>IF(M41&lt;&gt;"",IF(M41&gt;Listados!$O$4,"NO CUMPLE","CUMPLE"),"")</f>
        <v/>
      </c>
      <c r="O41" s="50"/>
      <c r="P41" s="51" t="str">
        <f t="shared" si="10"/>
        <v/>
      </c>
      <c r="Q41" s="33" t="str">
        <f>IFERROR((P41/_xlfn.XLOOKUP(YEAR(M41),Listados!$B$3:$B$32,Listados!$C$3:$C$32)),"")</f>
        <v/>
      </c>
      <c r="R41" s="52"/>
      <c r="S41" s="36" t="str">
        <f>IF(V41="CUMPLE",IFERROR(R41*Listados!$C$32,"0"),"")</f>
        <v/>
      </c>
      <c r="T41" s="37"/>
      <c r="U41" s="34"/>
      <c r="V41" s="35" t="str">
        <f t="shared" si="11"/>
        <v/>
      </c>
      <c r="W41" s="116"/>
      <c r="X41" s="35" t="str">
        <f t="shared" si="12"/>
        <v/>
      </c>
      <c r="Y41" s="36" t="str">
        <f>+IF(X41&lt;&gt;"",(SUMIFS($S34:$S41,$I34:$I41,C41,$V34:$V41,"CUMPLE")),"")</f>
        <v/>
      </c>
      <c r="Z41" s="38" t="str">
        <f t="shared" si="13"/>
        <v/>
      </c>
      <c r="AA41" s="163"/>
      <c r="AB41" s="34"/>
      <c r="AC41" s="145"/>
      <c r="AD41" s="176"/>
    </row>
    <row r="42" spans="1:30" ht="186" customHeight="1" x14ac:dyDescent="0.3">
      <c r="A42" s="149">
        <v>6</v>
      </c>
      <c r="B42" s="152" t="s">
        <v>58</v>
      </c>
      <c r="C42" s="83" t="str">
        <f>B42</f>
        <v>SGA CONSULTORES S.A.S: NIT 901.549.833-4</v>
      </c>
      <c r="D42" s="7">
        <v>1</v>
      </c>
      <c r="E42" s="155">
        <f>Listados!$M$3</f>
        <v>1351954266</v>
      </c>
      <c r="F42" s="158">
        <f>E42/Listados!$C$32</f>
        <v>1039.9648199999999</v>
      </c>
      <c r="G42" s="17">
        <v>1</v>
      </c>
      <c r="H42" s="124" t="s">
        <v>59</v>
      </c>
      <c r="I42" s="17" t="s">
        <v>58</v>
      </c>
      <c r="J42" s="17" t="s">
        <v>42</v>
      </c>
      <c r="K42" s="7">
        <v>1</v>
      </c>
      <c r="L42" s="82">
        <v>43137</v>
      </c>
      <c r="M42" s="82">
        <v>43651</v>
      </c>
      <c r="N42" s="18" t="str">
        <f>IF(M42&lt;&gt;"",IF(M42&gt;Listados!$O$4,"NO CUMPLE","CUMPLE"),"")</f>
        <v>CUMPLE</v>
      </c>
      <c r="O42" s="11">
        <v>7418181518</v>
      </c>
      <c r="P42" s="43">
        <f>IF(O42&gt;0,K42*O42,"")</f>
        <v>7418181518</v>
      </c>
      <c r="Q42" s="16">
        <f>IFERROR((P42/_xlfn.XLOOKUP(YEAR(M42),Listados!$B$3:$B$32,Listados!$C$3:$C$32)),"")</f>
        <v>8957.901451004449</v>
      </c>
      <c r="R42" s="44">
        <v>8957.9</v>
      </c>
      <c r="S42" s="19">
        <f>IF(V42="CUMPLE",IFERROR(R42*Listados!$C$32,"0"),"")</f>
        <v>11645270000</v>
      </c>
      <c r="T42" s="20">
        <v>801016</v>
      </c>
      <c r="U42" s="17">
        <v>86</v>
      </c>
      <c r="V42" s="18" t="str">
        <f>IF(COUNTBLANK(J42)+COUNTBLANK(N42)+COUNTBLANK(T42)=3,"",IF(COUNTIF(J42,"CUMPLE")+COUNTIF(N42,"CUMPLE")+COUNTIF(T42,"801015")+COUNTIF(T42,"801016")+COUNTIF(T42,"841116")=3,IF(W42="","CUMPLE","NO CUMPLE"),"NO CUMPLE"))</f>
        <v>CUMPLE</v>
      </c>
      <c r="W42" s="115"/>
      <c r="X42" s="18" t="str">
        <f t="shared" si="12"/>
        <v>SGA CONSULTORES S.A.S: NIT 901.549.833-4</v>
      </c>
      <c r="Y42" s="19">
        <f>+IF(X42&lt;&gt;"",(SUMIFS($S42:$S49,$I42:$I49,C42,$V42:$V49,"CUMPLE")),"")</f>
        <v>17038008000</v>
      </c>
      <c r="Z42" s="21" t="str">
        <f t="shared" si="13"/>
        <v>CUMPLE</v>
      </c>
      <c r="AA42" s="161">
        <f>IF(C42&gt;0,SUMIFS(Y42:Y49,Z42:Z49,"CUMPLE"),"")</f>
        <v>17038008000</v>
      </c>
      <c r="AB42" s="17"/>
      <c r="AC42" s="143" t="str">
        <f>IF(B42="","",IF(COUNTIF(Z42:Z49,"NO CUMPLE")&gt;0,"NO CUMPLE",IF(E42&gt;AA42,"NO CUMPLE",IF(AA42="","","CUMPLE"))))</f>
        <v>CUMPLE</v>
      </c>
      <c r="AD42" s="146"/>
    </row>
    <row r="43" spans="1:30" ht="88.2" customHeight="1" x14ac:dyDescent="0.3">
      <c r="A43" s="150"/>
      <c r="B43" s="153"/>
      <c r="C43" s="84"/>
      <c r="D43" s="9"/>
      <c r="E43" s="156"/>
      <c r="F43" s="159"/>
      <c r="G43" s="24">
        <v>2</v>
      </c>
      <c r="H43" s="84" t="s">
        <v>60</v>
      </c>
      <c r="I43" s="24" t="s">
        <v>58</v>
      </c>
      <c r="J43" s="24" t="s">
        <v>42</v>
      </c>
      <c r="K43" s="9">
        <v>1</v>
      </c>
      <c r="L43" s="47">
        <v>37165</v>
      </c>
      <c r="M43" s="47">
        <v>37864</v>
      </c>
      <c r="N43" s="26" t="str">
        <f>IF(M43&lt;&gt;"",IF(M43&gt;Listados!$O$4,"NO CUMPLE","CUMPLE"),"")</f>
        <v>CUMPLE</v>
      </c>
      <c r="O43" s="12">
        <v>1377224595</v>
      </c>
      <c r="P43" s="45">
        <f>IF(O43&gt;0,K43*O43,"")</f>
        <v>1377224595</v>
      </c>
      <c r="Q43" s="23">
        <f>IFERROR((P43/_xlfn.XLOOKUP(YEAR(M43),Listados!$B$3:$B$32,Listados!$C$3:$C$32)),"")</f>
        <v>4148.2668524096389</v>
      </c>
      <c r="R43" s="46">
        <v>4148.26</v>
      </c>
      <c r="S43" s="27">
        <f>IF(V43="CUMPLE",IFERROR(R43*Listados!$C$32,"0"),"")</f>
        <v>5392738000</v>
      </c>
      <c r="T43" s="28">
        <v>801015</v>
      </c>
      <c r="U43" s="24">
        <v>9</v>
      </c>
      <c r="V43" s="26" t="str">
        <f t="shared" ref="V43:V49" si="14">IF(COUNTBLANK(J43)+COUNTBLANK(N43)+COUNTBLANK(T43)=3,"",IF(COUNTIF(J43,"CUMPLE")+COUNTIF(N43,"CUMPLE")+COUNTIF(T43,"801015")+COUNTIF(T43,"801016")+COUNTIF(T43,"841116")=3,IF(W43="","CUMPLE","NO CUMPLE"),"NO CUMPLE"))</f>
        <v>CUMPLE</v>
      </c>
      <c r="W43" s="115"/>
      <c r="X43" s="26" t="str">
        <f t="shared" si="12"/>
        <v/>
      </c>
      <c r="Y43" s="27" t="str">
        <f>+IF(X43&lt;&gt;"",(SUMIFS($S42:$S49,$I42:$I49,C43,$V42:$V49,"CUMPLE")),"")</f>
        <v/>
      </c>
      <c r="Z43" s="29" t="str">
        <f t="shared" si="13"/>
        <v/>
      </c>
      <c r="AA43" s="162"/>
      <c r="AB43" s="24"/>
      <c r="AC43" s="144"/>
      <c r="AD43" s="147"/>
    </row>
    <row r="44" spans="1:30" x14ac:dyDescent="0.3">
      <c r="A44" s="150"/>
      <c r="B44" s="153"/>
      <c r="C44" s="14"/>
      <c r="D44" s="30"/>
      <c r="E44" s="156"/>
      <c r="F44" s="159"/>
      <c r="G44" s="24"/>
      <c r="H44" s="8"/>
      <c r="I44" s="24"/>
      <c r="J44" s="24"/>
      <c r="K44" s="9"/>
      <c r="L44" s="47"/>
      <c r="M44" s="47"/>
      <c r="N44" s="26" t="str">
        <f>IF(M44&lt;&gt;"",IF(M44&gt;Listados!$O$4,"NO CUMPLE","CUMPLE"),"")</f>
        <v/>
      </c>
      <c r="O44" s="12"/>
      <c r="P44" s="45" t="str">
        <f t="shared" ref="P44:P49" si="15">IF(O44&gt;0,K44*O44,"")</f>
        <v/>
      </c>
      <c r="Q44" s="23" t="str">
        <f>IFERROR((P44/_xlfn.XLOOKUP(YEAR(M44),Listados!$B$3:$B$32,Listados!$C$3:$C$32)),"")</f>
        <v/>
      </c>
      <c r="R44" s="46"/>
      <c r="S44" s="27" t="str">
        <f>IF(V44="CUMPLE",IFERROR(R44*Listados!$C$32,"0"),"")</f>
        <v/>
      </c>
      <c r="T44" s="28"/>
      <c r="U44" s="24"/>
      <c r="V44" s="26" t="str">
        <f t="shared" si="14"/>
        <v/>
      </c>
      <c r="W44" s="115"/>
      <c r="X44" s="26" t="str">
        <f t="shared" si="12"/>
        <v/>
      </c>
      <c r="Y44" s="27" t="str">
        <f>+IF(X44&lt;&gt;"",(SUMIFS($S42:$S49,$I42:$I49,C44,$V42:$V49,"CUMPLE")),"")</f>
        <v/>
      </c>
      <c r="Z44" s="29" t="str">
        <f t="shared" si="13"/>
        <v/>
      </c>
      <c r="AA44" s="162"/>
      <c r="AB44" s="24"/>
      <c r="AC44" s="144"/>
      <c r="AD44" s="147"/>
    </row>
    <row r="45" spans="1:30" x14ac:dyDescent="0.3">
      <c r="A45" s="150"/>
      <c r="B45" s="153"/>
      <c r="C45" s="24"/>
      <c r="D45" s="30"/>
      <c r="E45" s="156"/>
      <c r="F45" s="159"/>
      <c r="G45" s="24"/>
      <c r="H45" s="8"/>
      <c r="I45" s="24"/>
      <c r="J45" s="24"/>
      <c r="K45" s="9"/>
      <c r="L45" s="47"/>
      <c r="M45" s="47"/>
      <c r="N45" s="26" t="str">
        <f>IF(M45&lt;&gt;"",IF(M45&gt;Listados!$O$4,"NO CUMPLE","CUMPLE"),"")</f>
        <v/>
      </c>
      <c r="O45" s="12"/>
      <c r="P45" s="45" t="str">
        <f t="shared" si="15"/>
        <v/>
      </c>
      <c r="Q45" s="23" t="str">
        <f>IFERROR((P45/_xlfn.XLOOKUP(YEAR(M45),Listados!$B$3:$B$32,Listados!$C$3:$C$32)),"")</f>
        <v/>
      </c>
      <c r="R45" s="46"/>
      <c r="S45" s="27" t="str">
        <f>IF(V45="CUMPLE",IFERROR(R45*Listados!$C$32,"0"),"")</f>
        <v/>
      </c>
      <c r="T45" s="28"/>
      <c r="U45" s="24"/>
      <c r="V45" s="26" t="str">
        <f t="shared" si="14"/>
        <v/>
      </c>
      <c r="W45" s="115"/>
      <c r="X45" s="26" t="str">
        <f t="shared" si="12"/>
        <v/>
      </c>
      <c r="Y45" s="27" t="str">
        <f>+IF(X45&lt;&gt;"",(SUMIFS($S42:$S49,$I42:$I49,C45,$V42:$V49,"CUMPLE")),"")</f>
        <v/>
      </c>
      <c r="Z45" s="29" t="str">
        <f t="shared" si="13"/>
        <v/>
      </c>
      <c r="AA45" s="162"/>
      <c r="AB45" s="24"/>
      <c r="AC45" s="144"/>
      <c r="AD45" s="147"/>
    </row>
    <row r="46" spans="1:30" x14ac:dyDescent="0.3">
      <c r="A46" s="150"/>
      <c r="B46" s="153"/>
      <c r="C46" s="24"/>
      <c r="D46" s="30"/>
      <c r="E46" s="156"/>
      <c r="F46" s="159"/>
      <c r="G46" s="24"/>
      <c r="H46" s="24"/>
      <c r="I46" s="24"/>
      <c r="J46" s="24"/>
      <c r="K46" s="30"/>
      <c r="L46" s="47"/>
      <c r="M46" s="47"/>
      <c r="N46" s="26" t="str">
        <f>IF(M46&lt;&gt;"",IF(M46&gt;Listados!$O$4,"NO CUMPLE","CUMPLE"),"")</f>
        <v/>
      </c>
      <c r="O46" s="48"/>
      <c r="P46" s="45" t="str">
        <f t="shared" si="15"/>
        <v/>
      </c>
      <c r="Q46" s="23" t="str">
        <f>IFERROR((P46/_xlfn.XLOOKUP(YEAR(M46),Listados!$B$3:$B$32,Listados!$C$3:$C$32)),"")</f>
        <v/>
      </c>
      <c r="R46" s="46"/>
      <c r="S46" s="27" t="str">
        <f>IF(V46="CUMPLE",IFERROR(R46*Listados!$C$32,"0"),"")</f>
        <v/>
      </c>
      <c r="T46" s="28"/>
      <c r="U46" s="24"/>
      <c r="V46" s="26" t="str">
        <f t="shared" si="14"/>
        <v/>
      </c>
      <c r="W46" s="115"/>
      <c r="X46" s="26" t="str">
        <f t="shared" si="12"/>
        <v/>
      </c>
      <c r="Y46" s="27" t="str">
        <f>+IF(X46&lt;&gt;"",(SUMIFS($S42:$S49,$I42:$I49,C46,$V42:$V49,"CUMPLE")),"")</f>
        <v/>
      </c>
      <c r="Z46" s="29" t="str">
        <f t="shared" si="13"/>
        <v/>
      </c>
      <c r="AA46" s="162"/>
      <c r="AB46" s="24"/>
      <c r="AC46" s="144"/>
      <c r="AD46" s="147"/>
    </row>
    <row r="47" spans="1:30" x14ac:dyDescent="0.3">
      <c r="A47" s="150"/>
      <c r="B47" s="153"/>
      <c r="C47" s="24"/>
      <c r="D47" s="30"/>
      <c r="E47" s="156"/>
      <c r="F47" s="159"/>
      <c r="G47" s="24"/>
      <c r="H47" s="24"/>
      <c r="I47" s="24"/>
      <c r="J47" s="24"/>
      <c r="K47" s="30"/>
      <c r="L47" s="47"/>
      <c r="M47" s="47"/>
      <c r="N47" s="26" t="str">
        <f>IF(M47&lt;&gt;"",IF(M47&gt;Listados!$O$4,"NO CUMPLE","CUMPLE"),"")</f>
        <v/>
      </c>
      <c r="O47" s="48"/>
      <c r="P47" s="45" t="str">
        <f t="shared" si="15"/>
        <v/>
      </c>
      <c r="Q47" s="23" t="str">
        <f>IFERROR((P47/_xlfn.XLOOKUP(YEAR(M47),Listados!$B$3:$B$32,Listados!$C$3:$C$32)),"")</f>
        <v/>
      </c>
      <c r="R47" s="46"/>
      <c r="S47" s="27" t="str">
        <f>IF(V47="CUMPLE",IFERROR(R47*Listados!$C$32,"0"),"")</f>
        <v/>
      </c>
      <c r="T47" s="28"/>
      <c r="U47" s="24"/>
      <c r="V47" s="26" t="str">
        <f t="shared" si="14"/>
        <v/>
      </c>
      <c r="W47" s="115"/>
      <c r="X47" s="26" t="str">
        <f t="shared" si="12"/>
        <v/>
      </c>
      <c r="Y47" s="27" t="str">
        <f>+IF(X47&lt;&gt;"",(SUMIFS($S42:$S49,$I42:$I49,C47,$V42:$V49,"CUMPLE")),"")</f>
        <v/>
      </c>
      <c r="Z47" s="29" t="str">
        <f t="shared" si="13"/>
        <v/>
      </c>
      <c r="AA47" s="162"/>
      <c r="AB47" s="24"/>
      <c r="AC47" s="144"/>
      <c r="AD47" s="147"/>
    </row>
    <row r="48" spans="1:30" x14ac:dyDescent="0.3">
      <c r="A48" s="150"/>
      <c r="B48" s="153"/>
      <c r="C48" s="24"/>
      <c r="D48" s="30"/>
      <c r="E48" s="156"/>
      <c r="F48" s="159"/>
      <c r="G48" s="24"/>
      <c r="H48" s="24"/>
      <c r="I48" s="24"/>
      <c r="J48" s="24"/>
      <c r="K48" s="30"/>
      <c r="L48" s="47"/>
      <c r="M48" s="47"/>
      <c r="N48" s="26" t="str">
        <f>IF(M48&lt;&gt;"",IF(M48&gt;Listados!$O$4,"NO CUMPLE","CUMPLE"),"")</f>
        <v/>
      </c>
      <c r="O48" s="48"/>
      <c r="P48" s="45" t="str">
        <f t="shared" si="15"/>
        <v/>
      </c>
      <c r="Q48" s="23" t="str">
        <f>IFERROR((P48/_xlfn.XLOOKUP(YEAR(M48),Listados!$B$3:$B$32,Listados!$C$3:$C$32)),"")</f>
        <v/>
      </c>
      <c r="R48" s="46"/>
      <c r="S48" s="27" t="str">
        <f>IF(V48="CUMPLE",IFERROR(R48*Listados!$C$32,"0"),"")</f>
        <v/>
      </c>
      <c r="T48" s="28"/>
      <c r="U48" s="24"/>
      <c r="V48" s="26" t="str">
        <f t="shared" si="14"/>
        <v/>
      </c>
      <c r="W48" s="115"/>
      <c r="X48" s="26" t="str">
        <f t="shared" si="12"/>
        <v/>
      </c>
      <c r="Y48" s="27" t="str">
        <f>+IF(X48&lt;&gt;"",(SUMIFS($S42:$S49,$I42:$I49,C48,$V42:$V49,"CUMPLE")),"")</f>
        <v/>
      </c>
      <c r="Z48" s="29" t="str">
        <f t="shared" si="13"/>
        <v/>
      </c>
      <c r="AA48" s="162"/>
      <c r="AB48" s="24"/>
      <c r="AC48" s="144"/>
      <c r="AD48" s="147"/>
    </row>
    <row r="49" spans="1:30" ht="11.4" thickBot="1" x14ac:dyDescent="0.35">
      <c r="A49" s="151"/>
      <c r="B49" s="154"/>
      <c r="C49" s="34"/>
      <c r="D49" s="32"/>
      <c r="E49" s="157"/>
      <c r="F49" s="160"/>
      <c r="G49" s="34"/>
      <c r="H49" s="34"/>
      <c r="I49" s="34"/>
      <c r="J49" s="34"/>
      <c r="K49" s="32"/>
      <c r="L49" s="49"/>
      <c r="M49" s="49"/>
      <c r="N49" s="35" t="str">
        <f>IF(M49&lt;&gt;"",IF(M49&gt;Listados!$O$4,"NO CUMPLE","CUMPLE"),"")</f>
        <v/>
      </c>
      <c r="O49" s="50"/>
      <c r="P49" s="51" t="str">
        <f t="shared" si="15"/>
        <v/>
      </c>
      <c r="Q49" s="33" t="str">
        <f>IFERROR((P49/_xlfn.XLOOKUP(YEAR(M49),Listados!$B$3:$B$32,Listados!$C$3:$C$32)),"")</f>
        <v/>
      </c>
      <c r="R49" s="52"/>
      <c r="S49" s="36" t="str">
        <f>IF(V49="CUMPLE",IFERROR(R49*Listados!$C$32,"0"),"")</f>
        <v/>
      </c>
      <c r="T49" s="37"/>
      <c r="U49" s="34"/>
      <c r="V49" s="35" t="str">
        <f t="shared" si="14"/>
        <v/>
      </c>
      <c r="W49" s="116"/>
      <c r="X49" s="35" t="str">
        <f t="shared" si="12"/>
        <v/>
      </c>
      <c r="Y49" s="36" t="str">
        <f>+IF(X49&lt;&gt;"",(SUMIFS($S42:$S49,$I42:$I49,C49,$V42:$V49,"CUMPLE")),"")</f>
        <v/>
      </c>
      <c r="Z49" s="38" t="str">
        <f t="shared" si="13"/>
        <v/>
      </c>
      <c r="AA49" s="163"/>
      <c r="AB49" s="34"/>
      <c r="AC49" s="145"/>
      <c r="AD49" s="148"/>
    </row>
    <row r="50" spans="1:30" ht="54" x14ac:dyDescent="0.3">
      <c r="A50" s="149">
        <v>7</v>
      </c>
      <c r="B50" s="152" t="s">
        <v>61</v>
      </c>
      <c r="C50" s="83" t="str">
        <f>B50</f>
        <v>SMARTY COLOMBIA SAS BIC: NIT 900249549-6</v>
      </c>
      <c r="D50" s="7">
        <v>1</v>
      </c>
      <c r="E50" s="155">
        <f>Listados!$M$3</f>
        <v>1351954266</v>
      </c>
      <c r="F50" s="158">
        <f>E50/Listados!$C$32</f>
        <v>1039.9648199999999</v>
      </c>
      <c r="G50" s="17">
        <v>1</v>
      </c>
      <c r="H50" s="10" t="s">
        <v>62</v>
      </c>
      <c r="I50" s="17" t="s">
        <v>61</v>
      </c>
      <c r="J50" s="17" t="s">
        <v>42</v>
      </c>
      <c r="K50" s="7">
        <v>1</v>
      </c>
      <c r="L50" s="82">
        <v>44181</v>
      </c>
      <c r="M50" s="82">
        <v>44957</v>
      </c>
      <c r="N50" s="18" t="str">
        <f>IF(M50&lt;&gt;"",IF(M50&gt;Listados!$O$4,"NO CUMPLE","CUMPLE"),"")</f>
        <v>CUMPLE</v>
      </c>
      <c r="O50" s="11">
        <v>2962384886.77</v>
      </c>
      <c r="P50" s="43">
        <f>IF(O50&gt;0,K50*O50,"")</f>
        <v>2962384886.77</v>
      </c>
      <c r="Q50" s="16">
        <f>IFERROR((P50/_xlfn.XLOOKUP(YEAR(M50),Listados!$B$3:$B$32,Listados!$C$3:$C$32)),"")</f>
        <v>2553.7800748017239</v>
      </c>
      <c r="R50" s="44">
        <v>2553.7800000000002</v>
      </c>
      <c r="S50" s="19">
        <f>IF(V50="CUMPLE",IFERROR(R50*Listados!$C$32,"0"),"")</f>
        <v>3319914000.0000005</v>
      </c>
      <c r="T50" s="20">
        <v>801015</v>
      </c>
      <c r="U50" s="17">
        <v>84</v>
      </c>
      <c r="V50" s="18" t="str">
        <f>IF(COUNTBLANK(J50)+COUNTBLANK(N50)+COUNTBLANK(T50)=3,"",IF(COUNTIF(J50,"CUMPLE")+COUNTIF(N50,"CUMPLE")+COUNTIF(T50,"801015")+COUNTIF(T50,"801016")+COUNTIF(T50,"841116")=3,IF(W50="","CUMPLE","NO CUMPLE"),"NO CUMPLE"))</f>
        <v>CUMPLE</v>
      </c>
      <c r="W50" s="114"/>
      <c r="X50" s="18" t="str">
        <f t="shared" si="12"/>
        <v>SMARTY COLOMBIA SAS BIC: NIT 900249549-6</v>
      </c>
      <c r="Y50" s="19">
        <f>+IF(X50&lt;&gt;"",(SUMIFS($S50:$S57,$I50:$I57,C50,$V50:$V57,"CUMPLE")),"")</f>
        <v>3319914000.0000005</v>
      </c>
      <c r="Z50" s="21" t="str">
        <f t="shared" si="13"/>
        <v>CUMPLE</v>
      </c>
      <c r="AA50" s="161">
        <f>IF(C50&gt;0,SUMIFS(Y50:Y57,Z50:Z57,"CUMPLE"),"")</f>
        <v>3319914000.0000005</v>
      </c>
      <c r="AB50" s="17"/>
      <c r="AC50" s="143" t="str">
        <f>IF(B50="","",IF(COUNTIF(Z50:Z57,"NO CUMPLE")&gt;0,"NO CUMPLE",IF(E50&gt;AA50,"NO CUMPLE",IF(AA50="","","CUMPLE"))))</f>
        <v>CUMPLE</v>
      </c>
      <c r="AD50" s="146"/>
    </row>
    <row r="51" spans="1:30" x14ac:dyDescent="0.3">
      <c r="A51" s="150"/>
      <c r="B51" s="153"/>
      <c r="C51" s="84"/>
      <c r="D51" s="9"/>
      <c r="E51" s="156"/>
      <c r="F51" s="159"/>
      <c r="G51" s="24"/>
      <c r="H51" s="8"/>
      <c r="I51" s="24"/>
      <c r="J51" s="24"/>
      <c r="K51" s="9"/>
      <c r="L51" s="47"/>
      <c r="M51" s="47"/>
      <c r="N51" s="26" t="str">
        <f>IF(M51&lt;&gt;"",IF(M51&gt;Listados!$O$4,"NO CUMPLE","CUMPLE"),"")</f>
        <v/>
      </c>
      <c r="O51" s="12"/>
      <c r="P51" s="45" t="str">
        <f t="shared" ref="P51:P57" si="16">IF(O51&gt;0,K51*O51,"")</f>
        <v/>
      </c>
      <c r="Q51" s="23" t="str">
        <f>IFERROR((P51/_xlfn.XLOOKUP(YEAR(M51),Listados!$B$3:$B$32,Listados!$C$3:$C$32)),"")</f>
        <v/>
      </c>
      <c r="R51" s="46"/>
      <c r="S51" s="27" t="str">
        <f>IF(V51="CUMPLE",IFERROR(R51*Listados!$C$32,"0"),"")</f>
        <v/>
      </c>
      <c r="T51" s="28"/>
      <c r="U51" s="24"/>
      <c r="V51" s="26" t="str">
        <f t="shared" ref="V51:V57" si="17">IF(COUNTBLANK(J51)+COUNTBLANK(N51)+COUNTBLANK(T51)=3,"",IF(COUNTIF(J51,"CUMPLE")+COUNTIF(N51,"CUMPLE")+COUNTIF(T51,"801015")+COUNTIF(T51,"801016")+COUNTIF(T51,"841116")=3,IF(W51="","CUMPLE","NO CUMPLE"),"NO CUMPLE"))</f>
        <v/>
      </c>
      <c r="W51" s="115"/>
      <c r="X51" s="26" t="str">
        <f t="shared" si="12"/>
        <v/>
      </c>
      <c r="Y51" s="136" t="str">
        <f>+IF(X51&lt;&gt;"",(SUMIFS($S50:$S57,$I50:$I57,C51,$V50:$V57,"CUMPLE")),"")</f>
        <v/>
      </c>
      <c r="Z51" s="29" t="str">
        <f t="shared" si="13"/>
        <v/>
      </c>
      <c r="AA51" s="162"/>
      <c r="AB51" s="24"/>
      <c r="AC51" s="144"/>
      <c r="AD51" s="147"/>
    </row>
    <row r="52" spans="1:30" x14ac:dyDescent="0.3">
      <c r="A52" s="150"/>
      <c r="B52" s="153"/>
      <c r="C52" s="14"/>
      <c r="D52" s="30"/>
      <c r="E52" s="156"/>
      <c r="F52" s="159"/>
      <c r="G52" s="24"/>
      <c r="H52" s="8"/>
      <c r="I52" s="24"/>
      <c r="J52" s="24"/>
      <c r="K52" s="9"/>
      <c r="L52" s="47"/>
      <c r="M52" s="47"/>
      <c r="N52" s="26" t="str">
        <f>IF(M52&lt;&gt;"",IF(M52&gt;Listados!$O$4,"NO CUMPLE","CUMPLE"),"")</f>
        <v/>
      </c>
      <c r="O52" s="12"/>
      <c r="P52" s="45" t="str">
        <f t="shared" si="16"/>
        <v/>
      </c>
      <c r="Q52" s="23" t="str">
        <f>IFERROR((P52/_xlfn.XLOOKUP(YEAR(M52),Listados!$B$3:$B$32,Listados!$C$3:$C$32)),"")</f>
        <v/>
      </c>
      <c r="R52" s="46"/>
      <c r="S52" s="27" t="str">
        <f>IF(V52="CUMPLE",IFERROR(R52*Listados!$C$32,"0"),"")</f>
        <v/>
      </c>
      <c r="T52" s="28"/>
      <c r="U52" s="24"/>
      <c r="V52" s="26" t="str">
        <f t="shared" si="17"/>
        <v/>
      </c>
      <c r="W52" s="115"/>
      <c r="X52" s="26" t="str">
        <f t="shared" si="12"/>
        <v/>
      </c>
      <c r="Y52" s="27" t="str">
        <f>+IF(X52&lt;&gt;"",(SUMIFS($S50:$S57,$I50:$I57,C52,$V50:$V57,"CUMPLE")),"")</f>
        <v/>
      </c>
      <c r="Z52" s="29" t="str">
        <f t="shared" si="13"/>
        <v/>
      </c>
      <c r="AA52" s="162"/>
      <c r="AB52" s="24"/>
      <c r="AC52" s="144"/>
      <c r="AD52" s="147"/>
    </row>
    <row r="53" spans="1:30" x14ac:dyDescent="0.3">
      <c r="A53" s="150"/>
      <c r="B53" s="153"/>
      <c r="C53" s="24"/>
      <c r="D53" s="30"/>
      <c r="E53" s="156"/>
      <c r="F53" s="159"/>
      <c r="G53" s="24"/>
      <c r="H53" s="8"/>
      <c r="I53" s="24"/>
      <c r="J53" s="24"/>
      <c r="K53" s="9"/>
      <c r="L53" s="47"/>
      <c r="M53" s="47"/>
      <c r="N53" s="26" t="str">
        <f>IF(M53&lt;&gt;"",IF(M53&gt;Listados!$O$4,"NO CUMPLE","CUMPLE"),"")</f>
        <v/>
      </c>
      <c r="O53" s="12"/>
      <c r="P53" s="45" t="str">
        <f t="shared" si="16"/>
        <v/>
      </c>
      <c r="Q53" s="23" t="str">
        <f>IFERROR((P53/_xlfn.XLOOKUP(YEAR(M53),Listados!$B$3:$B$32,Listados!$C$3:$C$32)),"")</f>
        <v/>
      </c>
      <c r="R53" s="46"/>
      <c r="S53" s="27" t="str">
        <f>IF(V53="CUMPLE",IFERROR(R53*Listados!$C$32,"0"),"")</f>
        <v/>
      </c>
      <c r="T53" s="28"/>
      <c r="U53" s="24"/>
      <c r="V53" s="26" t="str">
        <f t="shared" si="17"/>
        <v/>
      </c>
      <c r="W53" s="115"/>
      <c r="X53" s="26" t="str">
        <f t="shared" si="12"/>
        <v/>
      </c>
      <c r="Y53" s="27" t="str">
        <f>+IF(X53&lt;&gt;"",(SUMIFS($S50:$S57,$I50:$I57,C53,$V50:$V57,"CUMPLE")),"")</f>
        <v/>
      </c>
      <c r="Z53" s="29" t="str">
        <f t="shared" si="13"/>
        <v/>
      </c>
      <c r="AA53" s="162"/>
      <c r="AB53" s="24"/>
      <c r="AC53" s="144"/>
      <c r="AD53" s="147"/>
    </row>
    <row r="54" spans="1:30" x14ac:dyDescent="0.3">
      <c r="A54" s="150"/>
      <c r="B54" s="153"/>
      <c r="C54" s="24"/>
      <c r="D54" s="30"/>
      <c r="E54" s="156"/>
      <c r="F54" s="159"/>
      <c r="G54" s="24"/>
      <c r="H54" s="24"/>
      <c r="I54" s="24"/>
      <c r="J54" s="24"/>
      <c r="K54" s="30"/>
      <c r="L54" s="47"/>
      <c r="M54" s="47"/>
      <c r="N54" s="26" t="str">
        <f>IF(M54&lt;&gt;"",IF(M54&gt;Listados!$O$4,"NO CUMPLE","CUMPLE"),"")</f>
        <v/>
      </c>
      <c r="O54" s="48"/>
      <c r="P54" s="45" t="str">
        <f t="shared" si="16"/>
        <v/>
      </c>
      <c r="Q54" s="23" t="str">
        <f>IFERROR((P54/_xlfn.XLOOKUP(YEAR(M54),Listados!$B$3:$B$32,Listados!$C$3:$C$32)),"")</f>
        <v/>
      </c>
      <c r="R54" s="46"/>
      <c r="S54" s="27" t="str">
        <f>IF(V54="CUMPLE",IFERROR(R54*Listados!$C$32,"0"),"")</f>
        <v/>
      </c>
      <c r="T54" s="28"/>
      <c r="U54" s="24"/>
      <c r="V54" s="26" t="str">
        <f t="shared" si="17"/>
        <v/>
      </c>
      <c r="W54" s="115"/>
      <c r="X54" s="26" t="str">
        <f t="shared" si="12"/>
        <v/>
      </c>
      <c r="Y54" s="27" t="str">
        <f>+IF(X54&lt;&gt;"",(SUMIFS($S50:$S57,$I50:$I57,C54,$V50:$V57,"CUMPLE")),"")</f>
        <v/>
      </c>
      <c r="Z54" s="29" t="str">
        <f t="shared" si="13"/>
        <v/>
      </c>
      <c r="AA54" s="162"/>
      <c r="AB54" s="24"/>
      <c r="AC54" s="144"/>
      <c r="AD54" s="147"/>
    </row>
    <row r="55" spans="1:30" x14ac:dyDescent="0.3">
      <c r="A55" s="150"/>
      <c r="B55" s="153"/>
      <c r="C55" s="24"/>
      <c r="D55" s="30"/>
      <c r="E55" s="156"/>
      <c r="F55" s="159"/>
      <c r="G55" s="24"/>
      <c r="H55" s="24"/>
      <c r="I55" s="24"/>
      <c r="J55" s="24"/>
      <c r="K55" s="30"/>
      <c r="L55" s="47"/>
      <c r="M55" s="47"/>
      <c r="N55" s="26" t="str">
        <f>IF(M55&lt;&gt;"",IF(M55&gt;Listados!$O$4,"NO CUMPLE","CUMPLE"),"")</f>
        <v/>
      </c>
      <c r="O55" s="48"/>
      <c r="P55" s="45" t="str">
        <f t="shared" si="16"/>
        <v/>
      </c>
      <c r="Q55" s="23" t="str">
        <f>IFERROR((P55/_xlfn.XLOOKUP(YEAR(M55),Listados!$B$3:$B$32,Listados!$C$3:$C$32)),"")</f>
        <v/>
      </c>
      <c r="R55" s="46"/>
      <c r="S55" s="27" t="str">
        <f>IF(V55="CUMPLE",IFERROR(R55*Listados!$C$32,"0"),"")</f>
        <v/>
      </c>
      <c r="T55" s="28"/>
      <c r="U55" s="24"/>
      <c r="V55" s="26" t="str">
        <f t="shared" si="17"/>
        <v/>
      </c>
      <c r="W55" s="115"/>
      <c r="X55" s="26" t="str">
        <f t="shared" si="12"/>
        <v/>
      </c>
      <c r="Y55" s="27" t="str">
        <f>+IF(X55&lt;&gt;"",(SUMIFS($S50:$S57,$I50:$I57,C55,$V50:$V57,"CUMPLE")),"")</f>
        <v/>
      </c>
      <c r="Z55" s="29" t="str">
        <f t="shared" si="13"/>
        <v/>
      </c>
      <c r="AA55" s="162"/>
      <c r="AB55" s="24"/>
      <c r="AC55" s="144"/>
      <c r="AD55" s="147"/>
    </row>
    <row r="56" spans="1:30" x14ac:dyDescent="0.3">
      <c r="A56" s="150"/>
      <c r="B56" s="153"/>
      <c r="C56" s="24"/>
      <c r="D56" s="30"/>
      <c r="E56" s="156"/>
      <c r="F56" s="159"/>
      <c r="G56" s="24"/>
      <c r="H56" s="24"/>
      <c r="I56" s="24"/>
      <c r="J56" s="24"/>
      <c r="K56" s="30"/>
      <c r="L56" s="47"/>
      <c r="M56" s="47"/>
      <c r="N56" s="26" t="str">
        <f>IF(M56&lt;&gt;"",IF(M56&gt;Listados!$O$4,"NO CUMPLE","CUMPLE"),"")</f>
        <v/>
      </c>
      <c r="O56" s="48"/>
      <c r="P56" s="45" t="str">
        <f t="shared" si="16"/>
        <v/>
      </c>
      <c r="Q56" s="23" t="str">
        <f>IFERROR((P56/_xlfn.XLOOKUP(YEAR(M56),Listados!$B$3:$B$32,Listados!$C$3:$C$32)),"")</f>
        <v/>
      </c>
      <c r="R56" s="46"/>
      <c r="S56" s="27" t="str">
        <f>IF(V56="CUMPLE",IFERROR(R56*Listados!$C$32,"0"),"")</f>
        <v/>
      </c>
      <c r="T56" s="28"/>
      <c r="U56" s="24"/>
      <c r="V56" s="26" t="str">
        <f t="shared" si="17"/>
        <v/>
      </c>
      <c r="W56" s="115"/>
      <c r="X56" s="26" t="str">
        <f t="shared" si="12"/>
        <v/>
      </c>
      <c r="Y56" s="27" t="str">
        <f>+IF(X56&lt;&gt;"",(SUMIFS($S50:$S57,$I50:$I57,C56,$V50:$V57,"CUMPLE")),"")</f>
        <v/>
      </c>
      <c r="Z56" s="29" t="str">
        <f t="shared" si="13"/>
        <v/>
      </c>
      <c r="AA56" s="162"/>
      <c r="AB56" s="24"/>
      <c r="AC56" s="144"/>
      <c r="AD56" s="147"/>
    </row>
    <row r="57" spans="1:30" ht="11.4" thickBot="1" x14ac:dyDescent="0.35">
      <c r="A57" s="151"/>
      <c r="B57" s="154"/>
      <c r="C57" s="34"/>
      <c r="D57" s="32"/>
      <c r="E57" s="157"/>
      <c r="F57" s="160"/>
      <c r="G57" s="34"/>
      <c r="H57" s="34"/>
      <c r="I57" s="34"/>
      <c r="J57" s="34"/>
      <c r="K57" s="32"/>
      <c r="L57" s="49"/>
      <c r="M57" s="49"/>
      <c r="N57" s="35" t="str">
        <f>IF(M57&lt;&gt;"",IF(M57&gt;Listados!$O$4,"NO CUMPLE","CUMPLE"),"")</f>
        <v/>
      </c>
      <c r="O57" s="50"/>
      <c r="P57" s="51" t="str">
        <f t="shared" si="16"/>
        <v/>
      </c>
      <c r="Q57" s="33" t="str">
        <f>IFERROR((P57/_xlfn.XLOOKUP(YEAR(M57),Listados!$B$3:$B$32,Listados!$C$3:$C$32)),"")</f>
        <v/>
      </c>
      <c r="R57" s="52"/>
      <c r="S57" s="36" t="str">
        <f>IF(V57="CUMPLE",IFERROR(R57*Listados!$C$32,"0"),"")</f>
        <v/>
      </c>
      <c r="T57" s="37"/>
      <c r="U57" s="34"/>
      <c r="V57" s="35" t="str">
        <f t="shared" si="17"/>
        <v/>
      </c>
      <c r="W57" s="116"/>
      <c r="X57" s="35" t="str">
        <f t="shared" si="12"/>
        <v/>
      </c>
      <c r="Y57" s="138" t="str">
        <f>+IF(X57&lt;&gt;"",(SUMIFS($S50:$S57,$I50:$I57,C57,$V50:$V57,"CUMPLE")),"")</f>
        <v/>
      </c>
      <c r="Z57" s="38" t="str">
        <f t="shared" si="13"/>
        <v/>
      </c>
      <c r="AA57" s="163"/>
      <c r="AB57" s="34"/>
      <c r="AC57" s="145"/>
      <c r="AD57" s="148"/>
    </row>
    <row r="58" spans="1:30" ht="44.4" customHeight="1" x14ac:dyDescent="0.3">
      <c r="A58" s="149">
        <v>8</v>
      </c>
      <c r="B58" s="152" t="s">
        <v>63</v>
      </c>
      <c r="C58" s="83" t="s">
        <v>64</v>
      </c>
      <c r="D58" s="7">
        <v>0.4</v>
      </c>
      <c r="E58" s="155">
        <f>Listados!$M$3</f>
        <v>1351954266</v>
      </c>
      <c r="F58" s="158">
        <f>E58/Listados!$C$32</f>
        <v>1039.9648199999999</v>
      </c>
      <c r="G58" s="17">
        <v>1</v>
      </c>
      <c r="H58" s="10" t="s">
        <v>65</v>
      </c>
      <c r="I58" s="17" t="s">
        <v>64</v>
      </c>
      <c r="J58" s="17" t="s">
        <v>42</v>
      </c>
      <c r="K58" s="7">
        <v>0.4</v>
      </c>
      <c r="L58" s="82">
        <v>43235</v>
      </c>
      <c r="M58" s="82">
        <v>43570</v>
      </c>
      <c r="N58" s="18" t="str">
        <f>IF(M58&lt;&gt;"",IF(M58&gt;Listados!$O$4,"NO CUMPLE","CUMPLE"),"")</f>
        <v>CUMPLE</v>
      </c>
      <c r="O58" s="11">
        <v>2283789750</v>
      </c>
      <c r="P58" s="43">
        <f>IF(O58&gt;0,K58*O58,"")</f>
        <v>913515900</v>
      </c>
      <c r="Q58" s="16">
        <f>IFERROR((P58/_xlfn.XLOOKUP(YEAR(M58),Listados!$B$3:$B$32,Listados!$C$3:$C$32)),"")</f>
        <v>1103.1255283076284</v>
      </c>
      <c r="R58" s="44">
        <f>2757.81*0.4</f>
        <v>1103.124</v>
      </c>
      <c r="S58" s="19">
        <f>IF(V58="CUMPLE",IFERROR(R58*Listados!$C$32,"0"),"")</f>
        <v>1434061200</v>
      </c>
      <c r="T58" s="20">
        <v>801015</v>
      </c>
      <c r="U58" s="17">
        <v>255</v>
      </c>
      <c r="V58" s="18" t="str">
        <f>IF(COUNTBLANK(J58)+COUNTBLANK(N58)+COUNTBLANK(T58)=3,"",IF(COUNTIF(J58,"CUMPLE")+COUNTIF(N58,"CUMPLE")+COUNTIF(T58,"801015")+COUNTIF(T58,"801016")+COUNTIF(T58,"841116")=3,IF(W58="","CUMPLE","NO CUMPLE"),"NO CUMPLE"))</f>
        <v>CUMPLE</v>
      </c>
      <c r="W58" s="114"/>
      <c r="X58" s="18" t="str">
        <f t="shared" si="12"/>
        <v>TOOL SS SAS NIT 804.013.213-5</v>
      </c>
      <c r="Y58" s="137">
        <f>+IF(X58&lt;&gt;"",(SUMIFS($S58:$S65,$I58:$I65,C58,$V58:$V65,"CUMPLE")),"")</f>
        <v>1434061200</v>
      </c>
      <c r="Z58" s="21" t="str">
        <f t="shared" si="13"/>
        <v>CUMPLE</v>
      </c>
      <c r="AA58" s="161">
        <f>IF(C58&gt;0,SUMIFS(Y58:Y65,Z58:Z65,"CUMPLE"),"")</f>
        <v>3504508800</v>
      </c>
      <c r="AB58" s="17"/>
      <c r="AC58" s="143" t="str">
        <f>IF(B58="","",IF(COUNTIF(Z58:Z65,"NO CUMPLE")&gt;0,"NO CUMPLE",IF(E58&gt;AA58,"NO CUMPLE",IF(AA58="","","CUMPLE"))))</f>
        <v>CUMPLE</v>
      </c>
      <c r="AD58" s="146"/>
    </row>
    <row r="59" spans="1:30" ht="85.2" customHeight="1" x14ac:dyDescent="0.3">
      <c r="A59" s="150"/>
      <c r="B59" s="153"/>
      <c r="C59" s="84" t="s">
        <v>66</v>
      </c>
      <c r="D59" s="9">
        <v>0.6</v>
      </c>
      <c r="E59" s="156"/>
      <c r="F59" s="159"/>
      <c r="G59" s="24">
        <v>2</v>
      </c>
      <c r="H59" s="8" t="s">
        <v>67</v>
      </c>
      <c r="I59" s="24" t="s">
        <v>66</v>
      </c>
      <c r="J59" s="24" t="s">
        <v>42</v>
      </c>
      <c r="K59" s="9">
        <v>0.6</v>
      </c>
      <c r="L59" s="47">
        <v>44021</v>
      </c>
      <c r="M59" s="47">
        <v>44336</v>
      </c>
      <c r="N59" s="26" t="str">
        <f>IF(M59&lt;&gt;"",IF(M59&gt;Listados!$O$4,"NO CUMPLE","CUMPLE"),"")</f>
        <v>CUMPLE</v>
      </c>
      <c r="O59" s="12">
        <v>2411616075</v>
      </c>
      <c r="P59" s="45">
        <f t="shared" ref="P59:P65" si="18">IF(O59&gt;0,K59*O59,"")</f>
        <v>1446969645</v>
      </c>
      <c r="Q59" s="23">
        <f>IFERROR((P59/_xlfn.XLOOKUP(YEAR(M59),Listados!$B$3:$B$32,Listados!$C$3:$C$32)),"")</f>
        <v>1592.6562861161926</v>
      </c>
      <c r="R59" s="46">
        <f>2654.42*0.6</f>
        <v>1592.652</v>
      </c>
      <c r="S59" s="27">
        <f>IF(V59="CUMPLE",IFERROR(R59*Listados!$C$32,"0"),"")</f>
        <v>2070447600</v>
      </c>
      <c r="T59" s="28">
        <v>801016</v>
      </c>
      <c r="U59" s="24">
        <v>126</v>
      </c>
      <c r="V59" s="26" t="str">
        <f t="shared" ref="V59:V65" si="19">IF(COUNTBLANK(J59)+COUNTBLANK(N59)+COUNTBLANK(T59)=3,"",IF(COUNTIF(J59,"CUMPLE")+COUNTIF(N59,"CUMPLE")+COUNTIF(T59,"801015")+COUNTIF(T59,"801016")+COUNTIF(T59,"841116")=3,IF(W59="","CUMPLE","NO CUMPLE"),"NO CUMPLE"))</f>
        <v>CUMPLE</v>
      </c>
      <c r="W59" s="115"/>
      <c r="X59" s="26" t="str">
        <f t="shared" si="12"/>
        <v>TOOL CONSULTING SAS NIT 
901.430.923-6</v>
      </c>
      <c r="Y59" s="27">
        <f>+IF(X59&lt;&gt;"",(SUMIFS($S58:$S65,$I58:$I65,C59,$V58:$V65,"CUMPLE")),"")</f>
        <v>2070447600</v>
      </c>
      <c r="Z59" s="29" t="str">
        <f t="shared" si="13"/>
        <v>CUMPLE</v>
      </c>
      <c r="AA59" s="162"/>
      <c r="AB59" s="24"/>
      <c r="AC59" s="144"/>
      <c r="AD59" s="147"/>
    </row>
    <row r="60" spans="1:30" x14ac:dyDescent="0.3">
      <c r="A60" s="150"/>
      <c r="B60" s="153"/>
      <c r="C60" s="14"/>
      <c r="D60" s="30"/>
      <c r="E60" s="156"/>
      <c r="F60" s="159"/>
      <c r="G60" s="24"/>
      <c r="H60" s="8"/>
      <c r="I60" s="24"/>
      <c r="J60" s="24"/>
      <c r="K60" s="9"/>
      <c r="L60" s="47"/>
      <c r="M60" s="47"/>
      <c r="N60" s="26" t="str">
        <f>IF(M60&lt;&gt;"",IF(M60&gt;Listados!$O$4,"NO CUMPLE","CUMPLE"),"")</f>
        <v/>
      </c>
      <c r="O60" s="12"/>
      <c r="P60" s="45" t="str">
        <f t="shared" si="18"/>
        <v/>
      </c>
      <c r="Q60" s="23" t="str">
        <f>IFERROR((P60/_xlfn.XLOOKUP(YEAR(M60),Listados!$B$3:$B$32,Listados!$C$3:$C$32)),"")</f>
        <v/>
      </c>
      <c r="R60" s="46"/>
      <c r="S60" s="27" t="str">
        <f>IF(V60="CUMPLE",IFERROR(R60*Listados!$C$32,"0"),"")</f>
        <v/>
      </c>
      <c r="T60" s="28"/>
      <c r="U60" s="24"/>
      <c r="V60" s="26" t="str">
        <f t="shared" si="19"/>
        <v/>
      </c>
      <c r="W60" s="115"/>
      <c r="X60" s="26" t="str">
        <f t="shared" si="12"/>
        <v/>
      </c>
      <c r="Y60" s="27" t="str">
        <f>+IF(X60&lt;&gt;"",(SUMIFS($S58:$S65,$I58:$I65,C60,$V58:$V65,"CUMPLE")),"")</f>
        <v/>
      </c>
      <c r="Z60" s="29" t="str">
        <f t="shared" si="13"/>
        <v/>
      </c>
      <c r="AA60" s="162"/>
      <c r="AB60" s="24"/>
      <c r="AC60" s="144"/>
      <c r="AD60" s="147"/>
    </row>
    <row r="61" spans="1:30" x14ac:dyDescent="0.3">
      <c r="A61" s="150"/>
      <c r="B61" s="153"/>
      <c r="C61" s="24"/>
      <c r="D61" s="30"/>
      <c r="E61" s="156"/>
      <c r="F61" s="159"/>
      <c r="G61" s="24"/>
      <c r="H61" s="8"/>
      <c r="I61" s="24"/>
      <c r="J61" s="24"/>
      <c r="K61" s="9"/>
      <c r="L61" s="47"/>
      <c r="M61" s="47"/>
      <c r="N61" s="26" t="str">
        <f>IF(M61&lt;&gt;"",IF(M61&gt;Listados!$O$4,"NO CUMPLE","CUMPLE"),"")</f>
        <v/>
      </c>
      <c r="O61" s="12"/>
      <c r="P61" s="45" t="str">
        <f t="shared" si="18"/>
        <v/>
      </c>
      <c r="Q61" s="23" t="str">
        <f>IFERROR((P61/_xlfn.XLOOKUP(YEAR(M61),Listados!$B$3:$B$32,Listados!$C$3:$C$32)),"")</f>
        <v/>
      </c>
      <c r="R61" s="46"/>
      <c r="S61" s="27" t="str">
        <f>IF(V61="CUMPLE",IFERROR(R61*Listados!$C$32,"0"),"")</f>
        <v/>
      </c>
      <c r="T61" s="28"/>
      <c r="U61" s="24"/>
      <c r="V61" s="26" t="str">
        <f t="shared" si="19"/>
        <v/>
      </c>
      <c r="W61" s="115"/>
      <c r="X61" s="26" t="str">
        <f t="shared" si="12"/>
        <v/>
      </c>
      <c r="Y61" s="27" t="str">
        <f>+IF(X61&lt;&gt;"",(SUMIFS($S58:$S65,$I58:$I65,C61,$V58:$V65,"CUMPLE")),"")</f>
        <v/>
      </c>
      <c r="Z61" s="29" t="str">
        <f t="shared" si="13"/>
        <v/>
      </c>
      <c r="AA61" s="162"/>
      <c r="AB61" s="24"/>
      <c r="AC61" s="144"/>
      <c r="AD61" s="147"/>
    </row>
    <row r="62" spans="1:30" x14ac:dyDescent="0.3">
      <c r="A62" s="150"/>
      <c r="B62" s="153"/>
      <c r="C62" s="24"/>
      <c r="D62" s="30"/>
      <c r="E62" s="156"/>
      <c r="F62" s="159"/>
      <c r="G62" s="24"/>
      <c r="H62" s="24"/>
      <c r="I62" s="24"/>
      <c r="J62" s="24"/>
      <c r="K62" s="30"/>
      <c r="L62" s="47"/>
      <c r="M62" s="47"/>
      <c r="N62" s="26" t="str">
        <f>IF(M62&lt;&gt;"",IF(M62&gt;Listados!$O$4,"NO CUMPLE","CUMPLE"),"")</f>
        <v/>
      </c>
      <c r="O62" s="48"/>
      <c r="P62" s="45" t="str">
        <f t="shared" si="18"/>
        <v/>
      </c>
      <c r="Q62" s="23" t="str">
        <f>IFERROR((P62/_xlfn.XLOOKUP(YEAR(M62),Listados!$B$3:$B$32,Listados!$C$3:$C$32)),"")</f>
        <v/>
      </c>
      <c r="R62" s="46"/>
      <c r="S62" s="27" t="str">
        <f>IF(V62="CUMPLE",IFERROR(R62*Listados!$C$32,"0"),"")</f>
        <v/>
      </c>
      <c r="T62" s="28"/>
      <c r="U62" s="24"/>
      <c r="V62" s="26" t="str">
        <f t="shared" si="19"/>
        <v/>
      </c>
      <c r="W62" s="115"/>
      <c r="X62" s="26" t="str">
        <f t="shared" si="12"/>
        <v/>
      </c>
      <c r="Y62" s="27" t="str">
        <f>+IF(X62&lt;&gt;"",(SUMIFS($S58:$S65,$I58:$I65,C62,$V58:$V65,"CUMPLE")),"")</f>
        <v/>
      </c>
      <c r="Z62" s="29" t="str">
        <f t="shared" si="13"/>
        <v/>
      </c>
      <c r="AA62" s="162"/>
      <c r="AB62" s="24"/>
      <c r="AC62" s="144"/>
      <c r="AD62" s="147"/>
    </row>
    <row r="63" spans="1:30" x14ac:dyDescent="0.3">
      <c r="A63" s="150"/>
      <c r="B63" s="153"/>
      <c r="C63" s="24"/>
      <c r="D63" s="30"/>
      <c r="E63" s="156"/>
      <c r="F63" s="159"/>
      <c r="G63" s="24"/>
      <c r="H63" s="24"/>
      <c r="I63" s="24"/>
      <c r="J63" s="24"/>
      <c r="K63" s="30"/>
      <c r="L63" s="47"/>
      <c r="M63" s="47"/>
      <c r="N63" s="26" t="str">
        <f>IF(M63&lt;&gt;"",IF(M63&gt;Listados!$O$4,"NO CUMPLE","CUMPLE"),"")</f>
        <v/>
      </c>
      <c r="O63" s="48"/>
      <c r="P63" s="45" t="str">
        <f t="shared" si="18"/>
        <v/>
      </c>
      <c r="Q63" s="23" t="str">
        <f>IFERROR((P63/_xlfn.XLOOKUP(YEAR(M63),Listados!$B$3:$B$32,Listados!$C$3:$C$32)),"")</f>
        <v/>
      </c>
      <c r="R63" s="46"/>
      <c r="S63" s="27" t="str">
        <f>IF(V63="CUMPLE",IFERROR(R63*Listados!$C$32,"0"),"")</f>
        <v/>
      </c>
      <c r="T63" s="28"/>
      <c r="U63" s="24"/>
      <c r="V63" s="26" t="str">
        <f t="shared" si="19"/>
        <v/>
      </c>
      <c r="W63" s="115"/>
      <c r="X63" s="26" t="str">
        <f t="shared" si="12"/>
        <v/>
      </c>
      <c r="Y63" s="27" t="str">
        <f>+IF(X63&lt;&gt;"",(SUMIFS($S58:$S65,$I58:$I65,C63,$V58:$V65,"CUMPLE")),"")</f>
        <v/>
      </c>
      <c r="Z63" s="29" t="str">
        <f t="shared" si="13"/>
        <v/>
      </c>
      <c r="AA63" s="162"/>
      <c r="AB63" s="24"/>
      <c r="AC63" s="144"/>
      <c r="AD63" s="147"/>
    </row>
    <row r="64" spans="1:30" x14ac:dyDescent="0.3">
      <c r="A64" s="150"/>
      <c r="B64" s="153"/>
      <c r="C64" s="24"/>
      <c r="D64" s="30"/>
      <c r="E64" s="156"/>
      <c r="F64" s="159"/>
      <c r="G64" s="24"/>
      <c r="H64" s="24"/>
      <c r="I64" s="24"/>
      <c r="J64" s="24"/>
      <c r="K64" s="30"/>
      <c r="L64" s="47"/>
      <c r="M64" s="47"/>
      <c r="N64" s="26" t="str">
        <f>IF(M64&lt;&gt;"",IF(M64&gt;Listados!$O$4,"NO CUMPLE","CUMPLE"),"")</f>
        <v/>
      </c>
      <c r="O64" s="48"/>
      <c r="P64" s="45" t="str">
        <f t="shared" si="18"/>
        <v/>
      </c>
      <c r="Q64" s="23" t="str">
        <f>IFERROR((P64/_xlfn.XLOOKUP(YEAR(M64),Listados!$B$3:$B$32,Listados!$C$3:$C$32)),"")</f>
        <v/>
      </c>
      <c r="R64" s="46"/>
      <c r="S64" s="27" t="str">
        <f>IF(V64="CUMPLE",IFERROR(R64*Listados!$C$32,"0"),"")</f>
        <v/>
      </c>
      <c r="T64" s="28"/>
      <c r="U64" s="24"/>
      <c r="V64" s="26" t="str">
        <f t="shared" si="19"/>
        <v/>
      </c>
      <c r="W64" s="115"/>
      <c r="X64" s="26" t="str">
        <f t="shared" si="12"/>
        <v/>
      </c>
      <c r="Y64" s="27" t="str">
        <f>+IF(X64&lt;&gt;"",(SUMIFS($S58:$S65,$I58:$I65,C64,$V58:$V65,"CUMPLE")),"")</f>
        <v/>
      </c>
      <c r="Z64" s="29" t="str">
        <f t="shared" si="13"/>
        <v/>
      </c>
      <c r="AA64" s="162"/>
      <c r="AB64" s="24"/>
      <c r="AC64" s="144"/>
      <c r="AD64" s="147"/>
    </row>
    <row r="65" spans="1:30" ht="11.4" thickBot="1" x14ac:dyDescent="0.35">
      <c r="A65" s="151"/>
      <c r="B65" s="154"/>
      <c r="C65" s="34"/>
      <c r="D65" s="32"/>
      <c r="E65" s="157"/>
      <c r="F65" s="160"/>
      <c r="G65" s="34"/>
      <c r="H65" s="34"/>
      <c r="I65" s="34"/>
      <c r="J65" s="34"/>
      <c r="K65" s="32"/>
      <c r="L65" s="49"/>
      <c r="M65" s="49"/>
      <c r="N65" s="35" t="str">
        <f>IF(M65&lt;&gt;"",IF(M65&gt;Listados!$O$4,"NO CUMPLE","CUMPLE"),"")</f>
        <v/>
      </c>
      <c r="O65" s="50"/>
      <c r="P65" s="51" t="str">
        <f t="shared" si="18"/>
        <v/>
      </c>
      <c r="Q65" s="33" t="str">
        <f>IFERROR((P65/_xlfn.XLOOKUP(YEAR(M65),Listados!$B$3:$B$32,Listados!$C$3:$C$32)),"")</f>
        <v/>
      </c>
      <c r="R65" s="52"/>
      <c r="S65" s="36" t="str">
        <f>IF(V65="CUMPLE",IFERROR(R65*Listados!$C$32,"0"),"")</f>
        <v/>
      </c>
      <c r="T65" s="37"/>
      <c r="U65" s="34"/>
      <c r="V65" s="35" t="str">
        <f t="shared" si="19"/>
        <v/>
      </c>
      <c r="W65" s="116"/>
      <c r="X65" s="35" t="str">
        <f t="shared" si="12"/>
        <v/>
      </c>
      <c r="Y65" s="36" t="str">
        <f>+IF(X65&lt;&gt;"",(SUMIFS($S58:$S65,$I58:$I65,C65,$V58:$V65,"CUMPLE")),"")</f>
        <v/>
      </c>
      <c r="Z65" s="38" t="str">
        <f t="shared" si="13"/>
        <v/>
      </c>
      <c r="AA65" s="163"/>
      <c r="AB65" s="34"/>
      <c r="AC65" s="145"/>
      <c r="AD65" s="148"/>
    </row>
    <row r="66" spans="1:30" ht="64.8" x14ac:dyDescent="0.3">
      <c r="A66" s="149">
        <v>9</v>
      </c>
      <c r="B66" s="152" t="s">
        <v>68</v>
      </c>
      <c r="C66" s="83" t="s">
        <v>69</v>
      </c>
      <c r="D66" s="7">
        <v>0.5</v>
      </c>
      <c r="E66" s="155">
        <f>Listados!$M$3</f>
        <v>1351954266</v>
      </c>
      <c r="F66" s="158">
        <f>E66/Listados!$C$32</f>
        <v>1039.9648199999999</v>
      </c>
      <c r="G66" s="17">
        <v>1</v>
      </c>
      <c r="H66" s="124" t="s">
        <v>272</v>
      </c>
      <c r="I66" s="17" t="s">
        <v>70</v>
      </c>
      <c r="J66" s="17" t="s">
        <v>32</v>
      </c>
      <c r="K66" s="7">
        <v>0.39</v>
      </c>
      <c r="L66" s="82">
        <v>44627</v>
      </c>
      <c r="M66" s="82">
        <v>44872</v>
      </c>
      <c r="N66" s="18" t="str">
        <f>IF(M66&lt;&gt;"",IF(M66&gt;Listados!$O$4,"NO CUMPLE","CUMPLE"),"")</f>
        <v>CUMPLE</v>
      </c>
      <c r="O66" s="11">
        <v>2005848768</v>
      </c>
      <c r="P66" s="43">
        <f>IF(O66&gt;0,K66*O66,"")</f>
        <v>782281019.51999998</v>
      </c>
      <c r="Q66" s="16">
        <f>IFERROR((P66/_xlfn.XLOOKUP(YEAR(M66),Listados!$B$3:$B$32,Listados!$C$3:$C$32)),"")</f>
        <v>782.28101951999997</v>
      </c>
      <c r="R66" s="44">
        <v>781</v>
      </c>
      <c r="S66" s="19" t="str">
        <f>IF(V66="CUMPLE",IFERROR(R66*Listados!$C$32,"0"),"")</f>
        <v/>
      </c>
      <c r="T66" s="20">
        <v>801015</v>
      </c>
      <c r="U66" s="17">
        <v>331</v>
      </c>
      <c r="V66" s="18" t="str">
        <f>IF(COUNTBLANK(J66)+COUNTBLANK(N66)+COUNTBLANK(T66)=3,"",IF(COUNTIF(J66,"CUMPLE")+COUNTIF(N66,"CUMPLE")+COUNTIF(T66,"801015")+COUNTIF(T66,"801016")+COUNTIF(T66,"841116")=3,IF(W66="","CUMPLE","NO CUMPLE"),"NO CUMPLE"))</f>
        <v>NO CUMPLE</v>
      </c>
      <c r="W66" s="114" t="s">
        <v>276</v>
      </c>
      <c r="X66" s="18" t="str">
        <f t="shared" ref="X66:X97" si="20">IF(C66&lt;&gt;"",C66,"")</f>
        <v>ITECO CONSULTORES SAS BIC- NIT 800.181.867</v>
      </c>
      <c r="Y66" s="19">
        <f>+IF(X66&lt;&gt;"",(SUMIFS($S66:$S73,$I66:$I73,C66,$V66:$V73,"CUMPLE")),"")</f>
        <v>0</v>
      </c>
      <c r="Z66" s="21" t="str">
        <f t="shared" ref="Z66:Z97" si="21">IF(D66&gt;0,(IF(Y66&gt;=($D66*E$2),"CUMPLE","NO CUMPLE")),"")</f>
        <v>NO CUMPLE</v>
      </c>
      <c r="AA66" s="161">
        <f>IF(C66&gt;0,SUMIFS(Y66:Y73,Z66:Z73,"CUMPLE"),"")</f>
        <v>0</v>
      </c>
      <c r="AB66" s="17"/>
      <c r="AC66" s="143" t="str">
        <f>IF(B66="","",IF(COUNTIF(Z66:Z73,"NO CUMPLE")&gt;0,"NO CUMPLE",IF(E66&gt;AA66,"NO CUMPLE",IF(AA66="","","CUMPLE"))))</f>
        <v>NO CUMPLE</v>
      </c>
      <c r="AD66" s="174" t="s">
        <v>271</v>
      </c>
    </row>
    <row r="67" spans="1:30" ht="86.4" x14ac:dyDescent="0.3">
      <c r="A67" s="150"/>
      <c r="B67" s="153"/>
      <c r="C67" s="84" t="s">
        <v>70</v>
      </c>
      <c r="D67" s="9">
        <v>0.5</v>
      </c>
      <c r="E67" s="156"/>
      <c r="F67" s="159"/>
      <c r="G67" s="24">
        <v>2</v>
      </c>
      <c r="H67" s="84" t="s">
        <v>273</v>
      </c>
      <c r="I67" s="24" t="s">
        <v>69</v>
      </c>
      <c r="J67" s="24" t="s">
        <v>32</v>
      </c>
      <c r="K67" s="9">
        <v>1</v>
      </c>
      <c r="L67" s="47">
        <v>44914</v>
      </c>
      <c r="M67" s="47"/>
      <c r="N67" s="26" t="str">
        <f>IF(M67&lt;&gt;"",IF(M67&gt;Listados!$O$4,"NO CUMPLE","CUMPLE"),"")</f>
        <v/>
      </c>
      <c r="O67" s="12">
        <v>2333200000</v>
      </c>
      <c r="P67" s="45">
        <f t="shared" ref="P67:P73" si="22">IF(O67&gt;0,K67*O67,"")</f>
        <v>2333200000</v>
      </c>
      <c r="Q67" s="23" t="str">
        <f>IFERROR((P67/_xlfn.XLOOKUP(YEAR(M67),Listados!$B$3:$B$32,Listados!$C$3:$C$32)),"")</f>
        <v/>
      </c>
      <c r="R67" s="46">
        <v>1794</v>
      </c>
      <c r="S67" s="27" t="str">
        <f>IF(V67="CUMPLE",IFERROR(R67*Listados!$C$32,"0"),"")</f>
        <v/>
      </c>
      <c r="T67" s="28">
        <v>801015</v>
      </c>
      <c r="U67" s="24">
        <v>65</v>
      </c>
      <c r="V67" s="26" t="str">
        <f t="shared" ref="V67:V73" si="23">IF(COUNTBLANK(J67)+COUNTBLANK(N67)+COUNTBLANK(T67)=3,"",IF(COUNTIF(J67,"CUMPLE")+COUNTIF(N67,"CUMPLE")+COUNTIF(T67,"801015")+COUNTIF(T67,"801016")+COUNTIF(T67,"841116")=3,IF(W67="","CUMPLE","NO CUMPLE"),"NO CUMPLE"))</f>
        <v>NO CUMPLE</v>
      </c>
      <c r="W67" s="115" t="s">
        <v>71</v>
      </c>
      <c r="X67" s="26" t="str">
        <f t="shared" si="20"/>
        <v>STRATUSS SAS NIT 901.417.647</v>
      </c>
      <c r="Y67" s="27">
        <f>+IF(X67&lt;&gt;"",(SUMIFS($S66:$S73,$I66:$I73,C67,$V66:$V73,"CUMPLE")),"")</f>
        <v>0</v>
      </c>
      <c r="Z67" s="29" t="str">
        <f t="shared" si="21"/>
        <v>NO CUMPLE</v>
      </c>
      <c r="AA67" s="162"/>
      <c r="AB67" s="24"/>
      <c r="AC67" s="144"/>
      <c r="AD67" s="175"/>
    </row>
    <row r="68" spans="1:30" x14ac:dyDescent="0.3">
      <c r="A68" s="150"/>
      <c r="B68" s="153"/>
      <c r="C68" s="14"/>
      <c r="D68" s="30"/>
      <c r="E68" s="156"/>
      <c r="F68" s="159"/>
      <c r="G68" s="24"/>
      <c r="H68" s="8"/>
      <c r="I68" s="24"/>
      <c r="J68" s="24"/>
      <c r="K68" s="9"/>
      <c r="L68" s="47"/>
      <c r="M68" s="47"/>
      <c r="N68" s="26" t="str">
        <f>IF(M68&lt;&gt;"",IF(M68&gt;Listados!$O$4,"NO CUMPLE","CUMPLE"),"")</f>
        <v/>
      </c>
      <c r="O68" s="12"/>
      <c r="P68" s="45" t="str">
        <f t="shared" si="22"/>
        <v/>
      </c>
      <c r="Q68" s="23" t="str">
        <f>IFERROR((P68/_xlfn.XLOOKUP(YEAR(M68),Listados!$B$3:$B$32,Listados!$C$3:$C$32)),"")</f>
        <v/>
      </c>
      <c r="R68" s="46"/>
      <c r="S68" s="27" t="str">
        <f>IF(V68="CUMPLE",IFERROR(R68*Listados!$C$32,"0"),"")</f>
        <v/>
      </c>
      <c r="T68" s="28"/>
      <c r="U68" s="24"/>
      <c r="V68" s="26" t="str">
        <f t="shared" si="23"/>
        <v/>
      </c>
      <c r="W68" s="115"/>
      <c r="X68" s="26" t="str">
        <f t="shared" si="20"/>
        <v/>
      </c>
      <c r="Y68" s="27" t="str">
        <f>+IF(X68&lt;&gt;"",(SUMIFS($S66:$S73,$I66:$I73,C68,$V66:$V73,"CUMPLE")),"")</f>
        <v/>
      </c>
      <c r="Z68" s="29" t="str">
        <f t="shared" si="21"/>
        <v/>
      </c>
      <c r="AA68" s="162"/>
      <c r="AB68" s="24"/>
      <c r="AC68" s="144"/>
      <c r="AD68" s="175"/>
    </row>
    <row r="69" spans="1:30" x14ac:dyDescent="0.3">
      <c r="A69" s="150"/>
      <c r="B69" s="153"/>
      <c r="C69" s="24"/>
      <c r="D69" s="30"/>
      <c r="E69" s="156"/>
      <c r="F69" s="159"/>
      <c r="G69" s="24"/>
      <c r="H69" s="8"/>
      <c r="I69" s="24"/>
      <c r="J69" s="24"/>
      <c r="K69" s="9"/>
      <c r="L69" s="47"/>
      <c r="M69" s="47"/>
      <c r="N69" s="26" t="str">
        <f>IF(M69&lt;&gt;"",IF(M69&gt;Listados!$O$4,"NO CUMPLE","CUMPLE"),"")</f>
        <v/>
      </c>
      <c r="O69" s="12"/>
      <c r="P69" s="45" t="str">
        <f t="shared" si="22"/>
        <v/>
      </c>
      <c r="Q69" s="23" t="str">
        <f>IFERROR((P69/_xlfn.XLOOKUP(YEAR(M69),Listados!$B$3:$B$32,Listados!$C$3:$C$32)),"")</f>
        <v/>
      </c>
      <c r="R69" s="46"/>
      <c r="S69" s="27" t="str">
        <f>IF(V69="CUMPLE",IFERROR(R69*Listados!$C$32,"0"),"")</f>
        <v/>
      </c>
      <c r="T69" s="28"/>
      <c r="U69" s="24"/>
      <c r="V69" s="26" t="str">
        <f t="shared" si="23"/>
        <v/>
      </c>
      <c r="W69" s="115"/>
      <c r="X69" s="26" t="str">
        <f t="shared" si="20"/>
        <v/>
      </c>
      <c r="Y69" s="27" t="str">
        <f>+IF(X69&lt;&gt;"",(SUMIFS($S66:$S73,$I66:$I73,C69,$V66:$V73,"CUMPLE")),"")</f>
        <v/>
      </c>
      <c r="Z69" s="29" t="str">
        <f t="shared" si="21"/>
        <v/>
      </c>
      <c r="AA69" s="162"/>
      <c r="AB69" s="24"/>
      <c r="AC69" s="144"/>
      <c r="AD69" s="175"/>
    </row>
    <row r="70" spans="1:30" x14ac:dyDescent="0.3">
      <c r="A70" s="150"/>
      <c r="B70" s="153"/>
      <c r="C70" s="24"/>
      <c r="D70" s="30"/>
      <c r="E70" s="156"/>
      <c r="F70" s="159"/>
      <c r="G70" s="24"/>
      <c r="H70" s="24"/>
      <c r="I70" s="24"/>
      <c r="J70" s="24"/>
      <c r="K70" s="30"/>
      <c r="L70" s="47"/>
      <c r="M70" s="47"/>
      <c r="N70" s="26" t="str">
        <f>IF(M70&lt;&gt;"",IF(M70&gt;Listados!$O$4,"NO CUMPLE","CUMPLE"),"")</f>
        <v/>
      </c>
      <c r="O70" s="48"/>
      <c r="P70" s="45" t="str">
        <f t="shared" si="22"/>
        <v/>
      </c>
      <c r="Q70" s="23" t="str">
        <f>IFERROR((P70/_xlfn.XLOOKUP(YEAR(M70),Listados!$B$3:$B$32,Listados!$C$3:$C$32)),"")</f>
        <v/>
      </c>
      <c r="R70" s="46"/>
      <c r="S70" s="27" t="str">
        <f>IF(V70="CUMPLE",IFERROR(R70*Listados!$C$32,"0"),"")</f>
        <v/>
      </c>
      <c r="T70" s="28"/>
      <c r="U70" s="24"/>
      <c r="V70" s="26" t="str">
        <f t="shared" si="23"/>
        <v/>
      </c>
      <c r="W70" s="115"/>
      <c r="X70" s="26" t="str">
        <f t="shared" si="20"/>
        <v/>
      </c>
      <c r="Y70" s="27" t="str">
        <f>+IF(X70&lt;&gt;"",(SUMIFS($S66:$S73,$I66:$I73,C70,$V66:$V73,"CUMPLE")),"")</f>
        <v/>
      </c>
      <c r="Z70" s="29" t="str">
        <f t="shared" si="21"/>
        <v/>
      </c>
      <c r="AA70" s="162"/>
      <c r="AB70" s="24"/>
      <c r="AC70" s="144"/>
      <c r="AD70" s="175"/>
    </row>
    <row r="71" spans="1:30" x14ac:dyDescent="0.3">
      <c r="A71" s="150"/>
      <c r="B71" s="153"/>
      <c r="C71" s="24"/>
      <c r="D71" s="30"/>
      <c r="E71" s="156"/>
      <c r="F71" s="159"/>
      <c r="G71" s="24"/>
      <c r="H71" s="24"/>
      <c r="I71" s="24"/>
      <c r="J71" s="24"/>
      <c r="K71" s="30"/>
      <c r="L71" s="47"/>
      <c r="M71" s="47"/>
      <c r="N71" s="26" t="str">
        <f>IF(M71&lt;&gt;"",IF(M71&gt;Listados!$O$4,"NO CUMPLE","CUMPLE"),"")</f>
        <v/>
      </c>
      <c r="O71" s="48"/>
      <c r="P71" s="45" t="str">
        <f t="shared" si="22"/>
        <v/>
      </c>
      <c r="Q71" s="23" t="str">
        <f>IFERROR((P71/_xlfn.XLOOKUP(YEAR(M71),Listados!$B$3:$B$32,Listados!$C$3:$C$32)),"")</f>
        <v/>
      </c>
      <c r="R71" s="46"/>
      <c r="S71" s="27" t="str">
        <f>IF(V71="CUMPLE",IFERROR(R71*Listados!$C$32,"0"),"")</f>
        <v/>
      </c>
      <c r="T71" s="28"/>
      <c r="U71" s="24"/>
      <c r="V71" s="26" t="str">
        <f t="shared" si="23"/>
        <v/>
      </c>
      <c r="W71" s="115"/>
      <c r="X71" s="26" t="str">
        <f t="shared" si="20"/>
        <v/>
      </c>
      <c r="Y71" s="27" t="str">
        <f>+IF(X71&lt;&gt;"",(SUMIFS($S66:$S73,$I66:$I73,C71,$V66:$V73,"CUMPLE")),"")</f>
        <v/>
      </c>
      <c r="Z71" s="29" t="str">
        <f t="shared" si="21"/>
        <v/>
      </c>
      <c r="AA71" s="162"/>
      <c r="AB71" s="24"/>
      <c r="AC71" s="144"/>
      <c r="AD71" s="175"/>
    </row>
    <row r="72" spans="1:30" x14ac:dyDescent="0.3">
      <c r="A72" s="150"/>
      <c r="B72" s="153"/>
      <c r="C72" s="24"/>
      <c r="D72" s="30"/>
      <c r="E72" s="156"/>
      <c r="F72" s="159"/>
      <c r="G72" s="24"/>
      <c r="H72" s="24"/>
      <c r="I72" s="24"/>
      <c r="J72" s="24"/>
      <c r="K72" s="30"/>
      <c r="L72" s="47"/>
      <c r="M72" s="47"/>
      <c r="N72" s="26" t="str">
        <f>IF(M72&lt;&gt;"",IF(M72&gt;Listados!$O$4,"NO CUMPLE","CUMPLE"),"")</f>
        <v/>
      </c>
      <c r="O72" s="48"/>
      <c r="P72" s="45" t="str">
        <f t="shared" si="22"/>
        <v/>
      </c>
      <c r="Q72" s="23" t="str">
        <f>IFERROR((P72/_xlfn.XLOOKUP(YEAR(M72),Listados!$B$3:$B$32,Listados!$C$3:$C$32)),"")</f>
        <v/>
      </c>
      <c r="R72" s="46"/>
      <c r="S72" s="27" t="str">
        <f>IF(V72="CUMPLE",IFERROR(R72*Listados!$C$32,"0"),"")</f>
        <v/>
      </c>
      <c r="T72" s="28"/>
      <c r="U72" s="24"/>
      <c r="V72" s="26" t="str">
        <f t="shared" si="23"/>
        <v/>
      </c>
      <c r="W72" s="115"/>
      <c r="X72" s="26" t="str">
        <f t="shared" si="20"/>
        <v/>
      </c>
      <c r="Y72" s="27" t="str">
        <f>+IF(X72&lt;&gt;"",(SUMIFS($S66:$S73,$I66:$I73,C72,$V66:$V73,"CUMPLE")),"")</f>
        <v/>
      </c>
      <c r="Z72" s="29" t="str">
        <f t="shared" si="21"/>
        <v/>
      </c>
      <c r="AA72" s="162"/>
      <c r="AB72" s="24"/>
      <c r="AC72" s="144"/>
      <c r="AD72" s="175"/>
    </row>
    <row r="73" spans="1:30" ht="11.4" thickBot="1" x14ac:dyDescent="0.35">
      <c r="A73" s="151"/>
      <c r="B73" s="154"/>
      <c r="C73" s="34"/>
      <c r="D73" s="32"/>
      <c r="E73" s="157"/>
      <c r="F73" s="160"/>
      <c r="G73" s="34"/>
      <c r="H73" s="34"/>
      <c r="I73" s="34"/>
      <c r="J73" s="34"/>
      <c r="K73" s="32"/>
      <c r="L73" s="49"/>
      <c r="M73" s="49"/>
      <c r="N73" s="35" t="str">
        <f>IF(M73&lt;&gt;"",IF(M73&gt;Listados!$O$4,"NO CUMPLE","CUMPLE"),"")</f>
        <v/>
      </c>
      <c r="O73" s="50"/>
      <c r="P73" s="51" t="str">
        <f t="shared" si="22"/>
        <v/>
      </c>
      <c r="Q73" s="33" t="str">
        <f>IFERROR((P73/_xlfn.XLOOKUP(YEAR(M73),Listados!$B$3:$B$32,Listados!$C$3:$C$32)),"")</f>
        <v/>
      </c>
      <c r="R73" s="52"/>
      <c r="S73" s="36" t="str">
        <f>IF(V73="CUMPLE",IFERROR(R73*Listados!$C$32,"0"),"")</f>
        <v/>
      </c>
      <c r="T73" s="37"/>
      <c r="U73" s="34"/>
      <c r="V73" s="35" t="str">
        <f t="shared" si="23"/>
        <v/>
      </c>
      <c r="W73" s="116"/>
      <c r="X73" s="35" t="str">
        <f t="shared" si="20"/>
        <v/>
      </c>
      <c r="Y73" s="36" t="str">
        <f>+IF(X73&lt;&gt;"",(SUMIFS($S66:$S73,$I66:$I73,C73,$V66:$V73,"CUMPLE")),"")</f>
        <v/>
      </c>
      <c r="Z73" s="38" t="str">
        <f t="shared" si="21"/>
        <v/>
      </c>
      <c r="AA73" s="163"/>
      <c r="AB73" s="34"/>
      <c r="AC73" s="145"/>
      <c r="AD73" s="176"/>
    </row>
    <row r="74" spans="1:30" ht="43.2" x14ac:dyDescent="0.3">
      <c r="A74" s="149">
        <v>10</v>
      </c>
      <c r="B74" s="152" t="s">
        <v>72</v>
      </c>
      <c r="C74" s="83" t="s">
        <v>73</v>
      </c>
      <c r="D74" s="7">
        <v>1</v>
      </c>
      <c r="E74" s="155">
        <f>Listados!$M$3</f>
        <v>1351954266</v>
      </c>
      <c r="F74" s="158">
        <f>E74/Listados!$C$32</f>
        <v>1039.9648199999999</v>
      </c>
      <c r="G74" s="17">
        <v>1</v>
      </c>
      <c r="H74" s="10" t="s">
        <v>74</v>
      </c>
      <c r="I74" s="17" t="s">
        <v>73</v>
      </c>
      <c r="J74" s="17" t="s">
        <v>42</v>
      </c>
      <c r="K74" s="7">
        <v>1</v>
      </c>
      <c r="L74" s="82">
        <v>41848</v>
      </c>
      <c r="M74" s="82">
        <v>42320</v>
      </c>
      <c r="N74" s="18" t="str">
        <f>IF(M74&lt;&gt;"",IF(M74&gt;Listados!$O$4,"NO CUMPLE","CUMPLE"),"")</f>
        <v>CUMPLE</v>
      </c>
      <c r="O74" s="11">
        <v>2956744428</v>
      </c>
      <c r="P74" s="43">
        <f>IF(O74&gt;0,K74*O74,"")</f>
        <v>2956744428</v>
      </c>
      <c r="Q74" s="16">
        <f>IFERROR((P74/_xlfn.XLOOKUP(YEAR(M74),Listados!$B$3:$B$32,Listados!$C$3:$C$32)),"")</f>
        <v>4588.724184061457</v>
      </c>
      <c r="R74" s="44">
        <v>4646.9399999999996</v>
      </c>
      <c r="S74" s="19">
        <f>IF(V74="CUMPLE",IFERROR(R74*Listados!$C$32,"0"),"")</f>
        <v>6041021999.999999</v>
      </c>
      <c r="T74" s="20">
        <v>801016</v>
      </c>
      <c r="U74" s="17">
        <v>134</v>
      </c>
      <c r="V74" s="18" t="str">
        <f>IF(COUNTBLANK(J74)+COUNTBLANK(N74)+COUNTBLANK(T74)=3,"",IF(COUNTIF(J74,"CUMPLE")+COUNTIF(N74,"CUMPLE")+COUNTIF(T74,"801015")+COUNTIF(T74,"801016")+COUNTIF(T74,"841116")=3,IF(W74="","CUMPLE","NO CUMPLE"),"NO CUMPLE"))</f>
        <v>CUMPLE</v>
      </c>
      <c r="W74" s="114"/>
      <c r="X74" s="18" t="str">
        <f t="shared" si="20"/>
        <v>Consultora
Central S.A.S. -
BIC</v>
      </c>
      <c r="Y74" s="19">
        <f>+IF(X74&lt;&gt;"",(SUMIFS($S74:$S81,$I74:$I81,C74,$V74:$V81,"CUMPLE")),"")</f>
        <v>27045954000</v>
      </c>
      <c r="Z74" s="21" t="str">
        <f t="shared" si="21"/>
        <v>CUMPLE</v>
      </c>
      <c r="AA74" s="161">
        <f>IF(C74&gt;0,SUMIFS(Y74:Y81,Z74:Z81,"CUMPLE"),"")</f>
        <v>27045954000</v>
      </c>
      <c r="AB74" s="17"/>
      <c r="AC74" s="143" t="str">
        <f>IF(B74="","",IF(COUNTIF(Z74:Z81,"NO CUMPLE")&gt;0,"NO CUMPLE",IF(E74&gt;AA74,"NO CUMPLE",IF(AA74="","","CUMPLE"))))</f>
        <v>CUMPLE</v>
      </c>
      <c r="AD74" s="146"/>
    </row>
    <row r="75" spans="1:30" ht="86.4" x14ac:dyDescent="0.3">
      <c r="A75" s="150"/>
      <c r="B75" s="153"/>
      <c r="C75" s="84"/>
      <c r="D75" s="9"/>
      <c r="E75" s="156"/>
      <c r="F75" s="159"/>
      <c r="G75" s="24">
        <v>2</v>
      </c>
      <c r="H75" s="8" t="s">
        <v>75</v>
      </c>
      <c r="I75" s="24" t="s">
        <v>73</v>
      </c>
      <c r="J75" s="24" t="s">
        <v>42</v>
      </c>
      <c r="K75" s="9">
        <v>1</v>
      </c>
      <c r="L75" s="47">
        <v>42179</v>
      </c>
      <c r="M75" s="47">
        <v>42369</v>
      </c>
      <c r="N75" s="26" t="str">
        <f>IF(M75&lt;&gt;"",IF(M75&gt;Listados!$O$4,"NO CUMPLE","CUMPLE"),"")</f>
        <v>CUMPLE</v>
      </c>
      <c r="O75" s="12">
        <v>3317738656</v>
      </c>
      <c r="P75" s="45">
        <f t="shared" ref="P75:P81" si="24">IF(O75&gt;0,K75*O75,"")</f>
        <v>3317738656</v>
      </c>
      <c r="Q75" s="23">
        <f>IFERROR((P75/_xlfn.XLOOKUP(YEAR(M75),Listados!$B$3:$B$32,Listados!$C$3:$C$32)),"")</f>
        <v>5148.969746255917</v>
      </c>
      <c r="R75" s="46">
        <v>5148.96</v>
      </c>
      <c r="S75" s="27">
        <f>IF(V75="CUMPLE",IFERROR(R75*Listados!$C$32,"0"),"")</f>
        <v>6693648000</v>
      </c>
      <c r="T75" s="28">
        <v>801016</v>
      </c>
      <c r="U75" s="24">
        <v>8</v>
      </c>
      <c r="V75" s="26" t="str">
        <f t="shared" ref="V75:V81" si="25">IF(COUNTBLANK(J75)+COUNTBLANK(N75)+COUNTBLANK(T75)=3,"",IF(COUNTIF(J75,"CUMPLE")+COUNTIF(N75,"CUMPLE")+COUNTIF(T75,"801015")+COUNTIF(T75,"801016")+COUNTIF(T75,"841116")=3,IF(W75="","CUMPLE","NO CUMPLE"),"NO CUMPLE"))</f>
        <v>CUMPLE</v>
      </c>
      <c r="W75" s="115"/>
      <c r="X75" s="26" t="str">
        <f t="shared" si="20"/>
        <v/>
      </c>
      <c r="Y75" s="27" t="str">
        <f>+IF(X75&lt;&gt;"",(SUMIFS($S74:$S81,$I74:$I81,C75,$V74:$V81,"CUMPLE")),"")</f>
        <v/>
      </c>
      <c r="Z75" s="29" t="str">
        <f t="shared" si="21"/>
        <v/>
      </c>
      <c r="AA75" s="162"/>
      <c r="AB75" s="24"/>
      <c r="AC75" s="144"/>
      <c r="AD75" s="147"/>
    </row>
    <row r="76" spans="1:30" ht="43.2" x14ac:dyDescent="0.3">
      <c r="A76" s="150"/>
      <c r="B76" s="153"/>
      <c r="C76" s="14"/>
      <c r="D76" s="30"/>
      <c r="E76" s="156"/>
      <c r="F76" s="159"/>
      <c r="G76" s="24">
        <v>3</v>
      </c>
      <c r="H76" s="8" t="s">
        <v>76</v>
      </c>
      <c r="I76" s="24" t="s">
        <v>73</v>
      </c>
      <c r="J76" s="24" t="s">
        <v>42</v>
      </c>
      <c r="K76" s="9">
        <v>1</v>
      </c>
      <c r="L76" s="47">
        <v>42067</v>
      </c>
      <c r="M76" s="47">
        <v>42353</v>
      </c>
      <c r="N76" s="26" t="str">
        <f>IF(M76&lt;&gt;"",IF(M76&gt;Listados!$O$4,"NO CUMPLE","CUMPLE"),"")</f>
        <v>CUMPLE</v>
      </c>
      <c r="O76" s="12">
        <v>3344287607</v>
      </c>
      <c r="P76" s="45">
        <f t="shared" si="24"/>
        <v>3344287607</v>
      </c>
      <c r="Q76" s="23">
        <f>IFERROR((P76/_xlfn.XLOOKUP(YEAR(M76),Listados!$B$3:$B$32,Listados!$C$3:$C$32)),"")</f>
        <v>5190.1724326841004</v>
      </c>
      <c r="R76" s="46">
        <v>5190.17</v>
      </c>
      <c r="S76" s="27">
        <f>IF(V76="CUMPLE",IFERROR(R76*Listados!$C$32,"0"),"")</f>
        <v>6747221000</v>
      </c>
      <c r="T76" s="28">
        <v>801016</v>
      </c>
      <c r="U76" s="24">
        <v>4</v>
      </c>
      <c r="V76" s="26" t="str">
        <f t="shared" si="25"/>
        <v>CUMPLE</v>
      </c>
      <c r="W76" s="115"/>
      <c r="X76" s="26" t="str">
        <f t="shared" si="20"/>
        <v/>
      </c>
      <c r="Y76" s="27" t="str">
        <f>+IF(X76&lt;&gt;"",(SUMIFS($S74:$S81,$I74:$I81,C76,$V74:$V81,"CUMPLE")),"")</f>
        <v/>
      </c>
      <c r="Z76" s="29" t="str">
        <f t="shared" si="21"/>
        <v/>
      </c>
      <c r="AA76" s="162"/>
      <c r="AB76" s="24"/>
      <c r="AC76" s="144"/>
      <c r="AD76" s="147"/>
    </row>
    <row r="77" spans="1:30" ht="94.8" customHeight="1" x14ac:dyDescent="0.3">
      <c r="A77" s="150"/>
      <c r="B77" s="153"/>
      <c r="C77" s="24"/>
      <c r="D77" s="30"/>
      <c r="E77" s="156"/>
      <c r="F77" s="159"/>
      <c r="G77" s="24">
        <v>4</v>
      </c>
      <c r="H77" s="8" t="s">
        <v>270</v>
      </c>
      <c r="I77" s="24" t="s">
        <v>73</v>
      </c>
      <c r="J77" s="24" t="s">
        <v>42</v>
      </c>
      <c r="K77" s="9">
        <v>1</v>
      </c>
      <c r="L77" s="47">
        <v>42179</v>
      </c>
      <c r="M77" s="47">
        <v>42369</v>
      </c>
      <c r="N77" s="26" t="str">
        <f>IF(M77&lt;&gt;"",IF(M77&gt;Listados!$O$4,"NO CUMPLE","CUMPLE"),"")</f>
        <v>CUMPLE</v>
      </c>
      <c r="O77" s="12">
        <v>3207564687</v>
      </c>
      <c r="P77" s="45">
        <f t="shared" si="24"/>
        <v>3207564687</v>
      </c>
      <c r="Q77" s="23">
        <f>IFERROR((P77/_xlfn.XLOOKUP(YEAR(M77),Listados!$B$3:$B$32,Listados!$C$3:$C$32)),"")</f>
        <v>4977.9850810894704</v>
      </c>
      <c r="R77" s="46">
        <v>4977.9799999999996</v>
      </c>
      <c r="S77" s="27">
        <f>IF(V77="CUMPLE",IFERROR(R77*Listados!$C$32,"0"),"")</f>
        <v>6471373999.999999</v>
      </c>
      <c r="T77" s="28">
        <v>801016</v>
      </c>
      <c r="U77" s="24">
        <v>7</v>
      </c>
      <c r="V77" s="26" t="str">
        <f t="shared" si="25"/>
        <v>CUMPLE</v>
      </c>
      <c r="W77" s="115"/>
      <c r="X77" s="26" t="str">
        <f t="shared" si="20"/>
        <v/>
      </c>
      <c r="Y77" s="27" t="str">
        <f>+IF(X77&lt;&gt;"",(SUMIFS($S74:$S81,$I74:$I81,C77,$V74:$V81,"CUMPLE")),"")</f>
        <v/>
      </c>
      <c r="Z77" s="29" t="str">
        <f t="shared" si="21"/>
        <v/>
      </c>
      <c r="AA77" s="162"/>
      <c r="AB77" s="24"/>
      <c r="AC77" s="144"/>
      <c r="AD77" s="147"/>
    </row>
    <row r="78" spans="1:30" ht="54" x14ac:dyDescent="0.3">
      <c r="A78" s="150"/>
      <c r="B78" s="153"/>
      <c r="C78" s="24"/>
      <c r="D78" s="30"/>
      <c r="E78" s="156"/>
      <c r="F78" s="159"/>
      <c r="G78" s="24">
        <v>5</v>
      </c>
      <c r="H78" s="8" t="s">
        <v>77</v>
      </c>
      <c r="I78" s="24" t="s">
        <v>73</v>
      </c>
      <c r="J78" s="24" t="s">
        <v>42</v>
      </c>
      <c r="K78" s="30">
        <v>1</v>
      </c>
      <c r="L78" s="47">
        <v>44125</v>
      </c>
      <c r="M78" s="47">
        <v>44307</v>
      </c>
      <c r="N78" s="26" t="str">
        <f>IF(M78&lt;&gt;"",IF(M78&gt;Listados!$O$4,"NO CUMPLE","CUMPLE"),"")</f>
        <v>CUMPLE</v>
      </c>
      <c r="O78" s="48">
        <v>763644420</v>
      </c>
      <c r="P78" s="45">
        <f t="shared" si="24"/>
        <v>763644420</v>
      </c>
      <c r="Q78" s="23">
        <f>IFERROR((P78/_xlfn.XLOOKUP(YEAR(M78),Listados!$B$3:$B$32,Listados!$C$3:$C$32)),"")</f>
        <v>840.53116806783737</v>
      </c>
      <c r="R78" s="46">
        <v>840.53</v>
      </c>
      <c r="S78" s="27">
        <f>IF(V78="CUMPLE",IFERROR(R78*Listados!$C$32,"0"),"")</f>
        <v>1092689000</v>
      </c>
      <c r="T78" s="28">
        <v>801016</v>
      </c>
      <c r="U78" s="24">
        <v>203</v>
      </c>
      <c r="V78" s="26" t="str">
        <f t="shared" si="25"/>
        <v>CUMPLE</v>
      </c>
      <c r="W78" s="115"/>
      <c r="X78" s="26" t="str">
        <f t="shared" si="20"/>
        <v/>
      </c>
      <c r="Y78" s="27" t="str">
        <f>+IF(X78&lt;&gt;"",(SUMIFS($S74:$S81,$I74:$I81,C78,$V74:$V81,"CUMPLE")),"")</f>
        <v/>
      </c>
      <c r="Z78" s="29" t="str">
        <f t="shared" si="21"/>
        <v/>
      </c>
      <c r="AA78" s="162"/>
      <c r="AB78" s="24"/>
      <c r="AC78" s="144"/>
      <c r="AD78" s="147"/>
    </row>
    <row r="79" spans="1:30" x14ac:dyDescent="0.3">
      <c r="A79" s="150"/>
      <c r="B79" s="153"/>
      <c r="C79" s="24"/>
      <c r="D79" s="30"/>
      <c r="E79" s="156"/>
      <c r="F79" s="159"/>
      <c r="G79" s="24"/>
      <c r="H79" s="24"/>
      <c r="I79" s="24"/>
      <c r="J79" s="24"/>
      <c r="K79" s="30"/>
      <c r="L79" s="47"/>
      <c r="M79" s="47"/>
      <c r="N79" s="26" t="str">
        <f>IF(M79&lt;&gt;"",IF(M79&gt;Listados!$O$4,"NO CUMPLE","CUMPLE"),"")</f>
        <v/>
      </c>
      <c r="O79" s="48"/>
      <c r="P79" s="45" t="str">
        <f t="shared" si="24"/>
        <v/>
      </c>
      <c r="Q79" s="23" t="str">
        <f>IFERROR((P79/_xlfn.XLOOKUP(YEAR(M79),Listados!$B$3:$B$32,Listados!$C$3:$C$32)),"")</f>
        <v/>
      </c>
      <c r="R79" s="46"/>
      <c r="S79" s="27" t="str">
        <f>IF(V79="CUMPLE",IFERROR(R79*Listados!$C$32,"0"),"")</f>
        <v/>
      </c>
      <c r="T79" s="28"/>
      <c r="U79" s="24"/>
      <c r="V79" s="26" t="str">
        <f t="shared" si="25"/>
        <v/>
      </c>
      <c r="W79" s="115"/>
      <c r="X79" s="26" t="str">
        <f t="shared" si="20"/>
        <v/>
      </c>
      <c r="Y79" s="27" t="str">
        <f>+IF(X79&lt;&gt;"",(SUMIFS($S74:$S81,$I74:$I81,C79,$V74:$V81,"CUMPLE")),"")</f>
        <v/>
      </c>
      <c r="Z79" s="29" t="str">
        <f t="shared" si="21"/>
        <v/>
      </c>
      <c r="AA79" s="162"/>
      <c r="AB79" s="24"/>
      <c r="AC79" s="144"/>
      <c r="AD79" s="147"/>
    </row>
    <row r="80" spans="1:30" x14ac:dyDescent="0.3">
      <c r="A80" s="150"/>
      <c r="B80" s="153"/>
      <c r="C80" s="24"/>
      <c r="D80" s="30"/>
      <c r="E80" s="156"/>
      <c r="F80" s="159"/>
      <c r="G80" s="24"/>
      <c r="H80" s="24"/>
      <c r="I80" s="24"/>
      <c r="J80" s="24"/>
      <c r="K80" s="30"/>
      <c r="L80" s="47"/>
      <c r="M80" s="47"/>
      <c r="N80" s="26" t="str">
        <f>IF(M80&lt;&gt;"",IF(M80&gt;Listados!$O$4,"NO CUMPLE","CUMPLE"),"")</f>
        <v/>
      </c>
      <c r="O80" s="48"/>
      <c r="P80" s="45" t="str">
        <f t="shared" si="24"/>
        <v/>
      </c>
      <c r="Q80" s="23" t="str">
        <f>IFERROR((P80/_xlfn.XLOOKUP(YEAR(M80),Listados!$B$3:$B$32,Listados!$C$3:$C$32)),"")</f>
        <v/>
      </c>
      <c r="R80" s="46"/>
      <c r="S80" s="27" t="str">
        <f>IF(V80="CUMPLE",IFERROR(R80*Listados!$C$32,"0"),"")</f>
        <v/>
      </c>
      <c r="T80" s="28"/>
      <c r="U80" s="24"/>
      <c r="V80" s="26" t="str">
        <f t="shared" si="25"/>
        <v/>
      </c>
      <c r="W80" s="115"/>
      <c r="X80" s="26" t="str">
        <f t="shared" si="20"/>
        <v/>
      </c>
      <c r="Y80" s="27" t="str">
        <f>+IF(X80&lt;&gt;"",(SUMIFS($S74:$S81,$I74:$I81,C80,$V74:$V81,"CUMPLE")),"")</f>
        <v/>
      </c>
      <c r="Z80" s="29" t="str">
        <f t="shared" si="21"/>
        <v/>
      </c>
      <c r="AA80" s="162"/>
      <c r="AB80" s="24"/>
      <c r="AC80" s="144"/>
      <c r="AD80" s="147"/>
    </row>
    <row r="81" spans="1:30" ht="11.4" thickBot="1" x14ac:dyDescent="0.35">
      <c r="A81" s="151"/>
      <c r="B81" s="154"/>
      <c r="C81" s="34"/>
      <c r="D81" s="32"/>
      <c r="E81" s="157"/>
      <c r="F81" s="160"/>
      <c r="G81" s="34"/>
      <c r="H81" s="34"/>
      <c r="I81" s="34"/>
      <c r="J81" s="34"/>
      <c r="K81" s="32"/>
      <c r="L81" s="49"/>
      <c r="M81" s="49"/>
      <c r="N81" s="35" t="str">
        <f>IF(M81&lt;&gt;"",IF(M81&gt;Listados!$O$4,"NO CUMPLE","CUMPLE"),"")</f>
        <v/>
      </c>
      <c r="O81" s="50"/>
      <c r="P81" s="51" t="str">
        <f t="shared" si="24"/>
        <v/>
      </c>
      <c r="Q81" s="33" t="str">
        <f>IFERROR((P81/_xlfn.XLOOKUP(YEAR(M81),Listados!$B$3:$B$32,Listados!$C$3:$C$32)),"")</f>
        <v/>
      </c>
      <c r="R81" s="52"/>
      <c r="S81" s="36" t="str">
        <f>IF(V81="CUMPLE",IFERROR(R81*Listados!$C$32,"0"),"")</f>
        <v/>
      </c>
      <c r="T81" s="37"/>
      <c r="U81" s="34"/>
      <c r="V81" s="35" t="str">
        <f t="shared" si="25"/>
        <v/>
      </c>
      <c r="W81" s="116"/>
      <c r="X81" s="35" t="str">
        <f t="shared" si="20"/>
        <v/>
      </c>
      <c r="Y81" s="36" t="str">
        <f>+IF(X81&lt;&gt;"",(SUMIFS($S74:$S81,$I74:$I81,C81,$V74:$V81,"CUMPLE")),"")</f>
        <v/>
      </c>
      <c r="Z81" s="38" t="str">
        <f t="shared" si="21"/>
        <v/>
      </c>
      <c r="AA81" s="163"/>
      <c r="AB81" s="34"/>
      <c r="AC81" s="145"/>
      <c r="AD81" s="148"/>
    </row>
    <row r="82" spans="1:30" ht="43.2" x14ac:dyDescent="0.3">
      <c r="A82" s="149">
        <v>11</v>
      </c>
      <c r="B82" s="152" t="s">
        <v>78</v>
      </c>
      <c r="C82" s="83" t="s">
        <v>79</v>
      </c>
      <c r="D82" s="7">
        <v>0.5</v>
      </c>
      <c r="E82" s="155">
        <f>Listados!$M$3</f>
        <v>1351954266</v>
      </c>
      <c r="F82" s="158">
        <f>E82/Listados!$C$32</f>
        <v>1039.9648199999999</v>
      </c>
      <c r="G82" s="17">
        <v>1</v>
      </c>
      <c r="H82" s="10" t="s">
        <v>80</v>
      </c>
      <c r="I82" s="17" t="s">
        <v>79</v>
      </c>
      <c r="J82" s="17" t="s">
        <v>42</v>
      </c>
      <c r="K82" s="7">
        <v>0.33</v>
      </c>
      <c r="L82" s="82">
        <v>44928</v>
      </c>
      <c r="M82" s="82">
        <v>45519</v>
      </c>
      <c r="N82" s="18" t="str">
        <f>IF(M82&lt;&gt;"",IF(M82&gt;Listados!$O$4,"NO CUMPLE","CUMPLE"),"")</f>
        <v>CUMPLE</v>
      </c>
      <c r="O82" s="11">
        <v>4359782750</v>
      </c>
      <c r="P82" s="43">
        <f>IF(O82&gt;0,K82*O82,"")</f>
        <v>1438728307.5</v>
      </c>
      <c r="Q82" s="16">
        <f>IFERROR((P82/_xlfn.XLOOKUP(YEAR(M82),Listados!$B$3:$B$32,Listados!$C$3:$C$32)),"")</f>
        <v>1106.7140826923078</v>
      </c>
      <c r="R82" s="44">
        <v>1062</v>
      </c>
      <c r="S82" s="19">
        <f>IF(V82="CUMPLE",IFERROR(R82*Listados!$C$32,"0"),"")</f>
        <v>1380600000</v>
      </c>
      <c r="T82" s="20">
        <v>801015</v>
      </c>
      <c r="U82" s="17">
        <v>104</v>
      </c>
      <c r="V82" s="18" t="str">
        <f>IF(COUNTBLANK(J82)+COUNTBLANK(N82)+COUNTBLANK(T82)=3,"",IF(COUNTIF(J82,"CUMPLE")+COUNTIF(N82,"CUMPLE")+COUNTIF(T82,"801015")+COUNTIF(T82,"801016")+COUNTIF(T82,"841116")=3,IF(W82="","CUMPLE","NO CUMPLE"),"NO CUMPLE"))</f>
        <v>CUMPLE</v>
      </c>
      <c r="W82" s="114"/>
      <c r="X82" s="18" t="str">
        <f t="shared" si="20"/>
        <v>INGEPLAN.CO  SAS  EMPRESA  DE BENEFICIO E INTERES COLECTIVO BIC NIT 800169622-1</v>
      </c>
      <c r="Y82" s="19">
        <f>+IF(X82&lt;&gt;"",(SUMIFS($S82:$S89,$I82:$I89,C82,$V82:$V89,"CUMPLE")),"")</f>
        <v>3142100000</v>
      </c>
      <c r="Z82" s="21" t="str">
        <f t="shared" si="21"/>
        <v>CUMPLE</v>
      </c>
      <c r="AA82" s="161">
        <f>IF(C82&gt;0,SUMIFS(Y82:Y89,Z82:Z89,"CUMPLE"),"")</f>
        <v>4362800000</v>
      </c>
      <c r="AB82" s="17"/>
      <c r="AC82" s="143" t="str">
        <f>IF(B82="","",IF(COUNTIF(Z82:Z89,"NO CUMPLE")&gt;0,"NO CUMPLE",IF(E82&gt;AA82,"NO CUMPLE",IF(AA82="","","CUMPLE"))))</f>
        <v>CUMPLE</v>
      </c>
      <c r="AD82" s="146"/>
    </row>
    <row r="83" spans="1:30" ht="75.599999999999994" x14ac:dyDescent="0.3">
      <c r="A83" s="150"/>
      <c r="B83" s="153"/>
      <c r="C83" s="84" t="s">
        <v>81</v>
      </c>
      <c r="D83" s="9">
        <v>0.5</v>
      </c>
      <c r="E83" s="156"/>
      <c r="F83" s="159"/>
      <c r="G83" s="24">
        <v>2</v>
      </c>
      <c r="H83" s="8" t="s">
        <v>82</v>
      </c>
      <c r="I83" s="24" t="s">
        <v>79</v>
      </c>
      <c r="J83" s="24" t="s">
        <v>42</v>
      </c>
      <c r="K83" s="9">
        <v>0.34</v>
      </c>
      <c r="L83" s="47">
        <v>44928</v>
      </c>
      <c r="M83" s="47">
        <v>45369</v>
      </c>
      <c r="N83" s="26" t="str">
        <f>IF(M83&lt;&gt;"",IF(M83&gt;Listados!$O$4,"NO CUMPLE","CUMPLE"),"")</f>
        <v>CUMPLE</v>
      </c>
      <c r="O83" s="12">
        <v>1120826000</v>
      </c>
      <c r="P83" s="45">
        <f t="shared" ref="P83:P89" si="26">IF(O83&gt;0,K83*O83,"")</f>
        <v>381080840</v>
      </c>
      <c r="Q83" s="23">
        <f>IFERROR((P83/_xlfn.XLOOKUP(YEAR(M83),Listados!$B$3:$B$32,Listados!$C$3:$C$32)),"")</f>
        <v>293.13910769230768</v>
      </c>
      <c r="R83" s="46">
        <v>293</v>
      </c>
      <c r="S83" s="27">
        <f>IF(V83="CUMPLE",IFERROR(R83*Listados!$C$32,"0"),"")</f>
        <v>380900000</v>
      </c>
      <c r="T83" s="28">
        <v>801015</v>
      </c>
      <c r="U83" s="24">
        <v>119</v>
      </c>
      <c r="V83" s="26" t="str">
        <f t="shared" ref="V83:V89" si="27">IF(COUNTBLANK(J83)+COUNTBLANK(N83)+COUNTBLANK(T83)=3,"",IF(COUNTIF(J83,"CUMPLE")+COUNTIF(N83,"CUMPLE")+COUNTIF(T83,"801015")+COUNTIF(T83,"801016")+COUNTIF(T83,"841116")=3,IF(W83="","CUMPLE","NO CUMPLE"),"NO CUMPLE"))</f>
        <v>CUMPLE</v>
      </c>
      <c r="W83" s="115"/>
      <c r="X83" s="26" t="str">
        <f t="shared" si="20"/>
        <v>WLG GROUP CONSULTORES LTDA NIT 824001886-2</v>
      </c>
      <c r="Y83" s="27">
        <f>+IF(X83&lt;&gt;"",(SUMIFS($S82:$S89,$I82:$I89,C83,$V82:$V89,"CUMPLE")),"")</f>
        <v>1220700000</v>
      </c>
      <c r="Z83" s="29" t="str">
        <f t="shared" si="21"/>
        <v>CUMPLE</v>
      </c>
      <c r="AA83" s="162"/>
      <c r="AB83" s="24"/>
      <c r="AC83" s="144"/>
      <c r="AD83" s="147"/>
    </row>
    <row r="84" spans="1:30" ht="43.2" x14ac:dyDescent="0.3">
      <c r="A84" s="150"/>
      <c r="B84" s="153"/>
      <c r="C84" s="14"/>
      <c r="D84" s="30"/>
      <c r="E84" s="156"/>
      <c r="F84" s="159"/>
      <c r="G84" s="24">
        <v>3</v>
      </c>
      <c r="H84" s="8" t="s">
        <v>83</v>
      </c>
      <c r="I84" s="24" t="s">
        <v>79</v>
      </c>
      <c r="J84" s="24" t="s">
        <v>42</v>
      </c>
      <c r="K84" s="9">
        <v>0.5</v>
      </c>
      <c r="L84" s="47">
        <v>44923</v>
      </c>
      <c r="M84" s="47">
        <v>45412</v>
      </c>
      <c r="N84" s="26" t="str">
        <f>IF(M84&lt;&gt;"",IF(M84&gt;Listados!$O$4,"NO CUMPLE","CUMPLE"),"")</f>
        <v>CUMPLE</v>
      </c>
      <c r="O84" s="12">
        <v>2761533778</v>
      </c>
      <c r="P84" s="45">
        <f t="shared" si="26"/>
        <v>1380766889</v>
      </c>
      <c r="Q84" s="23">
        <f>IFERROR((P84/_xlfn.XLOOKUP(YEAR(M84),Listados!$B$3:$B$32,Listados!$C$3:$C$32)),"")</f>
        <v>1062.1283761538461</v>
      </c>
      <c r="R84" s="46">
        <v>1062</v>
      </c>
      <c r="S84" s="27">
        <f>IF(V84="CUMPLE",IFERROR(R84*Listados!$C$32,"0"),"")</f>
        <v>1380600000</v>
      </c>
      <c r="T84" s="28">
        <v>801015</v>
      </c>
      <c r="U84" s="24">
        <v>104</v>
      </c>
      <c r="V84" s="26" t="str">
        <f t="shared" si="27"/>
        <v>CUMPLE</v>
      </c>
      <c r="W84" s="115"/>
      <c r="X84" s="26" t="str">
        <f t="shared" si="20"/>
        <v/>
      </c>
      <c r="Y84" s="27" t="str">
        <f>+IF(X84&lt;&gt;"",(SUMIFS($S82:$S89,$I82:$I89,C84,$V82:$V89,"CUMPLE")),"")</f>
        <v/>
      </c>
      <c r="Z84" s="29" t="str">
        <f t="shared" si="21"/>
        <v/>
      </c>
      <c r="AA84" s="162"/>
      <c r="AB84" s="24"/>
      <c r="AC84" s="144"/>
      <c r="AD84" s="147"/>
    </row>
    <row r="85" spans="1:30" ht="43.2" x14ac:dyDescent="0.3">
      <c r="A85" s="150"/>
      <c r="B85" s="153"/>
      <c r="C85" s="24"/>
      <c r="D85" s="30"/>
      <c r="E85" s="156"/>
      <c r="F85" s="159"/>
      <c r="G85" s="24">
        <v>4</v>
      </c>
      <c r="H85" s="8" t="s">
        <v>84</v>
      </c>
      <c r="I85" s="24" t="s">
        <v>81</v>
      </c>
      <c r="J85" s="24" t="s">
        <v>42</v>
      </c>
      <c r="K85" s="9">
        <v>0.4</v>
      </c>
      <c r="L85" s="47">
        <v>44683</v>
      </c>
      <c r="M85" s="47">
        <v>45225</v>
      </c>
      <c r="N85" s="26" t="str">
        <f>IF(M85&lt;&gt;"",IF(M85&gt;Listados!$O$4,"NO CUMPLE","CUMPLE"),"")</f>
        <v>CUMPLE</v>
      </c>
      <c r="O85" s="12">
        <v>2349367010</v>
      </c>
      <c r="P85" s="45">
        <f t="shared" si="26"/>
        <v>939746804</v>
      </c>
      <c r="Q85" s="23">
        <f>IFERROR((P85/_xlfn.XLOOKUP(YEAR(M85),Listados!$B$3:$B$32,Listados!$C$3:$C$32)),"")</f>
        <v>810.12655517241376</v>
      </c>
      <c r="R85" s="46">
        <v>939</v>
      </c>
      <c r="S85" s="27">
        <f>IF(V85="CUMPLE",IFERROR(R85*Listados!$C$32,"0"),"")</f>
        <v>1220700000</v>
      </c>
      <c r="T85" s="28">
        <v>801015</v>
      </c>
      <c r="U85" s="24">
        <v>234</v>
      </c>
      <c r="V85" s="26" t="str">
        <f t="shared" si="27"/>
        <v>CUMPLE</v>
      </c>
      <c r="W85" s="115"/>
      <c r="X85" s="26" t="str">
        <f t="shared" si="20"/>
        <v/>
      </c>
      <c r="Y85" s="27" t="str">
        <f>+IF(X85&lt;&gt;"",(SUMIFS($S82:$S89,$I82:$I89,C85,$V82:$V89,"CUMPLE")),"")</f>
        <v/>
      </c>
      <c r="Z85" s="29" t="str">
        <f t="shared" si="21"/>
        <v/>
      </c>
      <c r="AA85" s="162"/>
      <c r="AB85" s="24"/>
      <c r="AC85" s="144"/>
      <c r="AD85" s="147"/>
    </row>
    <row r="86" spans="1:30" x14ac:dyDescent="0.3">
      <c r="A86" s="150"/>
      <c r="B86" s="153"/>
      <c r="C86" s="24"/>
      <c r="D86" s="30"/>
      <c r="E86" s="156"/>
      <c r="F86" s="159"/>
      <c r="G86" s="24"/>
      <c r="H86" s="24"/>
      <c r="I86" s="24"/>
      <c r="J86" s="24"/>
      <c r="K86" s="30"/>
      <c r="L86" s="47"/>
      <c r="M86" s="47"/>
      <c r="N86" s="26" t="str">
        <f>IF(M86&lt;&gt;"",IF(M86&gt;Listados!$O$4,"NO CUMPLE","CUMPLE"),"")</f>
        <v/>
      </c>
      <c r="O86" s="48"/>
      <c r="P86" s="45" t="str">
        <f t="shared" si="26"/>
        <v/>
      </c>
      <c r="Q86" s="23" t="str">
        <f>IFERROR((P86/_xlfn.XLOOKUP(YEAR(M86),Listados!$B$3:$B$32,Listados!$C$3:$C$32)),"")</f>
        <v/>
      </c>
      <c r="R86" s="46"/>
      <c r="S86" s="27" t="str">
        <f>IF(V86="CUMPLE",IFERROR(R86*Listados!$C$32,"0"),"")</f>
        <v/>
      </c>
      <c r="T86" s="28"/>
      <c r="U86" s="24"/>
      <c r="V86" s="26" t="str">
        <f t="shared" si="27"/>
        <v/>
      </c>
      <c r="W86" s="115"/>
      <c r="X86" s="26" t="str">
        <f t="shared" si="20"/>
        <v/>
      </c>
      <c r="Y86" s="27" t="str">
        <f>+IF(X86&lt;&gt;"",(SUMIFS($S82:$S89,$I82:$I89,C86,$V82:$V89,"CUMPLE")),"")</f>
        <v/>
      </c>
      <c r="Z86" s="29" t="str">
        <f t="shared" si="21"/>
        <v/>
      </c>
      <c r="AA86" s="162"/>
      <c r="AB86" s="24"/>
      <c r="AC86" s="144"/>
      <c r="AD86" s="147"/>
    </row>
    <row r="87" spans="1:30" x14ac:dyDescent="0.3">
      <c r="A87" s="150"/>
      <c r="B87" s="153"/>
      <c r="C87" s="24"/>
      <c r="D87" s="30"/>
      <c r="E87" s="156"/>
      <c r="F87" s="159"/>
      <c r="G87" s="24"/>
      <c r="H87" s="24"/>
      <c r="I87" s="24"/>
      <c r="J87" s="24"/>
      <c r="K87" s="30"/>
      <c r="L87" s="47"/>
      <c r="M87" s="47"/>
      <c r="N87" s="26" t="str">
        <f>IF(M87&lt;&gt;"",IF(M87&gt;Listados!$O$4,"NO CUMPLE","CUMPLE"),"")</f>
        <v/>
      </c>
      <c r="O87" s="48"/>
      <c r="P87" s="45" t="str">
        <f t="shared" si="26"/>
        <v/>
      </c>
      <c r="Q87" s="23" t="str">
        <f>IFERROR((P87/_xlfn.XLOOKUP(YEAR(M87),Listados!$B$3:$B$32,Listados!$C$3:$C$32)),"")</f>
        <v/>
      </c>
      <c r="R87" s="46"/>
      <c r="S87" s="27" t="str">
        <f>IF(V87="CUMPLE",IFERROR(R87*Listados!$C$32,"0"),"")</f>
        <v/>
      </c>
      <c r="T87" s="28"/>
      <c r="U87" s="24"/>
      <c r="V87" s="26" t="str">
        <f t="shared" si="27"/>
        <v/>
      </c>
      <c r="W87" s="115"/>
      <c r="X87" s="26" t="str">
        <f t="shared" si="20"/>
        <v/>
      </c>
      <c r="Y87" s="27" t="str">
        <f>+IF(X87&lt;&gt;"",(SUMIFS($S82:$S89,$I82:$I89,C87,$V82:$V89,"CUMPLE")),"")</f>
        <v/>
      </c>
      <c r="Z87" s="29" t="str">
        <f t="shared" si="21"/>
        <v/>
      </c>
      <c r="AA87" s="162"/>
      <c r="AB87" s="24"/>
      <c r="AC87" s="144"/>
      <c r="AD87" s="147"/>
    </row>
    <row r="88" spans="1:30" x14ac:dyDescent="0.3">
      <c r="A88" s="150"/>
      <c r="B88" s="153"/>
      <c r="C88" s="24"/>
      <c r="D88" s="30"/>
      <c r="E88" s="156"/>
      <c r="F88" s="159"/>
      <c r="G88" s="24"/>
      <c r="H88" s="24"/>
      <c r="I88" s="24"/>
      <c r="J88" s="24"/>
      <c r="K88" s="30"/>
      <c r="L88" s="47"/>
      <c r="M88" s="47"/>
      <c r="N88" s="26" t="str">
        <f>IF(M88&lt;&gt;"",IF(M88&gt;Listados!$O$4,"NO CUMPLE","CUMPLE"),"")</f>
        <v/>
      </c>
      <c r="O88" s="48"/>
      <c r="P88" s="45" t="str">
        <f t="shared" si="26"/>
        <v/>
      </c>
      <c r="Q88" s="23" t="str">
        <f>IFERROR((P88/_xlfn.XLOOKUP(YEAR(M88),Listados!$B$3:$B$32,Listados!$C$3:$C$32)),"")</f>
        <v/>
      </c>
      <c r="R88" s="46"/>
      <c r="S88" s="27" t="str">
        <f>IF(V88="CUMPLE",IFERROR(R88*Listados!$C$32,"0"),"")</f>
        <v/>
      </c>
      <c r="T88" s="28"/>
      <c r="U88" s="24"/>
      <c r="V88" s="26" t="str">
        <f t="shared" si="27"/>
        <v/>
      </c>
      <c r="W88" s="115"/>
      <c r="X88" s="26" t="str">
        <f t="shared" si="20"/>
        <v/>
      </c>
      <c r="Y88" s="27" t="str">
        <f>+IF(X88&lt;&gt;"",(SUMIFS($S82:$S89,$I82:$I89,C88,$V82:$V89,"CUMPLE")),"")</f>
        <v/>
      </c>
      <c r="Z88" s="29" t="str">
        <f t="shared" si="21"/>
        <v/>
      </c>
      <c r="AA88" s="162"/>
      <c r="AB88" s="24"/>
      <c r="AC88" s="144"/>
      <c r="AD88" s="147"/>
    </row>
    <row r="89" spans="1:30" ht="11.4" thickBot="1" x14ac:dyDescent="0.35">
      <c r="A89" s="151"/>
      <c r="B89" s="154"/>
      <c r="C89" s="34"/>
      <c r="D89" s="32"/>
      <c r="E89" s="157"/>
      <c r="F89" s="160"/>
      <c r="G89" s="34"/>
      <c r="H89" s="34"/>
      <c r="I89" s="34"/>
      <c r="J89" s="34"/>
      <c r="K89" s="32"/>
      <c r="L89" s="49"/>
      <c r="M89" s="49"/>
      <c r="N89" s="35" t="str">
        <f>IF(M89&lt;&gt;"",IF(M89&gt;Listados!$O$4,"NO CUMPLE","CUMPLE"),"")</f>
        <v/>
      </c>
      <c r="O89" s="50"/>
      <c r="P89" s="51" t="str">
        <f t="shared" si="26"/>
        <v/>
      </c>
      <c r="Q89" s="33" t="str">
        <f>IFERROR((P89/_xlfn.XLOOKUP(YEAR(M89),Listados!$B$3:$B$32,Listados!$C$3:$C$32)),"")</f>
        <v/>
      </c>
      <c r="R89" s="52"/>
      <c r="S89" s="36" t="str">
        <f>IF(V89="CUMPLE",IFERROR(R89*Listados!$C$32,"0"),"")</f>
        <v/>
      </c>
      <c r="T89" s="37"/>
      <c r="U89" s="34"/>
      <c r="V89" s="35" t="str">
        <f t="shared" si="27"/>
        <v/>
      </c>
      <c r="W89" s="116"/>
      <c r="X89" s="35" t="str">
        <f t="shared" si="20"/>
        <v/>
      </c>
      <c r="Y89" s="36" t="str">
        <f>+IF(X89&lt;&gt;"",(SUMIFS($S82:$S89,$I82:$I89,C89,$V82:$V89,"CUMPLE")),"")</f>
        <v/>
      </c>
      <c r="Z89" s="38" t="str">
        <f t="shared" si="21"/>
        <v/>
      </c>
      <c r="AA89" s="163"/>
      <c r="AB89" s="34"/>
      <c r="AC89" s="145"/>
      <c r="AD89" s="148"/>
    </row>
    <row r="90" spans="1:30" ht="94.2" customHeight="1" x14ac:dyDescent="0.3">
      <c r="A90" s="149">
        <v>12</v>
      </c>
      <c r="B90" s="152" t="s">
        <v>85</v>
      </c>
      <c r="C90" s="83" t="str">
        <f>B90</f>
        <v>Strycon Energía: NIT 901.466.510-3</v>
      </c>
      <c r="D90" s="7">
        <v>1</v>
      </c>
      <c r="E90" s="155">
        <f>Listados!$M$3</f>
        <v>1351954266</v>
      </c>
      <c r="F90" s="158">
        <f>E90/Listados!$C$32</f>
        <v>1039.9648199999999</v>
      </c>
      <c r="G90" s="17">
        <v>1</v>
      </c>
      <c r="H90" s="124" t="s">
        <v>86</v>
      </c>
      <c r="I90" s="17" t="s">
        <v>85</v>
      </c>
      <c r="J90" s="17" t="s">
        <v>42</v>
      </c>
      <c r="K90" s="7">
        <v>0.3</v>
      </c>
      <c r="L90" s="82">
        <v>39101</v>
      </c>
      <c r="M90" s="82">
        <v>39567</v>
      </c>
      <c r="N90" s="18" t="str">
        <f>IF(M90&lt;&gt;"",IF(M90&gt;Listados!$O$4,"NO CUMPLE","CUMPLE"),"")</f>
        <v>CUMPLE</v>
      </c>
      <c r="O90" s="11">
        <v>1767473099</v>
      </c>
      <c r="P90" s="43">
        <f>IF(O90&gt;0,K90*O90,"")</f>
        <v>530241929.69999999</v>
      </c>
      <c r="Q90" s="16">
        <f>IFERROR((P90/_xlfn.XLOOKUP(YEAR(M90),Listados!$B$3:$B$32,Listados!$C$3:$C$32)),"")</f>
        <v>1148.9532604550379</v>
      </c>
      <c r="R90" s="44">
        <f>3829.84*0.3</f>
        <v>1148.952</v>
      </c>
      <c r="S90" s="19">
        <f>IF(V90="CUMPLE",IFERROR(R90*Listados!$C$32,"0"),"")</f>
        <v>1493637600</v>
      </c>
      <c r="T90" s="20">
        <v>801016</v>
      </c>
      <c r="U90" s="17">
        <v>69</v>
      </c>
      <c r="V90" s="18" t="str">
        <f>IF(COUNTBLANK(J90)+COUNTBLANK(N90)+COUNTBLANK(T90)=3,"",IF(COUNTIF(J90,"CUMPLE")+COUNTIF(N90,"CUMPLE")+COUNTIF(T90,"801015")+COUNTIF(T90,"801016")+COUNTIF(T90,"841116")=3,IF(W90="","CUMPLE","NO CUMPLE"),"NO CUMPLE"))</f>
        <v>CUMPLE</v>
      </c>
      <c r="W90" s="115"/>
      <c r="X90" s="18" t="str">
        <f t="shared" si="20"/>
        <v>Strycon Energía: NIT 901.466.510-3</v>
      </c>
      <c r="Y90" s="19">
        <f>+IF(X90&lt;&gt;"",(SUMIFS($S90:$S97,$I90:$I97,C90,$V90:$V97,"CUMPLE")),"")</f>
        <v>1697659600</v>
      </c>
      <c r="Z90" s="21" t="str">
        <f t="shared" si="21"/>
        <v>CUMPLE</v>
      </c>
      <c r="AA90" s="161">
        <f>IF(C90&gt;0,SUMIFS(Y90:Y97,Z90:Z97,"CUMPLE"),"")</f>
        <v>1697659600</v>
      </c>
      <c r="AB90" s="17"/>
      <c r="AC90" s="143" t="str">
        <f>IF(B90="","",IF(COUNTIF(Z90:Z97,"NO CUMPLE")&gt;0,"NO CUMPLE",IF(E90&gt;AA90,"NO CUMPLE",IF(AA90="","","CUMPLE"))))</f>
        <v>CUMPLE</v>
      </c>
      <c r="AD90" s="146"/>
    </row>
    <row r="91" spans="1:30" ht="54" x14ac:dyDescent="0.3">
      <c r="A91" s="150"/>
      <c r="B91" s="153"/>
      <c r="C91" s="84"/>
      <c r="D91" s="9"/>
      <c r="E91" s="156"/>
      <c r="F91" s="159"/>
      <c r="G91" s="24">
        <v>2</v>
      </c>
      <c r="H91" s="84" t="s">
        <v>87</v>
      </c>
      <c r="I91" s="24" t="s">
        <v>85</v>
      </c>
      <c r="J91" s="24" t="s">
        <v>42</v>
      </c>
      <c r="K91" s="9">
        <v>1</v>
      </c>
      <c r="L91" s="47">
        <v>44421</v>
      </c>
      <c r="M91" s="47">
        <v>44620</v>
      </c>
      <c r="N91" s="26" t="str">
        <f>IF(M91&lt;&gt;"",IF(M91&gt;Listados!$O$4,"NO CUMPLE","CUMPLE"),"")</f>
        <v>CUMPLE</v>
      </c>
      <c r="O91" s="12">
        <v>186770500</v>
      </c>
      <c r="P91" s="45">
        <f t="shared" ref="P91:P97" si="28">IF(O91&gt;0,K91*O91,"")</f>
        <v>186770500</v>
      </c>
      <c r="Q91" s="23">
        <f>IFERROR((P91/_xlfn.XLOOKUP(YEAR(M91),Listados!$B$3:$B$32,Listados!$C$3:$C$32)),"")</f>
        <v>186.7705</v>
      </c>
      <c r="R91" s="46">
        <v>156.94</v>
      </c>
      <c r="S91" s="27">
        <f>IF(V91="CUMPLE",IFERROR(R91*Listados!$C$32,"0"),"")</f>
        <v>204022000</v>
      </c>
      <c r="T91" s="28">
        <v>801015</v>
      </c>
      <c r="U91" s="24">
        <v>96</v>
      </c>
      <c r="V91" s="26" t="str">
        <f t="shared" ref="V91:V97" si="29">IF(COUNTBLANK(J91)+COUNTBLANK(N91)+COUNTBLANK(T91)=3,"",IF(COUNTIF(J91,"CUMPLE")+COUNTIF(N91,"CUMPLE")+COUNTIF(T91,"801015")+COUNTIF(T91,"801016")+COUNTIF(T91,"841116")=3,IF(W91="","CUMPLE","NO CUMPLE"),"NO CUMPLE"))</f>
        <v>CUMPLE</v>
      </c>
      <c r="W91" s="115"/>
      <c r="X91" s="26" t="str">
        <f t="shared" si="20"/>
        <v/>
      </c>
      <c r="Y91" s="27" t="str">
        <f>+IF(X91&lt;&gt;"",(SUMIFS($S90:$S97,$I90:$I97,C91,$V90:$V97,"CUMPLE")),"")</f>
        <v/>
      </c>
      <c r="Z91" s="29" t="str">
        <f t="shared" si="21"/>
        <v/>
      </c>
      <c r="AA91" s="162"/>
      <c r="AB91" s="24"/>
      <c r="AC91" s="144"/>
      <c r="AD91" s="147"/>
    </row>
    <row r="92" spans="1:30" x14ac:dyDescent="0.3">
      <c r="A92" s="150"/>
      <c r="B92" s="153"/>
      <c r="C92" s="14"/>
      <c r="D92" s="30"/>
      <c r="E92" s="156"/>
      <c r="F92" s="159"/>
      <c r="G92" s="24"/>
      <c r="H92" s="8"/>
      <c r="I92" s="24"/>
      <c r="J92" s="24"/>
      <c r="K92" s="9"/>
      <c r="L92" s="47"/>
      <c r="M92" s="47"/>
      <c r="N92" s="26" t="str">
        <f>IF(M92&lt;&gt;"",IF(M92&gt;Listados!$O$4,"NO CUMPLE","CUMPLE"),"")</f>
        <v/>
      </c>
      <c r="O92" s="12"/>
      <c r="P92" s="45" t="str">
        <f t="shared" si="28"/>
        <v/>
      </c>
      <c r="Q92" s="23" t="str">
        <f>IFERROR((P92/_xlfn.XLOOKUP(YEAR(M92),Listados!$B$3:$B$32,Listados!$C$3:$C$32)),"")</f>
        <v/>
      </c>
      <c r="R92" s="46"/>
      <c r="S92" s="27" t="str">
        <f>IF(V92="CUMPLE",IFERROR(R92*Listados!$C$32,"0"),"")</f>
        <v/>
      </c>
      <c r="T92" s="28"/>
      <c r="U92" s="24"/>
      <c r="V92" s="26" t="str">
        <f t="shared" si="29"/>
        <v/>
      </c>
      <c r="W92" s="115"/>
      <c r="X92" s="26" t="str">
        <f t="shared" si="20"/>
        <v/>
      </c>
      <c r="Y92" s="27" t="str">
        <f>+IF(X92&lt;&gt;"",(SUMIFS($S90:$S97,$I90:$I97,C92,$V90:$V97,"CUMPLE")),"")</f>
        <v/>
      </c>
      <c r="Z92" s="29" t="str">
        <f t="shared" si="21"/>
        <v/>
      </c>
      <c r="AA92" s="162"/>
      <c r="AB92" s="24"/>
      <c r="AC92" s="144"/>
      <c r="AD92" s="147"/>
    </row>
    <row r="93" spans="1:30" x14ac:dyDescent="0.3">
      <c r="A93" s="150"/>
      <c r="B93" s="153"/>
      <c r="C93" s="24"/>
      <c r="D93" s="30"/>
      <c r="E93" s="156"/>
      <c r="F93" s="159"/>
      <c r="G93" s="24"/>
      <c r="H93" s="8"/>
      <c r="I93" s="24"/>
      <c r="J93" s="24"/>
      <c r="K93" s="9"/>
      <c r="L93" s="47"/>
      <c r="M93" s="47"/>
      <c r="N93" s="26" t="str">
        <f>IF(M93&lt;&gt;"",IF(M93&gt;Listados!$O$4,"NO CUMPLE","CUMPLE"),"")</f>
        <v/>
      </c>
      <c r="O93" s="12"/>
      <c r="P93" s="45" t="str">
        <f t="shared" si="28"/>
        <v/>
      </c>
      <c r="Q93" s="23" t="str">
        <f>IFERROR((P93/_xlfn.XLOOKUP(YEAR(M93),Listados!$B$3:$B$32,Listados!$C$3:$C$32)),"")</f>
        <v/>
      </c>
      <c r="R93" s="46"/>
      <c r="S93" s="27" t="str">
        <f>IF(V93="CUMPLE",IFERROR(R93*Listados!$C$32,"0"),"")</f>
        <v/>
      </c>
      <c r="T93" s="28"/>
      <c r="U93" s="24"/>
      <c r="V93" s="26" t="str">
        <f t="shared" si="29"/>
        <v/>
      </c>
      <c r="W93" s="115"/>
      <c r="X93" s="26" t="str">
        <f t="shared" si="20"/>
        <v/>
      </c>
      <c r="Y93" s="27" t="str">
        <f>+IF(X93&lt;&gt;"",(SUMIFS($S90:$S97,$I90:$I97,C93,$V90:$V97,"CUMPLE")),"")</f>
        <v/>
      </c>
      <c r="Z93" s="29" t="str">
        <f t="shared" si="21"/>
        <v/>
      </c>
      <c r="AA93" s="162"/>
      <c r="AB93" s="24"/>
      <c r="AC93" s="144"/>
      <c r="AD93" s="147"/>
    </row>
    <row r="94" spans="1:30" x14ac:dyDescent="0.3">
      <c r="A94" s="150"/>
      <c r="B94" s="153"/>
      <c r="C94" s="24"/>
      <c r="D94" s="30"/>
      <c r="E94" s="156"/>
      <c r="F94" s="159"/>
      <c r="G94" s="24"/>
      <c r="H94" s="24"/>
      <c r="I94" s="24"/>
      <c r="J94" s="24"/>
      <c r="K94" s="30"/>
      <c r="L94" s="47"/>
      <c r="M94" s="47"/>
      <c r="N94" s="26" t="str">
        <f>IF(M94&lt;&gt;"",IF(M94&gt;Listados!$O$4,"NO CUMPLE","CUMPLE"),"")</f>
        <v/>
      </c>
      <c r="O94" s="48"/>
      <c r="P94" s="45" t="str">
        <f t="shared" si="28"/>
        <v/>
      </c>
      <c r="Q94" s="23" t="str">
        <f>IFERROR((P94/_xlfn.XLOOKUP(YEAR(M94),Listados!$B$3:$B$32,Listados!$C$3:$C$32)),"")</f>
        <v/>
      </c>
      <c r="R94" s="46"/>
      <c r="S94" s="27" t="str">
        <f>IF(V94="CUMPLE",IFERROR(R94*Listados!$C$32,"0"),"")</f>
        <v/>
      </c>
      <c r="T94" s="28"/>
      <c r="U94" s="24"/>
      <c r="V94" s="26" t="str">
        <f t="shared" si="29"/>
        <v/>
      </c>
      <c r="W94" s="115"/>
      <c r="X94" s="26" t="str">
        <f t="shared" si="20"/>
        <v/>
      </c>
      <c r="Y94" s="27" t="str">
        <f>+IF(X94&lt;&gt;"",(SUMIFS($S90:$S97,$I90:$I97,C94,$V90:$V97,"CUMPLE")),"")</f>
        <v/>
      </c>
      <c r="Z94" s="29" t="str">
        <f t="shared" si="21"/>
        <v/>
      </c>
      <c r="AA94" s="162"/>
      <c r="AB94" s="24"/>
      <c r="AC94" s="144"/>
      <c r="AD94" s="147"/>
    </row>
    <row r="95" spans="1:30" x14ac:dyDescent="0.3">
      <c r="A95" s="150"/>
      <c r="B95" s="153"/>
      <c r="C95" s="24"/>
      <c r="D95" s="30"/>
      <c r="E95" s="156"/>
      <c r="F95" s="159"/>
      <c r="G95" s="24"/>
      <c r="H95" s="24"/>
      <c r="I95" s="24"/>
      <c r="J95" s="24"/>
      <c r="K95" s="30"/>
      <c r="L95" s="47"/>
      <c r="M95" s="47"/>
      <c r="N95" s="26" t="str">
        <f>IF(M95&lt;&gt;"",IF(M95&gt;Listados!$O$4,"NO CUMPLE","CUMPLE"),"")</f>
        <v/>
      </c>
      <c r="O95" s="48"/>
      <c r="P95" s="45" t="str">
        <f t="shared" si="28"/>
        <v/>
      </c>
      <c r="Q95" s="23" t="str">
        <f>IFERROR((P95/_xlfn.XLOOKUP(YEAR(M95),Listados!$B$3:$B$32,Listados!$C$3:$C$32)),"")</f>
        <v/>
      </c>
      <c r="R95" s="46"/>
      <c r="S95" s="27" t="str">
        <f>IF(V95="CUMPLE",IFERROR(R95*Listados!$C$32,"0"),"")</f>
        <v/>
      </c>
      <c r="T95" s="28"/>
      <c r="U95" s="24"/>
      <c r="V95" s="26" t="str">
        <f t="shared" si="29"/>
        <v/>
      </c>
      <c r="W95" s="115"/>
      <c r="X95" s="26" t="str">
        <f t="shared" si="20"/>
        <v/>
      </c>
      <c r="Y95" s="27" t="str">
        <f>+IF(X95&lt;&gt;"",(SUMIFS($S90:$S97,$I90:$I97,C95,$V90:$V97,"CUMPLE")),"")</f>
        <v/>
      </c>
      <c r="Z95" s="29" t="str">
        <f t="shared" si="21"/>
        <v/>
      </c>
      <c r="AA95" s="162"/>
      <c r="AB95" s="24"/>
      <c r="AC95" s="144"/>
      <c r="AD95" s="147"/>
    </row>
    <row r="96" spans="1:30" x14ac:dyDescent="0.3">
      <c r="A96" s="150"/>
      <c r="B96" s="153"/>
      <c r="C96" s="24"/>
      <c r="D96" s="30"/>
      <c r="E96" s="156"/>
      <c r="F96" s="159"/>
      <c r="G96" s="24"/>
      <c r="H96" s="24"/>
      <c r="I96" s="24"/>
      <c r="J96" s="24"/>
      <c r="K96" s="30"/>
      <c r="L96" s="47"/>
      <c r="M96" s="47"/>
      <c r="N96" s="26" t="str">
        <f>IF(M96&lt;&gt;"",IF(M96&gt;Listados!$O$4,"NO CUMPLE","CUMPLE"),"")</f>
        <v/>
      </c>
      <c r="O96" s="48"/>
      <c r="P96" s="45" t="str">
        <f t="shared" si="28"/>
        <v/>
      </c>
      <c r="Q96" s="23" t="str">
        <f>IFERROR((P96/_xlfn.XLOOKUP(YEAR(M96),Listados!$B$3:$B$32,Listados!$C$3:$C$32)),"")</f>
        <v/>
      </c>
      <c r="R96" s="46"/>
      <c r="S96" s="27" t="str">
        <f>IF(V96="CUMPLE",IFERROR(R96*Listados!$C$32,"0"),"")</f>
        <v/>
      </c>
      <c r="T96" s="28"/>
      <c r="U96" s="24"/>
      <c r="V96" s="26" t="str">
        <f t="shared" si="29"/>
        <v/>
      </c>
      <c r="W96" s="115"/>
      <c r="X96" s="26" t="str">
        <f t="shared" si="20"/>
        <v/>
      </c>
      <c r="Y96" s="27" t="str">
        <f>+IF(X96&lt;&gt;"",(SUMIFS($S90:$S97,$I90:$I97,C96,$V90:$V97,"CUMPLE")),"")</f>
        <v/>
      </c>
      <c r="Z96" s="29" t="str">
        <f t="shared" si="21"/>
        <v/>
      </c>
      <c r="AA96" s="162"/>
      <c r="AB96" s="24"/>
      <c r="AC96" s="144"/>
      <c r="AD96" s="147"/>
    </row>
    <row r="97" spans="1:30" ht="11.4" thickBot="1" x14ac:dyDescent="0.35">
      <c r="A97" s="151"/>
      <c r="B97" s="154"/>
      <c r="C97" s="34"/>
      <c r="D97" s="32"/>
      <c r="E97" s="157"/>
      <c r="F97" s="160"/>
      <c r="G97" s="34"/>
      <c r="H97" s="34"/>
      <c r="I97" s="34"/>
      <c r="J97" s="34"/>
      <c r="K97" s="32"/>
      <c r="L97" s="49"/>
      <c r="M97" s="49"/>
      <c r="N97" s="35" t="str">
        <f>IF(M97&lt;&gt;"",IF(M97&gt;Listados!$O$4,"NO CUMPLE","CUMPLE"),"")</f>
        <v/>
      </c>
      <c r="O97" s="50"/>
      <c r="P97" s="51" t="str">
        <f t="shared" si="28"/>
        <v/>
      </c>
      <c r="Q97" s="33" t="str">
        <f>IFERROR((P97/_xlfn.XLOOKUP(YEAR(M97),Listados!$B$3:$B$32,Listados!$C$3:$C$32)),"")</f>
        <v/>
      </c>
      <c r="R97" s="52"/>
      <c r="S97" s="36" t="str">
        <f>IF(V97="CUMPLE",IFERROR(R97*Listados!$C$32,"0"),"")</f>
        <v/>
      </c>
      <c r="T97" s="37"/>
      <c r="U97" s="34"/>
      <c r="V97" s="35" t="str">
        <f t="shared" si="29"/>
        <v/>
      </c>
      <c r="W97" s="116"/>
      <c r="X97" s="35" t="str">
        <f t="shared" si="20"/>
        <v/>
      </c>
      <c r="Y97" s="36" t="str">
        <f>+IF(X97&lt;&gt;"",(SUMIFS($S90:$S97,$I90:$I97,C97,$V90:$V97,"CUMPLE")),"")</f>
        <v/>
      </c>
      <c r="Z97" s="38" t="str">
        <f t="shared" si="21"/>
        <v/>
      </c>
      <c r="AA97" s="163"/>
      <c r="AB97" s="34"/>
      <c r="AC97" s="145"/>
      <c r="AD97" s="148"/>
    </row>
    <row r="98" spans="1:30" ht="57" customHeight="1" x14ac:dyDescent="0.3">
      <c r="A98" s="149">
        <v>13</v>
      </c>
      <c r="B98" s="152" t="s">
        <v>88</v>
      </c>
      <c r="C98" s="83" t="str">
        <f>B98</f>
        <v>ALIANZA INTEGRAL DE PROYECTOS SAS BIC: NIT 901.506.750-7</v>
      </c>
      <c r="D98" s="7">
        <v>1</v>
      </c>
      <c r="E98" s="155">
        <f>Listados!$M$3</f>
        <v>1351954266</v>
      </c>
      <c r="F98" s="158">
        <f>E98/Listados!$C$32</f>
        <v>1039.9648199999999</v>
      </c>
      <c r="G98" s="17">
        <v>1</v>
      </c>
      <c r="H98" s="10" t="s">
        <v>89</v>
      </c>
      <c r="I98" s="17" t="s">
        <v>88</v>
      </c>
      <c r="J98" s="17" t="s">
        <v>42</v>
      </c>
      <c r="K98" s="7">
        <v>0.51</v>
      </c>
      <c r="L98" s="82">
        <v>41877</v>
      </c>
      <c r="M98" s="82">
        <v>42581</v>
      </c>
      <c r="N98" s="18" t="str">
        <f>IF(M98&lt;&gt;"",IF(M98&gt;Listados!$O$4,"NO CUMPLE","CUMPLE"),"")</f>
        <v>CUMPLE</v>
      </c>
      <c r="O98" s="11">
        <v>6302625057</v>
      </c>
      <c r="P98" s="43">
        <f>IF(O98&gt;0,K98*O98,"")</f>
        <v>3214338779.0700002</v>
      </c>
      <c r="Q98" s="16">
        <f>IFERROR((P98/_xlfn.XLOOKUP(YEAR(M98),Listados!$B$3:$B$32,Listados!$C$3:$C$32)),"")</f>
        <v>4662.1444170685545</v>
      </c>
      <c r="R98" s="44">
        <f>9141.45*0.51</f>
        <v>4662.1395000000002</v>
      </c>
      <c r="S98" s="19">
        <f>IF(V98="CUMPLE",IFERROR(R98*Listados!$C$32,"0"),"")</f>
        <v>6060781350</v>
      </c>
      <c r="T98" s="20">
        <v>801015</v>
      </c>
      <c r="U98" s="17">
        <v>536</v>
      </c>
      <c r="V98" s="18" t="str">
        <f>IF(COUNTBLANK(J98)+COUNTBLANK(N98)+COUNTBLANK(T98)=3,"",IF(COUNTIF(J98,"CUMPLE")+COUNTIF(N98,"CUMPLE")+COUNTIF(T98,"801015")+COUNTIF(T98,"801016")+COUNTIF(T98,"841116")=3,IF(W98="","CUMPLE","NO CUMPLE"),"NO CUMPLE"))</f>
        <v>CUMPLE</v>
      </c>
      <c r="W98" s="114"/>
      <c r="X98" s="18" t="str">
        <f t="shared" ref="X98:X105" si="30">IF(C98&lt;&gt;"",C98,"")</f>
        <v>ALIANZA INTEGRAL DE PROYECTOS SAS BIC: NIT 901.506.750-7</v>
      </c>
      <c r="Y98" s="19">
        <f>+IF(X98&lt;&gt;"",(SUMIFS($S98:$S105,$I98:$I105,C98,$V98:$V105,"CUMPLE")),"")</f>
        <v>6060781350</v>
      </c>
      <c r="Z98" s="21" t="str">
        <f t="shared" ref="Z98:Z105" si="31">IF(D98&gt;0,(IF(Y98&gt;=($D98*E$2),"CUMPLE","NO CUMPLE")),"")</f>
        <v>CUMPLE</v>
      </c>
      <c r="AA98" s="161">
        <f>IF(C98&gt;0,SUMIFS(Y98:Y105,Z98:Z105,"CUMPLE"),"")</f>
        <v>6060781350</v>
      </c>
      <c r="AB98" s="17"/>
      <c r="AC98" s="143" t="str">
        <f>IF(B98="","",IF(COUNTIF(Z98:Z105,"NO CUMPLE")&gt;0,"NO CUMPLE",IF(E98&gt;AA98,"NO CUMPLE",IF(AA98="","","CUMPLE"))))</f>
        <v>CUMPLE</v>
      </c>
      <c r="AD98" s="254" t="s">
        <v>275</v>
      </c>
    </row>
    <row r="99" spans="1:30" ht="89.4" customHeight="1" x14ac:dyDescent="0.3">
      <c r="A99" s="150"/>
      <c r="B99" s="153"/>
      <c r="C99" s="84"/>
      <c r="D99" s="9"/>
      <c r="E99" s="156"/>
      <c r="F99" s="159"/>
      <c r="G99" s="24">
        <v>2</v>
      </c>
      <c r="H99" s="8" t="s">
        <v>90</v>
      </c>
      <c r="I99" s="24" t="s">
        <v>88</v>
      </c>
      <c r="J99" s="24" t="s">
        <v>32</v>
      </c>
      <c r="K99" s="9">
        <v>0.1125</v>
      </c>
      <c r="L99" s="47">
        <v>40960</v>
      </c>
      <c r="M99" s="47">
        <v>41961</v>
      </c>
      <c r="N99" s="26" t="str">
        <f>IF(M99&lt;&gt;"",IF(M99&gt;Listados!$O$4,"NO CUMPLE","CUMPLE"),"")</f>
        <v>CUMPLE</v>
      </c>
      <c r="O99" s="12">
        <v>150000000</v>
      </c>
      <c r="P99" s="45">
        <f t="shared" ref="P99:P105" si="32">IF(O99&gt;0,K99*O99,"")</f>
        <v>16875000</v>
      </c>
      <c r="Q99" s="23">
        <f>IFERROR((P99/_xlfn.XLOOKUP(YEAR(M99),Listados!$B$3:$B$32,Listados!$C$3:$C$32)),"")</f>
        <v>27.394480519480521</v>
      </c>
      <c r="R99" s="46">
        <f>243.5*0.1125</f>
        <v>27.393750000000001</v>
      </c>
      <c r="S99" s="27" t="str">
        <f>IF(V99="CUMPLE",IFERROR(R99*Listados!$C$32,"0"),"")</f>
        <v/>
      </c>
      <c r="T99" s="28">
        <v>801016</v>
      </c>
      <c r="U99" s="24">
        <v>435</v>
      </c>
      <c r="V99" s="26" t="str">
        <f t="shared" ref="V99:V105" si="33">IF(COUNTBLANK(J99)+COUNTBLANK(N99)+COUNTBLANK(T99)=3,"",IF(COUNTIF(J99,"CUMPLE")+COUNTIF(N99,"CUMPLE")+COUNTIF(T99,"801015")+COUNTIF(T99,"801016")+COUNTIF(T99,"841116")=3,IF(W99="","CUMPLE","NO CUMPLE"),"NO CUMPLE"))</f>
        <v>NO CUMPLE</v>
      </c>
      <c r="W99" s="115" t="s">
        <v>277</v>
      </c>
      <c r="X99" s="26" t="str">
        <f t="shared" si="30"/>
        <v/>
      </c>
      <c r="Y99" s="27" t="str">
        <f>+IF(X99&lt;&gt;"",(SUMIFS($S98:$S105,$I98:$I105,C99,$V98:$V105,"CUMPLE")),"")</f>
        <v/>
      </c>
      <c r="Z99" s="29" t="str">
        <f t="shared" si="31"/>
        <v/>
      </c>
      <c r="AA99" s="162"/>
      <c r="AB99" s="24"/>
      <c r="AC99" s="144"/>
      <c r="AD99" s="255"/>
    </row>
    <row r="100" spans="1:30" ht="94.8" customHeight="1" x14ac:dyDescent="0.3">
      <c r="A100" s="150"/>
      <c r="B100" s="153"/>
      <c r="C100" s="14"/>
      <c r="D100" s="30"/>
      <c r="E100" s="156"/>
      <c r="F100" s="159"/>
      <c r="G100" s="24"/>
      <c r="H100" s="8"/>
      <c r="I100" s="24"/>
      <c r="J100" s="24"/>
      <c r="K100" s="9"/>
      <c r="L100" s="47"/>
      <c r="M100" s="47"/>
      <c r="N100" s="26" t="str">
        <f>IF(M100&lt;&gt;"",IF(M100&gt;Listados!$O$4,"NO CUMPLE","CUMPLE"),"")</f>
        <v/>
      </c>
      <c r="O100" s="12"/>
      <c r="P100" s="45" t="str">
        <f t="shared" si="32"/>
        <v/>
      </c>
      <c r="Q100" s="23" t="str">
        <f>IFERROR((P100/_xlfn.XLOOKUP(YEAR(M100),Listados!$B$3:$B$32,Listados!$C$3:$C$32)),"")</f>
        <v/>
      </c>
      <c r="R100" s="46"/>
      <c r="S100" s="27" t="str">
        <f>IF(V100="CUMPLE",IFERROR(R100*Listados!$C$32,"0"),"")</f>
        <v/>
      </c>
      <c r="T100" s="28"/>
      <c r="U100" s="24"/>
      <c r="V100" s="26" t="str">
        <f t="shared" si="33"/>
        <v/>
      </c>
      <c r="W100" s="115"/>
      <c r="X100" s="26" t="str">
        <f t="shared" si="30"/>
        <v/>
      </c>
      <c r="Y100" s="27" t="str">
        <f>+IF(X100&lt;&gt;"",(SUMIFS($S98:$S105,$I98:$I105,C100,$V98:$V105,"CUMPLE")),"")</f>
        <v/>
      </c>
      <c r="Z100" s="29" t="str">
        <f t="shared" si="31"/>
        <v/>
      </c>
      <c r="AA100" s="162"/>
      <c r="AB100" s="24"/>
      <c r="AC100" s="144"/>
      <c r="AD100" s="255"/>
    </row>
    <row r="101" spans="1:30" ht="14.4" customHeight="1" x14ac:dyDescent="0.3">
      <c r="A101" s="150"/>
      <c r="B101" s="153"/>
      <c r="C101" s="24"/>
      <c r="D101" s="30"/>
      <c r="E101" s="156"/>
      <c r="F101" s="159"/>
      <c r="G101" s="24"/>
      <c r="H101" s="8"/>
      <c r="I101" s="24"/>
      <c r="J101" s="24"/>
      <c r="K101" s="9"/>
      <c r="L101" s="47"/>
      <c r="M101" s="47"/>
      <c r="N101" s="26" t="str">
        <f>IF(M101&lt;&gt;"",IF(M101&gt;Listados!$O$4,"NO CUMPLE","CUMPLE"),"")</f>
        <v/>
      </c>
      <c r="O101" s="12"/>
      <c r="P101" s="45" t="str">
        <f t="shared" si="32"/>
        <v/>
      </c>
      <c r="Q101" s="23" t="str">
        <f>IFERROR((P101/_xlfn.XLOOKUP(YEAR(M101),Listados!$B$3:$B$32,Listados!$C$3:$C$32)),"")</f>
        <v/>
      </c>
      <c r="R101" s="46"/>
      <c r="S101" s="27" t="str">
        <f>IF(V101="CUMPLE",IFERROR(R101*Listados!$C$32,"0"),"")</f>
        <v/>
      </c>
      <c r="T101" s="28"/>
      <c r="U101" s="24"/>
      <c r="V101" s="26" t="str">
        <f t="shared" si="33"/>
        <v/>
      </c>
      <c r="W101" s="115"/>
      <c r="X101" s="26" t="str">
        <f t="shared" si="30"/>
        <v/>
      </c>
      <c r="Y101" s="27" t="str">
        <f>+IF(X101&lt;&gt;"",(SUMIFS($S98:$S105,$I98:$I105,C101,$V98:$V105,"CUMPLE")),"")</f>
        <v/>
      </c>
      <c r="Z101" s="29" t="str">
        <f t="shared" si="31"/>
        <v/>
      </c>
      <c r="AA101" s="162"/>
      <c r="AB101" s="24"/>
      <c r="AC101" s="144"/>
      <c r="AD101" s="255"/>
    </row>
    <row r="102" spans="1:30" ht="14.4" customHeight="1" x14ac:dyDescent="0.3">
      <c r="A102" s="150"/>
      <c r="B102" s="153"/>
      <c r="C102" s="24"/>
      <c r="D102" s="30"/>
      <c r="E102" s="156"/>
      <c r="F102" s="159"/>
      <c r="G102" s="24"/>
      <c r="H102" s="24"/>
      <c r="I102" s="24"/>
      <c r="J102" s="24"/>
      <c r="K102" s="30"/>
      <c r="L102" s="47"/>
      <c r="M102" s="47"/>
      <c r="N102" s="26" t="str">
        <f>IF(M102&lt;&gt;"",IF(M102&gt;Listados!$O$4,"NO CUMPLE","CUMPLE"),"")</f>
        <v/>
      </c>
      <c r="O102" s="48"/>
      <c r="P102" s="45" t="str">
        <f t="shared" si="32"/>
        <v/>
      </c>
      <c r="Q102" s="23" t="str">
        <f>IFERROR((P102/_xlfn.XLOOKUP(YEAR(M102),Listados!$B$3:$B$32,Listados!$C$3:$C$32)),"")</f>
        <v/>
      </c>
      <c r="R102" s="46"/>
      <c r="S102" s="27" t="str">
        <f>IF(V102="CUMPLE",IFERROR(R102*Listados!$C$32,"0"),"")</f>
        <v/>
      </c>
      <c r="T102" s="28"/>
      <c r="U102" s="24"/>
      <c r="V102" s="26" t="str">
        <f t="shared" si="33"/>
        <v/>
      </c>
      <c r="W102" s="115"/>
      <c r="X102" s="26" t="str">
        <f t="shared" si="30"/>
        <v/>
      </c>
      <c r="Y102" s="27" t="str">
        <f>+IF(X102&lt;&gt;"",(SUMIFS($S98:$S105,$I98:$I105,C102,$V98:$V105,"CUMPLE")),"")</f>
        <v/>
      </c>
      <c r="Z102" s="29" t="str">
        <f t="shared" si="31"/>
        <v/>
      </c>
      <c r="AA102" s="162"/>
      <c r="AB102" s="24"/>
      <c r="AC102" s="144"/>
      <c r="AD102" s="255"/>
    </row>
    <row r="103" spans="1:30" ht="14.4" customHeight="1" x14ac:dyDescent="0.3">
      <c r="A103" s="150"/>
      <c r="B103" s="153"/>
      <c r="C103" s="24"/>
      <c r="D103" s="30"/>
      <c r="E103" s="156"/>
      <c r="F103" s="159"/>
      <c r="G103" s="24"/>
      <c r="H103" s="24"/>
      <c r="I103" s="24"/>
      <c r="J103" s="24"/>
      <c r="K103" s="30"/>
      <c r="L103" s="47"/>
      <c r="M103" s="47"/>
      <c r="N103" s="26" t="str">
        <f>IF(M103&lt;&gt;"",IF(M103&gt;Listados!$O$4,"NO CUMPLE","CUMPLE"),"")</f>
        <v/>
      </c>
      <c r="O103" s="48"/>
      <c r="P103" s="45" t="str">
        <f t="shared" si="32"/>
        <v/>
      </c>
      <c r="Q103" s="23" t="str">
        <f>IFERROR((P103/_xlfn.XLOOKUP(YEAR(M103),Listados!$B$3:$B$32,Listados!$C$3:$C$32)),"")</f>
        <v/>
      </c>
      <c r="R103" s="46"/>
      <c r="S103" s="27" t="str">
        <f>IF(V103="CUMPLE",IFERROR(R103*Listados!$C$32,"0"),"")</f>
        <v/>
      </c>
      <c r="T103" s="28"/>
      <c r="U103" s="24"/>
      <c r="V103" s="26" t="str">
        <f t="shared" si="33"/>
        <v/>
      </c>
      <c r="W103" s="115"/>
      <c r="X103" s="26" t="str">
        <f t="shared" si="30"/>
        <v/>
      </c>
      <c r="Y103" s="27" t="str">
        <f>+IF(X103&lt;&gt;"",(SUMIFS($S98:$S105,$I98:$I105,C103,$V98:$V105,"CUMPLE")),"")</f>
        <v/>
      </c>
      <c r="Z103" s="29" t="str">
        <f t="shared" si="31"/>
        <v/>
      </c>
      <c r="AA103" s="162"/>
      <c r="AB103" s="24"/>
      <c r="AC103" s="144"/>
      <c r="AD103" s="255"/>
    </row>
    <row r="104" spans="1:30" ht="14.4" customHeight="1" x14ac:dyDescent="0.3">
      <c r="A104" s="150"/>
      <c r="B104" s="153"/>
      <c r="C104" s="24"/>
      <c r="D104" s="30"/>
      <c r="E104" s="156"/>
      <c r="F104" s="159"/>
      <c r="G104" s="24"/>
      <c r="H104" s="24"/>
      <c r="I104" s="24"/>
      <c r="J104" s="24"/>
      <c r="K104" s="30"/>
      <c r="L104" s="47"/>
      <c r="M104" s="47"/>
      <c r="N104" s="26" t="str">
        <f>IF(M104&lt;&gt;"",IF(M104&gt;Listados!$O$4,"NO CUMPLE","CUMPLE"),"")</f>
        <v/>
      </c>
      <c r="O104" s="48"/>
      <c r="P104" s="45" t="str">
        <f t="shared" si="32"/>
        <v/>
      </c>
      <c r="Q104" s="23" t="str">
        <f>IFERROR((P104/_xlfn.XLOOKUP(YEAR(M104),Listados!$B$3:$B$32,Listados!$C$3:$C$32)),"")</f>
        <v/>
      </c>
      <c r="R104" s="46"/>
      <c r="S104" s="27" t="str">
        <f>IF(V104="CUMPLE",IFERROR(R104*Listados!$C$32,"0"),"")</f>
        <v/>
      </c>
      <c r="T104" s="28"/>
      <c r="U104" s="24"/>
      <c r="V104" s="26" t="str">
        <f t="shared" si="33"/>
        <v/>
      </c>
      <c r="W104" s="115"/>
      <c r="X104" s="26" t="str">
        <f t="shared" si="30"/>
        <v/>
      </c>
      <c r="Y104" s="27" t="str">
        <f>+IF(X104&lt;&gt;"",(SUMIFS($S98:$S105,$I98:$I105,C104,$V98:$V105,"CUMPLE")),"")</f>
        <v/>
      </c>
      <c r="Z104" s="29" t="str">
        <f t="shared" si="31"/>
        <v/>
      </c>
      <c r="AA104" s="162"/>
      <c r="AB104" s="24"/>
      <c r="AC104" s="144"/>
      <c r="AD104" s="255"/>
    </row>
    <row r="105" spans="1:30" ht="15" customHeight="1" thickBot="1" x14ac:dyDescent="0.35">
      <c r="A105" s="151"/>
      <c r="B105" s="154"/>
      <c r="C105" s="34"/>
      <c r="D105" s="32"/>
      <c r="E105" s="157"/>
      <c r="F105" s="160"/>
      <c r="G105" s="34"/>
      <c r="H105" s="34"/>
      <c r="I105" s="34"/>
      <c r="J105" s="34"/>
      <c r="K105" s="32"/>
      <c r="L105" s="49"/>
      <c r="M105" s="49"/>
      <c r="N105" s="35" t="str">
        <f>IF(M105&lt;&gt;"",IF(M105&gt;Listados!$O$4,"NO CUMPLE","CUMPLE"),"")</f>
        <v/>
      </c>
      <c r="O105" s="50"/>
      <c r="P105" s="51" t="str">
        <f t="shared" si="32"/>
        <v/>
      </c>
      <c r="Q105" s="33" t="str">
        <f>IFERROR((P105/_xlfn.XLOOKUP(YEAR(M105),Listados!$B$3:$B$32,Listados!$C$3:$C$32)),"")</f>
        <v/>
      </c>
      <c r="R105" s="52"/>
      <c r="S105" s="36" t="str">
        <f>IF(V105="CUMPLE",IFERROR(R105*Listados!$C$32,"0"),"")</f>
        <v/>
      </c>
      <c r="T105" s="37"/>
      <c r="U105" s="34"/>
      <c r="V105" s="35" t="str">
        <f t="shared" si="33"/>
        <v/>
      </c>
      <c r="W105" s="116"/>
      <c r="X105" s="35" t="str">
        <f t="shared" si="30"/>
        <v/>
      </c>
      <c r="Y105" s="36" t="str">
        <f>+IF(X105&lt;&gt;"",(SUMIFS($S98:$S105,$I98:$I105,C105,$V98:$V105,"CUMPLE")),"")</f>
        <v/>
      </c>
      <c r="Z105" s="38" t="str">
        <f t="shared" si="31"/>
        <v/>
      </c>
      <c r="AA105" s="163"/>
      <c r="AB105" s="34"/>
      <c r="AC105" s="145"/>
      <c r="AD105" s="256"/>
    </row>
  </sheetData>
  <sheetProtection algorithmName="SHA-512" hashValue="60H4OD0zWp7te0SVQvfPBJjsRTC0ru5sDtMWDGTCt6i5xFzn68eSaKHJhH7EIj3NqbOjgLkntjlRvEbh+Dt8jA==" saltValue="Cmv91CpRFXCx4KRjQLlBtQ==" spinCount="100000" sheet="1"/>
  <mergeCells count="91">
    <mergeCell ref="AC66:AC73"/>
    <mergeCell ref="AD66:AD73"/>
    <mergeCell ref="A74:A81"/>
    <mergeCell ref="B74:B81"/>
    <mergeCell ref="E74:E81"/>
    <mergeCell ref="F74:F81"/>
    <mergeCell ref="AA74:AA81"/>
    <mergeCell ref="AC74:AC81"/>
    <mergeCell ref="AD74:AD81"/>
    <mergeCell ref="A66:A73"/>
    <mergeCell ref="B66:B73"/>
    <mergeCell ref="E66:E73"/>
    <mergeCell ref="F66:F73"/>
    <mergeCell ref="AA66:AA73"/>
    <mergeCell ref="AC50:AC57"/>
    <mergeCell ref="AD50:AD57"/>
    <mergeCell ref="A58:A65"/>
    <mergeCell ref="B58:B65"/>
    <mergeCell ref="E58:E65"/>
    <mergeCell ref="F58:F65"/>
    <mergeCell ref="AA58:AA65"/>
    <mergeCell ref="AC58:AC65"/>
    <mergeCell ref="AD58:AD65"/>
    <mergeCell ref="A50:A57"/>
    <mergeCell ref="B50:B57"/>
    <mergeCell ref="E50:E57"/>
    <mergeCell ref="F50:F57"/>
    <mergeCell ref="AA50:AA57"/>
    <mergeCell ref="AC34:AC41"/>
    <mergeCell ref="AD34:AD41"/>
    <mergeCell ref="A42:A49"/>
    <mergeCell ref="B42:B49"/>
    <mergeCell ref="E42:E49"/>
    <mergeCell ref="F42:F49"/>
    <mergeCell ref="AA42:AA49"/>
    <mergeCell ref="AC42:AC49"/>
    <mergeCell ref="AD42:AD49"/>
    <mergeCell ref="A34:A41"/>
    <mergeCell ref="B34:B41"/>
    <mergeCell ref="E34:E41"/>
    <mergeCell ref="F34:F41"/>
    <mergeCell ref="AA34:AA41"/>
    <mergeCell ref="AC18:AC25"/>
    <mergeCell ref="AD18:AD25"/>
    <mergeCell ref="A26:A33"/>
    <mergeCell ref="B26:B33"/>
    <mergeCell ref="E26:E33"/>
    <mergeCell ref="F26:F33"/>
    <mergeCell ref="AA26:AA33"/>
    <mergeCell ref="AC26:AC33"/>
    <mergeCell ref="AD26:AD33"/>
    <mergeCell ref="A18:A25"/>
    <mergeCell ref="B18:B25"/>
    <mergeCell ref="E18:E25"/>
    <mergeCell ref="F18:F25"/>
    <mergeCell ref="AA18:AA25"/>
    <mergeCell ref="AA2:AA9"/>
    <mergeCell ref="AC2:AC9"/>
    <mergeCell ref="AD2:AD9"/>
    <mergeCell ref="A2:A9"/>
    <mergeCell ref="B2:B9"/>
    <mergeCell ref="E2:E9"/>
    <mergeCell ref="F2:F9"/>
    <mergeCell ref="AC10:AC17"/>
    <mergeCell ref="AD10:AD17"/>
    <mergeCell ref="A10:A17"/>
    <mergeCell ref="B10:B17"/>
    <mergeCell ref="E10:E17"/>
    <mergeCell ref="F10:F17"/>
    <mergeCell ref="AA10:AA17"/>
    <mergeCell ref="AC82:AC89"/>
    <mergeCell ref="AD82:AD89"/>
    <mergeCell ref="A90:A97"/>
    <mergeCell ref="B90:B97"/>
    <mergeCell ref="E90:E97"/>
    <mergeCell ref="F90:F97"/>
    <mergeCell ref="AA90:AA97"/>
    <mergeCell ref="AC90:AC97"/>
    <mergeCell ref="AD90:AD97"/>
    <mergeCell ref="A82:A89"/>
    <mergeCell ref="B82:B89"/>
    <mergeCell ref="E82:E89"/>
    <mergeCell ref="F82:F89"/>
    <mergeCell ref="AA82:AA89"/>
    <mergeCell ref="AC98:AC105"/>
    <mergeCell ref="AD98:AD105"/>
    <mergeCell ref="A98:A105"/>
    <mergeCell ref="B98:B105"/>
    <mergeCell ref="E98:E105"/>
    <mergeCell ref="F98:F105"/>
    <mergeCell ref="AA98:AA105"/>
  </mergeCells>
  <phoneticPr fontId="10" type="noConversion"/>
  <conditionalFormatting sqref="A1:XFD1">
    <cfRule type="cellIs" dxfId="224" priority="351" operator="equal">
      <formula>"NO CUMPLE"</formula>
    </cfRule>
    <cfRule type="cellIs" dxfId="223" priority="350" operator="equal">
      <formula>"NO HABILITADO"</formula>
    </cfRule>
  </conditionalFormatting>
  <conditionalFormatting sqref="C4">
    <cfRule type="cellIs" dxfId="222" priority="244" operator="equal">
      <formula>"NO CUMPLE"</formula>
    </cfRule>
    <cfRule type="cellIs" dxfId="221" priority="243" operator="equal">
      <formula>"NO HABILITADO"</formula>
    </cfRule>
  </conditionalFormatting>
  <conditionalFormatting sqref="C12">
    <cfRule type="cellIs" dxfId="220" priority="122" operator="equal">
      <formula>"NO HABILITADO"</formula>
    </cfRule>
    <cfRule type="cellIs" dxfId="219" priority="123" operator="equal">
      <formula>"NO CUMPLE"</formula>
    </cfRule>
  </conditionalFormatting>
  <conditionalFormatting sqref="C20">
    <cfRule type="cellIs" dxfId="218" priority="111" operator="equal">
      <formula>"NO HABILITADO"</formula>
    </cfRule>
    <cfRule type="cellIs" dxfId="217" priority="112" operator="equal">
      <formula>"NO CUMPLE"</formula>
    </cfRule>
  </conditionalFormatting>
  <conditionalFormatting sqref="C28">
    <cfRule type="cellIs" dxfId="216" priority="101" operator="equal">
      <formula>"NO CUMPLE"</formula>
    </cfRule>
    <cfRule type="cellIs" dxfId="215" priority="100" operator="equal">
      <formula>"NO HABILITADO"</formula>
    </cfRule>
  </conditionalFormatting>
  <conditionalFormatting sqref="C36">
    <cfRule type="cellIs" dxfId="214" priority="90" operator="equal">
      <formula>"NO CUMPLE"</formula>
    </cfRule>
    <cfRule type="cellIs" dxfId="213" priority="89" operator="equal">
      <formula>"NO HABILITADO"</formula>
    </cfRule>
  </conditionalFormatting>
  <conditionalFormatting sqref="C44">
    <cfRule type="cellIs" dxfId="212" priority="79" operator="equal">
      <formula>"NO CUMPLE"</formula>
    </cfRule>
    <cfRule type="cellIs" dxfId="211" priority="78" operator="equal">
      <formula>"NO HABILITADO"</formula>
    </cfRule>
  </conditionalFormatting>
  <conditionalFormatting sqref="C52">
    <cfRule type="cellIs" dxfId="210" priority="67" operator="equal">
      <formula>"NO HABILITADO"</formula>
    </cfRule>
    <cfRule type="cellIs" dxfId="209" priority="68" operator="equal">
      <formula>"NO CUMPLE"</formula>
    </cfRule>
  </conditionalFormatting>
  <conditionalFormatting sqref="C60">
    <cfRule type="cellIs" dxfId="208" priority="56" operator="equal">
      <formula>"NO HABILITADO"</formula>
    </cfRule>
    <cfRule type="cellIs" dxfId="207" priority="57" operator="equal">
      <formula>"NO CUMPLE"</formula>
    </cfRule>
  </conditionalFormatting>
  <conditionalFormatting sqref="C68">
    <cfRule type="cellIs" dxfId="206" priority="46" operator="equal">
      <formula>"NO CUMPLE"</formula>
    </cfRule>
    <cfRule type="cellIs" dxfId="205" priority="45" operator="equal">
      <formula>"NO HABILITADO"</formula>
    </cfRule>
  </conditionalFormatting>
  <conditionalFormatting sqref="C76">
    <cfRule type="cellIs" dxfId="204" priority="34" operator="equal">
      <formula>"NO HABILITADO"</formula>
    </cfRule>
    <cfRule type="cellIs" dxfId="203" priority="35" operator="equal">
      <formula>"NO CUMPLE"</formula>
    </cfRule>
  </conditionalFormatting>
  <conditionalFormatting sqref="C84">
    <cfRule type="cellIs" dxfId="202" priority="23" operator="equal">
      <formula>"NO HABILITADO"</formula>
    </cfRule>
    <cfRule type="cellIs" dxfId="201" priority="24" operator="equal">
      <formula>"NO CUMPLE"</formula>
    </cfRule>
  </conditionalFormatting>
  <conditionalFormatting sqref="C92">
    <cfRule type="cellIs" dxfId="200" priority="13" operator="equal">
      <formula>"NO CUMPLE"</formula>
    </cfRule>
    <cfRule type="cellIs" dxfId="199" priority="12" operator="equal">
      <formula>"NO HABILITADO"</formula>
    </cfRule>
  </conditionalFormatting>
  <conditionalFormatting sqref="C100">
    <cfRule type="cellIs" dxfId="198" priority="2" operator="equal">
      <formula>"NO CUMPLE"</formula>
    </cfRule>
    <cfRule type="cellIs" dxfId="197" priority="1" operator="equal">
      <formula>"NO HABILITADO"</formula>
    </cfRule>
  </conditionalFormatting>
  <conditionalFormatting sqref="C2:D3">
    <cfRule type="cellIs" dxfId="196" priority="557" operator="equal">
      <formula>"NO CUMPLE"</formula>
    </cfRule>
    <cfRule type="cellIs" dxfId="195" priority="556" operator="equal">
      <formula>"NO HABILITADO"</formula>
    </cfRule>
  </conditionalFormatting>
  <conditionalFormatting sqref="C10:D11">
    <cfRule type="cellIs" dxfId="194" priority="131" operator="equal">
      <formula>"NO HABILITADO"</formula>
    </cfRule>
    <cfRule type="cellIs" dxfId="193" priority="132" operator="equal">
      <formula>"NO CUMPLE"</formula>
    </cfRule>
  </conditionalFormatting>
  <conditionalFormatting sqref="C18:D19">
    <cfRule type="cellIs" dxfId="192" priority="121" operator="equal">
      <formula>"NO CUMPLE"</formula>
    </cfRule>
    <cfRule type="cellIs" dxfId="191" priority="120" operator="equal">
      <formula>"NO HABILITADO"</formula>
    </cfRule>
  </conditionalFormatting>
  <conditionalFormatting sqref="C26:D27">
    <cfRule type="cellIs" dxfId="190" priority="110" operator="equal">
      <formula>"NO CUMPLE"</formula>
    </cfRule>
    <cfRule type="cellIs" dxfId="189" priority="109" operator="equal">
      <formula>"NO HABILITADO"</formula>
    </cfRule>
  </conditionalFormatting>
  <conditionalFormatting sqref="C34:D35">
    <cfRule type="cellIs" dxfId="188" priority="99" operator="equal">
      <formula>"NO CUMPLE"</formula>
    </cfRule>
    <cfRule type="cellIs" dxfId="187" priority="98" operator="equal">
      <formula>"NO HABILITADO"</formula>
    </cfRule>
  </conditionalFormatting>
  <conditionalFormatting sqref="C42:D43">
    <cfRule type="cellIs" dxfId="186" priority="88" operator="equal">
      <formula>"NO CUMPLE"</formula>
    </cfRule>
    <cfRule type="cellIs" dxfId="185" priority="87" operator="equal">
      <formula>"NO HABILITADO"</formula>
    </cfRule>
  </conditionalFormatting>
  <conditionalFormatting sqref="C50:D51">
    <cfRule type="cellIs" dxfId="184" priority="77" operator="equal">
      <formula>"NO CUMPLE"</formula>
    </cfRule>
    <cfRule type="cellIs" dxfId="183" priority="76" operator="equal">
      <formula>"NO HABILITADO"</formula>
    </cfRule>
  </conditionalFormatting>
  <conditionalFormatting sqref="C58:D59">
    <cfRule type="cellIs" dxfId="182" priority="66" operator="equal">
      <formula>"NO CUMPLE"</formula>
    </cfRule>
    <cfRule type="cellIs" dxfId="181" priority="65" operator="equal">
      <formula>"NO HABILITADO"</formula>
    </cfRule>
  </conditionalFormatting>
  <conditionalFormatting sqref="C66:D67">
    <cfRule type="cellIs" dxfId="180" priority="54" operator="equal">
      <formula>"NO HABILITADO"</formula>
    </cfRule>
    <cfRule type="cellIs" dxfId="179" priority="55" operator="equal">
      <formula>"NO CUMPLE"</formula>
    </cfRule>
  </conditionalFormatting>
  <conditionalFormatting sqref="C74:D75">
    <cfRule type="cellIs" dxfId="178" priority="43" operator="equal">
      <formula>"NO HABILITADO"</formula>
    </cfRule>
    <cfRule type="cellIs" dxfId="177" priority="44" operator="equal">
      <formula>"NO CUMPLE"</formula>
    </cfRule>
  </conditionalFormatting>
  <conditionalFormatting sqref="C82:D83">
    <cfRule type="cellIs" dxfId="176" priority="33" operator="equal">
      <formula>"NO CUMPLE"</formula>
    </cfRule>
    <cfRule type="cellIs" dxfId="175" priority="32" operator="equal">
      <formula>"NO HABILITADO"</formula>
    </cfRule>
  </conditionalFormatting>
  <conditionalFormatting sqref="C90:D91">
    <cfRule type="cellIs" dxfId="174" priority="22" operator="equal">
      <formula>"NO CUMPLE"</formula>
    </cfRule>
    <cfRule type="cellIs" dxfId="173" priority="21" operator="equal">
      <formula>"NO HABILITADO"</formula>
    </cfRule>
  </conditionalFormatting>
  <conditionalFormatting sqref="C98:D99">
    <cfRule type="cellIs" dxfId="172" priority="11" operator="equal">
      <formula>"NO CUMPLE"</formula>
    </cfRule>
    <cfRule type="cellIs" dxfId="171" priority="10" operator="equal">
      <formula>"NO HABILITADO"</formula>
    </cfRule>
  </conditionalFormatting>
  <conditionalFormatting sqref="H2:H5">
    <cfRule type="cellIs" dxfId="170" priority="554" operator="equal">
      <formula>"NO HABILITADO"</formula>
    </cfRule>
    <cfRule type="cellIs" dxfId="169" priority="555" operator="equal">
      <formula>"NO CUMPLE"</formula>
    </cfRule>
  </conditionalFormatting>
  <conditionalFormatting sqref="H10:H13">
    <cfRule type="cellIs" dxfId="168" priority="130" operator="equal">
      <formula>"NO CUMPLE"</formula>
    </cfRule>
    <cfRule type="cellIs" dxfId="167" priority="129" operator="equal">
      <formula>"NO HABILITADO"</formula>
    </cfRule>
  </conditionalFormatting>
  <conditionalFormatting sqref="H18:H21">
    <cfRule type="cellIs" dxfId="166" priority="119" operator="equal">
      <formula>"NO CUMPLE"</formula>
    </cfRule>
    <cfRule type="cellIs" dxfId="165" priority="118" operator="equal">
      <formula>"NO HABILITADO"</formula>
    </cfRule>
  </conditionalFormatting>
  <conditionalFormatting sqref="H26:H29">
    <cfRule type="cellIs" dxfId="164" priority="108" operator="equal">
      <formula>"NO CUMPLE"</formula>
    </cfRule>
    <cfRule type="cellIs" dxfId="163" priority="107" operator="equal">
      <formula>"NO HABILITADO"</formula>
    </cfRule>
  </conditionalFormatting>
  <conditionalFormatting sqref="H34:H37">
    <cfRule type="cellIs" dxfId="162" priority="97" operator="equal">
      <formula>"NO CUMPLE"</formula>
    </cfRule>
    <cfRule type="cellIs" dxfId="161" priority="96" operator="equal">
      <formula>"NO HABILITADO"</formula>
    </cfRule>
  </conditionalFormatting>
  <conditionalFormatting sqref="H42:H45">
    <cfRule type="cellIs" dxfId="160" priority="86" operator="equal">
      <formula>"NO CUMPLE"</formula>
    </cfRule>
    <cfRule type="cellIs" dxfId="159" priority="85" operator="equal">
      <formula>"NO HABILITADO"</formula>
    </cfRule>
  </conditionalFormatting>
  <conditionalFormatting sqref="H50:H53">
    <cfRule type="cellIs" dxfId="158" priority="74" operator="equal">
      <formula>"NO HABILITADO"</formula>
    </cfRule>
    <cfRule type="cellIs" dxfId="157" priority="75" operator="equal">
      <formula>"NO CUMPLE"</formula>
    </cfRule>
  </conditionalFormatting>
  <conditionalFormatting sqref="H58:H61">
    <cfRule type="cellIs" dxfId="156" priority="63" operator="equal">
      <formula>"NO HABILITADO"</formula>
    </cfRule>
    <cfRule type="cellIs" dxfId="155" priority="64" operator="equal">
      <formula>"NO CUMPLE"</formula>
    </cfRule>
  </conditionalFormatting>
  <conditionalFormatting sqref="H66:H69">
    <cfRule type="cellIs" dxfId="154" priority="53" operator="equal">
      <formula>"NO CUMPLE"</formula>
    </cfRule>
    <cfRule type="cellIs" dxfId="153" priority="52" operator="equal">
      <formula>"NO HABILITADO"</formula>
    </cfRule>
  </conditionalFormatting>
  <conditionalFormatting sqref="H74:H77">
    <cfRule type="cellIs" dxfId="152" priority="41" operator="equal">
      <formula>"NO HABILITADO"</formula>
    </cfRule>
    <cfRule type="cellIs" dxfId="151" priority="42" operator="equal">
      <formula>"NO CUMPLE"</formula>
    </cfRule>
  </conditionalFormatting>
  <conditionalFormatting sqref="H82:H85">
    <cfRule type="cellIs" dxfId="150" priority="31" operator="equal">
      <formula>"NO CUMPLE"</formula>
    </cfRule>
    <cfRule type="cellIs" dxfId="149" priority="30" operator="equal">
      <formula>"NO HABILITADO"</formula>
    </cfRule>
  </conditionalFormatting>
  <conditionalFormatting sqref="H90:H93">
    <cfRule type="cellIs" dxfId="148" priority="19" operator="equal">
      <formula>"NO HABILITADO"</formula>
    </cfRule>
    <cfRule type="cellIs" dxfId="147" priority="20" operator="equal">
      <formula>"NO CUMPLE"</formula>
    </cfRule>
  </conditionalFormatting>
  <conditionalFormatting sqref="H98:H101">
    <cfRule type="cellIs" dxfId="146" priority="8" operator="equal">
      <formula>"NO HABILITADO"</formula>
    </cfRule>
    <cfRule type="cellIs" dxfId="145" priority="9" operator="equal">
      <formula>"NO CUMPLE"</formula>
    </cfRule>
  </conditionalFormatting>
  <conditionalFormatting sqref="J1">
    <cfRule type="expression" dxfId="144" priority="597">
      <formula>$J1=$B$8</formula>
    </cfRule>
    <cfRule type="expression" priority="596">
      <formula>#REF!=$B$8</formula>
    </cfRule>
    <cfRule type="expression" dxfId="143" priority="595">
      <formula>$J1=$B$8</formula>
    </cfRule>
  </conditionalFormatting>
  <conditionalFormatting sqref="J2:J105">
    <cfRule type="expression" dxfId="142" priority="361">
      <formula>J2="NO CUMPLE"</formula>
    </cfRule>
  </conditionalFormatting>
  <conditionalFormatting sqref="K2:K5 M2:M5">
    <cfRule type="cellIs" dxfId="141" priority="549" operator="equal">
      <formula>"NO CUMPLE"</formula>
    </cfRule>
    <cfRule type="cellIs" dxfId="140" priority="550" operator="equal">
      <formula>"NO HABILITADO"</formula>
    </cfRule>
  </conditionalFormatting>
  <conditionalFormatting sqref="K2:K5">
    <cfRule type="cellIs" dxfId="139" priority="553" operator="greaterThan">
      <formula>1</formula>
    </cfRule>
  </conditionalFormatting>
  <conditionalFormatting sqref="K10:K13 M10:M13">
    <cfRule type="cellIs" dxfId="138" priority="127" operator="equal">
      <formula>"NO HABILITADO"</formula>
    </cfRule>
    <cfRule type="cellIs" dxfId="137" priority="126" operator="equal">
      <formula>"NO CUMPLE"</formula>
    </cfRule>
  </conditionalFormatting>
  <conditionalFormatting sqref="K10:K13">
    <cfRule type="cellIs" dxfId="136" priority="128" operator="greaterThan">
      <formula>1</formula>
    </cfRule>
  </conditionalFormatting>
  <conditionalFormatting sqref="K18:K21 M18:M21">
    <cfRule type="cellIs" dxfId="135" priority="115" operator="equal">
      <formula>"NO CUMPLE"</formula>
    </cfRule>
    <cfRule type="cellIs" dxfId="134" priority="116" operator="equal">
      <formula>"NO HABILITADO"</formula>
    </cfRule>
  </conditionalFormatting>
  <conditionalFormatting sqref="K18:K21">
    <cfRule type="cellIs" dxfId="133" priority="117" operator="greaterThan">
      <formula>1</formula>
    </cfRule>
  </conditionalFormatting>
  <conditionalFormatting sqref="K26:K29 M26:M29">
    <cfRule type="cellIs" dxfId="132" priority="104" operator="equal">
      <formula>"NO CUMPLE"</formula>
    </cfRule>
    <cfRule type="cellIs" dxfId="131" priority="105" operator="equal">
      <formula>"NO HABILITADO"</formula>
    </cfRule>
  </conditionalFormatting>
  <conditionalFormatting sqref="K26:K29">
    <cfRule type="cellIs" dxfId="130" priority="106" operator="greaterThan">
      <formula>1</formula>
    </cfRule>
  </conditionalFormatting>
  <conditionalFormatting sqref="K34:K37 M34:M37">
    <cfRule type="cellIs" dxfId="129" priority="93" operator="equal">
      <formula>"NO CUMPLE"</formula>
    </cfRule>
    <cfRule type="cellIs" dxfId="128" priority="94" operator="equal">
      <formula>"NO HABILITADO"</formula>
    </cfRule>
  </conditionalFormatting>
  <conditionalFormatting sqref="K34:K37">
    <cfRule type="cellIs" dxfId="127" priority="95" operator="greaterThan">
      <formula>1</formula>
    </cfRule>
  </conditionalFormatting>
  <conditionalFormatting sqref="K42:K45 M42:M45">
    <cfRule type="cellIs" dxfId="126" priority="82" operator="equal">
      <formula>"NO CUMPLE"</formula>
    </cfRule>
    <cfRule type="cellIs" dxfId="125" priority="83" operator="equal">
      <formula>"NO HABILITADO"</formula>
    </cfRule>
  </conditionalFormatting>
  <conditionalFormatting sqref="K42:K45">
    <cfRule type="cellIs" dxfId="124" priority="84" operator="greaterThan">
      <formula>1</formula>
    </cfRule>
  </conditionalFormatting>
  <conditionalFormatting sqref="K50:K53 M50:M53">
    <cfRule type="cellIs" dxfId="123" priority="72" operator="equal">
      <formula>"NO HABILITADO"</formula>
    </cfRule>
    <cfRule type="cellIs" dxfId="122" priority="71" operator="equal">
      <formula>"NO CUMPLE"</formula>
    </cfRule>
  </conditionalFormatting>
  <conditionalFormatting sqref="K50:K53">
    <cfRule type="cellIs" dxfId="121" priority="73" operator="greaterThan">
      <formula>1</formula>
    </cfRule>
  </conditionalFormatting>
  <conditionalFormatting sqref="K58:K61 M58:M61">
    <cfRule type="cellIs" dxfId="120" priority="60" operator="equal">
      <formula>"NO CUMPLE"</formula>
    </cfRule>
    <cfRule type="cellIs" dxfId="119" priority="61" operator="equal">
      <formula>"NO HABILITADO"</formula>
    </cfRule>
  </conditionalFormatting>
  <conditionalFormatting sqref="K58:K61">
    <cfRule type="cellIs" dxfId="118" priority="62" operator="greaterThan">
      <formula>1</formula>
    </cfRule>
  </conditionalFormatting>
  <conditionalFormatting sqref="K66:K69 M66:M69">
    <cfRule type="cellIs" dxfId="117" priority="50" operator="equal">
      <formula>"NO HABILITADO"</formula>
    </cfRule>
    <cfRule type="cellIs" dxfId="116" priority="49" operator="equal">
      <formula>"NO CUMPLE"</formula>
    </cfRule>
  </conditionalFormatting>
  <conditionalFormatting sqref="K66:K69">
    <cfRule type="cellIs" dxfId="115" priority="51" operator="greaterThan">
      <formula>1</formula>
    </cfRule>
  </conditionalFormatting>
  <conditionalFormatting sqref="K74:K77 M74:M77">
    <cfRule type="cellIs" dxfId="114" priority="39" operator="equal">
      <formula>"NO HABILITADO"</formula>
    </cfRule>
    <cfRule type="cellIs" dxfId="113" priority="38" operator="equal">
      <formula>"NO CUMPLE"</formula>
    </cfRule>
  </conditionalFormatting>
  <conditionalFormatting sqref="K74:K77">
    <cfRule type="cellIs" dxfId="112" priority="40" operator="greaterThan">
      <formula>1</formula>
    </cfRule>
  </conditionalFormatting>
  <conditionalFormatting sqref="K82:K85 M82:M85">
    <cfRule type="cellIs" dxfId="111" priority="28" operator="equal">
      <formula>"NO HABILITADO"</formula>
    </cfRule>
    <cfRule type="cellIs" dxfId="110" priority="27" operator="equal">
      <formula>"NO CUMPLE"</formula>
    </cfRule>
  </conditionalFormatting>
  <conditionalFormatting sqref="K82:K85">
    <cfRule type="cellIs" dxfId="109" priority="29" operator="greaterThan">
      <formula>1</formula>
    </cfRule>
  </conditionalFormatting>
  <conditionalFormatting sqref="K90:K93 M90:M93">
    <cfRule type="cellIs" dxfId="108" priority="17" operator="equal">
      <formula>"NO HABILITADO"</formula>
    </cfRule>
    <cfRule type="cellIs" dxfId="107" priority="16" operator="equal">
      <formula>"NO CUMPLE"</formula>
    </cfRule>
  </conditionalFormatting>
  <conditionalFormatting sqref="K90:K93">
    <cfRule type="cellIs" dxfId="106" priority="18" operator="greaterThan">
      <formula>1</formula>
    </cfRule>
  </conditionalFormatting>
  <conditionalFormatting sqref="K98:K101 M98:M101">
    <cfRule type="cellIs" dxfId="105" priority="5" operator="equal">
      <formula>"NO CUMPLE"</formula>
    </cfRule>
    <cfRule type="cellIs" dxfId="104" priority="6" operator="equal">
      <formula>"NO HABILITADO"</formula>
    </cfRule>
  </conditionalFormatting>
  <conditionalFormatting sqref="K98:K101">
    <cfRule type="cellIs" dxfId="103" priority="7" operator="greaterThan">
      <formula>1</formula>
    </cfRule>
  </conditionalFormatting>
  <conditionalFormatting sqref="N2:N105">
    <cfRule type="expression" dxfId="102" priority="524">
      <formula>N2="NO CUMPLE"</formula>
    </cfRule>
  </conditionalFormatting>
  <conditionalFormatting sqref="O2:O5">
    <cfRule type="cellIs" dxfId="101" priority="548" operator="equal">
      <formula>"NO HABILITADO"</formula>
    </cfRule>
    <cfRule type="cellIs" dxfId="100" priority="547" operator="equal">
      <formula>"NO CUMPLE"</formula>
    </cfRule>
  </conditionalFormatting>
  <conditionalFormatting sqref="O10:O13">
    <cfRule type="cellIs" dxfId="99" priority="125" operator="equal">
      <formula>"NO HABILITADO"</formula>
    </cfRule>
    <cfRule type="cellIs" dxfId="98" priority="124" operator="equal">
      <formula>"NO CUMPLE"</formula>
    </cfRule>
  </conditionalFormatting>
  <conditionalFormatting sqref="O18:O21">
    <cfRule type="cellIs" dxfId="97" priority="114" operator="equal">
      <formula>"NO HABILITADO"</formula>
    </cfRule>
    <cfRule type="cellIs" dxfId="96" priority="113" operator="equal">
      <formula>"NO CUMPLE"</formula>
    </cfRule>
  </conditionalFormatting>
  <conditionalFormatting sqref="O26:O29">
    <cfRule type="cellIs" dxfId="95" priority="103" operator="equal">
      <formula>"NO HABILITADO"</formula>
    </cfRule>
    <cfRule type="cellIs" dxfId="94" priority="102" operator="equal">
      <formula>"NO CUMPLE"</formula>
    </cfRule>
  </conditionalFormatting>
  <conditionalFormatting sqref="O34:O37">
    <cfRule type="cellIs" dxfId="93" priority="91" operator="equal">
      <formula>"NO CUMPLE"</formula>
    </cfRule>
    <cfRule type="cellIs" dxfId="92" priority="92" operator="equal">
      <formula>"NO HABILITADO"</formula>
    </cfRule>
  </conditionalFormatting>
  <conditionalFormatting sqref="O42:O45">
    <cfRule type="cellIs" dxfId="91" priority="81" operator="equal">
      <formula>"NO HABILITADO"</formula>
    </cfRule>
    <cfRule type="cellIs" dxfId="90" priority="80" operator="equal">
      <formula>"NO CUMPLE"</formula>
    </cfRule>
  </conditionalFormatting>
  <conditionalFormatting sqref="O50:O53">
    <cfRule type="cellIs" dxfId="89" priority="70" operator="equal">
      <formula>"NO HABILITADO"</formula>
    </cfRule>
    <cfRule type="cellIs" dxfId="88" priority="69" operator="equal">
      <formula>"NO CUMPLE"</formula>
    </cfRule>
  </conditionalFormatting>
  <conditionalFormatting sqref="O58:O61">
    <cfRule type="cellIs" dxfId="87" priority="58" operator="equal">
      <formula>"NO CUMPLE"</formula>
    </cfRule>
    <cfRule type="cellIs" dxfId="86" priority="59" operator="equal">
      <formula>"NO HABILITADO"</formula>
    </cfRule>
  </conditionalFormatting>
  <conditionalFormatting sqref="O66:O69">
    <cfRule type="cellIs" dxfId="85" priority="47" operator="equal">
      <formula>"NO CUMPLE"</formula>
    </cfRule>
    <cfRule type="cellIs" dxfId="84" priority="48" operator="equal">
      <formula>"NO HABILITADO"</formula>
    </cfRule>
  </conditionalFormatting>
  <conditionalFormatting sqref="O74:O77">
    <cfRule type="cellIs" dxfId="83" priority="37" operator="equal">
      <formula>"NO HABILITADO"</formula>
    </cfRule>
    <cfRule type="cellIs" dxfId="82" priority="36" operator="equal">
      <formula>"NO CUMPLE"</formula>
    </cfRule>
  </conditionalFormatting>
  <conditionalFormatting sqref="O82:O85">
    <cfRule type="cellIs" dxfId="81" priority="25" operator="equal">
      <formula>"NO CUMPLE"</formula>
    </cfRule>
    <cfRule type="cellIs" dxfId="80" priority="26" operator="equal">
      <formula>"NO HABILITADO"</formula>
    </cfRule>
  </conditionalFormatting>
  <conditionalFormatting sqref="O90:O93">
    <cfRule type="cellIs" dxfId="79" priority="14" operator="equal">
      <formula>"NO CUMPLE"</formula>
    </cfRule>
    <cfRule type="cellIs" dxfId="78" priority="15" operator="equal">
      <formula>"NO HABILITADO"</formula>
    </cfRule>
  </conditionalFormatting>
  <conditionalFormatting sqref="O98:O101">
    <cfRule type="cellIs" dxfId="77" priority="4" operator="equal">
      <formula>"NO HABILITADO"</formula>
    </cfRule>
    <cfRule type="cellIs" dxfId="76" priority="3" operator="equal">
      <formula>"NO CUMPLE"</formula>
    </cfRule>
  </conditionalFormatting>
  <conditionalFormatting sqref="V2:V105">
    <cfRule type="expression" dxfId="75" priority="523">
      <formula>V2="NO CUMPLE"</formula>
    </cfRule>
  </conditionalFormatting>
  <conditionalFormatting sqref="Z2:Z105">
    <cfRule type="expression" dxfId="74" priority="521">
      <formula>Z2="CUMPLE"</formula>
    </cfRule>
    <cfRule type="expression" dxfId="73" priority="522">
      <formula>Z2="NO CUMPLE"</formula>
    </cfRule>
  </conditionalFormatting>
  <conditionalFormatting sqref="AC2:AC105">
    <cfRule type="expression" dxfId="72" priority="348">
      <formula>AC2="NO CUMPLE"</formula>
    </cfRule>
    <cfRule type="expression" dxfId="71" priority="349">
      <formula>AC2="CUMPLE"</formula>
    </cfRule>
  </conditionalFormatting>
  <dataValidations count="8">
    <dataValidation type="list" allowBlank="1" showInputMessage="1" showErrorMessage="1" sqref="I2 I90 I10 I18 I26 I34 I42 I50 I58 I66 I74 I82 I98" xr:uid="{281DBA28-C1FE-4689-B88D-4E9620D5B897}">
      <formula1>$C2:$C9</formula1>
    </dataValidation>
    <dataValidation type="list" allowBlank="1" showInputMessage="1" showErrorMessage="1" sqref="I3 I91 I11 I19 I27 I35 I43 I51 I59 I67 I75 I83 I99" xr:uid="{858179E7-82D0-4B95-BA05-9CD184CD640B}">
      <formula1>$C2:$C9</formula1>
    </dataValidation>
    <dataValidation type="list" allowBlank="1" showInputMessage="1" showErrorMessage="1" sqref="I4 I92 I12 I20 I28 I36 I44 I52 I60 I68 I76 I84 I100" xr:uid="{C7C5DC2B-6A60-4451-B2AC-61C3F71027AE}">
      <formula1>$C2:$C9</formula1>
    </dataValidation>
    <dataValidation type="list" allowBlank="1" showInputMessage="1" showErrorMessage="1" sqref="I5 I93 I13 I21 I29 I37 I45 I53 I61 I69 I77 I85 I101" xr:uid="{A032D480-BD6E-4A58-8947-A00A7EA77DD9}">
      <formula1>$C2:$C9</formula1>
    </dataValidation>
    <dataValidation type="list" allowBlank="1" showInputMessage="1" showErrorMessage="1" sqref="I6 I94 I14 I22 I30 I38 I46 I54 I62 I70 I78 I86 I102" xr:uid="{D1DB5AA6-2AF9-4D4B-B8CB-C5B7C2C23B88}">
      <formula1>$C2:$C9</formula1>
    </dataValidation>
    <dataValidation type="list" allowBlank="1" showInputMessage="1" showErrorMessage="1" sqref="I7 I95 I15 I23 I31 I39 I47 I55 I63 I71 I79 I87 I103" xr:uid="{5DE33A02-0B8A-4CC6-9126-7C7E03CEC0F8}">
      <formula1>$C2:$C9</formula1>
    </dataValidation>
    <dataValidation type="list" allowBlank="1" showInputMessage="1" showErrorMessage="1" sqref="I8 I96 I16 I24 I32 I40 I48 I56 I64 I72 I80 I88 I104" xr:uid="{327B5062-F25E-47C7-A3C8-78455403C4F9}">
      <formula1>$C2:$C9</formula1>
    </dataValidation>
    <dataValidation type="list" allowBlank="1" showInputMessage="1" showErrorMessage="1" sqref="I9 I97 I17 I25 I33 I41 I49 I57 I65 I73 I81 I89 I105" xr:uid="{1731455A-9D60-4941-925F-400E0FC7A190}">
      <formula1>$C2:$C9</formula1>
    </dataValidation>
  </dataValidations>
  <pageMargins left="0.7" right="0.7" top="0.75" bottom="0.75" header="0.3" footer="0.3"/>
  <ignoredErrors>
    <ignoredError sqref="N3:N5 N6:N9 E3:F9 P2:Q5 S2:S4 V2:V9 S7:S9 F2 P7:Q9 P6" unlockedFormula="1"/>
  </ignoredErrors>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xr:uid="{7218A4A9-EF2F-4C86-AB7E-0F617EEA3F5D}">
          <x14:formula1>
            <xm:f>Listados!$F$3:$F$10</xm:f>
          </x14:formula1>
          <xm:sqref>G2:G105</xm:sqref>
        </x14:dataValidation>
        <x14:dataValidation type="list" allowBlank="1" showInputMessage="1" showErrorMessage="1" xr:uid="{AAB247D7-3D49-4CEC-9779-3729B3DBCD2B}">
          <x14:formula1>
            <xm:f>Listados!$H$3:$H$4</xm:f>
          </x14:formula1>
          <xm:sqref>J2:J105</xm:sqref>
        </x14:dataValidation>
        <x14:dataValidation type="list" allowBlank="1" showInputMessage="1" showErrorMessage="1" xr:uid="{3576165A-0835-4D67-84F3-D0BAF2B2FC86}">
          <x14:formula1>
            <xm:f>Listados!$U$3:$U$6</xm:f>
          </x14:formula1>
          <xm:sqref>T2:T105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B7B44-3741-4410-A944-8E87E745A56B}">
  <sheetPr codeName="Hoja2"/>
  <dimension ref="A1:D16"/>
  <sheetViews>
    <sheetView topLeftCell="A3" zoomScale="130" zoomScaleNormal="130" workbookViewId="0">
      <selection activeCell="B13" sqref="B13"/>
    </sheetView>
  </sheetViews>
  <sheetFormatPr baseColWidth="10" defaultColWidth="11.44140625" defaultRowHeight="10.8" x14ac:dyDescent="0.25"/>
  <cols>
    <col min="1" max="1" width="15.33203125" style="41" customWidth="1"/>
    <col min="2" max="2" width="57.6640625" style="22" customWidth="1"/>
    <col min="3" max="3" width="16.44140625" style="41" customWidth="1"/>
    <col min="4" max="4" width="23.109375" style="22" customWidth="1"/>
    <col min="5" max="16384" width="11.44140625" style="22"/>
  </cols>
  <sheetData>
    <row r="1" spans="1:4" ht="40.200000000000003" customHeight="1" x14ac:dyDescent="0.25">
      <c r="A1" s="177" t="s">
        <v>91</v>
      </c>
      <c r="B1" s="178"/>
      <c r="C1" s="178"/>
      <c r="D1" s="178"/>
    </row>
    <row r="2" spans="1:4" ht="19.5" customHeight="1" x14ac:dyDescent="0.25">
      <c r="A2" s="179" t="s">
        <v>92</v>
      </c>
      <c r="B2" s="179" t="s">
        <v>1</v>
      </c>
      <c r="C2" s="179" t="s">
        <v>93</v>
      </c>
      <c r="D2" s="179" t="s">
        <v>94</v>
      </c>
    </row>
    <row r="3" spans="1:4" x14ac:dyDescent="0.25">
      <c r="A3" s="180"/>
      <c r="B3" s="180"/>
      <c r="C3" s="180"/>
      <c r="D3" s="180"/>
    </row>
    <row r="4" spans="1:4" ht="18" customHeight="1" x14ac:dyDescent="0.25">
      <c r="A4" s="24">
        <v>1</v>
      </c>
      <c r="B4" s="53" t="str" cm="1">
        <f t="array" aca="1" ref="B4" ca="1">IF(INDIRECT("Formato_9_Exp_Proponente!B"&amp;Listados!S3)="","",INDIRECT("Formato_9_Exp_Proponente!B"&amp;Listados!S3))</f>
        <v>ARES SECURITY LTDA: NIT 900.599.147-1</v>
      </c>
      <c r="C4" s="24" t="s">
        <v>42</v>
      </c>
      <c r="D4" s="25"/>
    </row>
    <row r="5" spans="1:4" ht="18" customHeight="1" x14ac:dyDescent="0.25">
      <c r="A5" s="24">
        <v>2</v>
      </c>
      <c r="B5" s="53" t="str" cm="1">
        <f t="array" aca="1" ref="B5" ca="1">IF(INDIRECT("Formato_9_Exp_Proponente!B"&amp;Listados!S4)="","",INDIRECT("Formato_9_Exp_Proponente!B"&amp;Listados!S4))</f>
        <v>GERMAN MONTENEGRO FAJARDO AUDITORES &amp; ASESORES S.A.S. BIC 900.335.334-8</v>
      </c>
      <c r="C5" s="24" t="s">
        <v>42</v>
      </c>
      <c r="D5" s="25"/>
    </row>
    <row r="6" spans="1:4" ht="18" customHeight="1" x14ac:dyDescent="0.25">
      <c r="A6" s="24">
        <v>3</v>
      </c>
      <c r="B6" s="53" t="str" cm="1">
        <f t="array" aca="1" ref="B6" ca="1">IF(INDIRECT("Formato_9_Exp_Proponente!B"&amp;Listados!S5)="","",INDIRECT("Formato_9_Exp_Proponente!B"&amp;Listados!S5))</f>
        <v>JFS CONSULTORES S.A.S. -BIC 901.542.814-2</v>
      </c>
      <c r="C6" s="24" t="s">
        <v>42</v>
      </c>
      <c r="D6" s="25"/>
    </row>
    <row r="7" spans="1:4" ht="18" customHeight="1" x14ac:dyDescent="0.25">
      <c r="A7" s="24">
        <v>4</v>
      </c>
      <c r="B7" s="53" t="str" cm="1">
        <f t="array" aca="1" ref="B7" ca="1">IF(INDIRECT("Formato_9_Exp_Proponente!B"&amp;Listados!S6)="","",INDIRECT("Formato_9_Exp_Proponente!B"&amp;Listados!S6))</f>
        <v>SCAIPROYEKTA S.A.S. BIC: NIT 901.476.977-1</v>
      </c>
      <c r="C7" s="24" t="s">
        <v>42</v>
      </c>
      <c r="D7" s="25"/>
    </row>
    <row r="8" spans="1:4" ht="18" customHeight="1" x14ac:dyDescent="0.25">
      <c r="A8" s="24">
        <v>5</v>
      </c>
      <c r="B8" s="53" t="str" cm="1">
        <f t="array" aca="1" ref="B8" ca="1">IF(INDIRECT("Formato_9_Exp_Proponente!B"&amp;Listados!S7)="","",INDIRECT("Formato_9_Exp_Proponente!B"&amp;Listados!S7))</f>
        <v xml:space="preserve">UT GREM-NOVAC </v>
      </c>
      <c r="C8" s="24" t="s">
        <v>42</v>
      </c>
      <c r="D8" s="25"/>
    </row>
    <row r="9" spans="1:4" ht="18" customHeight="1" x14ac:dyDescent="0.25">
      <c r="A9" s="24">
        <v>6</v>
      </c>
      <c r="B9" s="53" t="str" cm="1">
        <f t="array" aca="1" ref="B9" ca="1">IF(INDIRECT("Formato_9_Exp_Proponente!B"&amp;Listados!S8)="","",INDIRECT("Formato_9_Exp_Proponente!B"&amp;Listados!S8))</f>
        <v>SGA CONSULTORES S.A.S: NIT 901.549.833-4</v>
      </c>
      <c r="C9" s="24" t="s">
        <v>42</v>
      </c>
      <c r="D9" s="25"/>
    </row>
    <row r="10" spans="1:4" ht="18" customHeight="1" x14ac:dyDescent="0.25">
      <c r="A10" s="24">
        <v>7</v>
      </c>
      <c r="B10" s="53" t="str" cm="1">
        <f t="array" aca="1" ref="B10" ca="1">IF(INDIRECT("Formato_9_Exp_Proponente!B"&amp;Listados!S9)="","",INDIRECT("Formato_9_Exp_Proponente!B"&amp;Listados!S9))</f>
        <v>SMARTY COLOMBIA SAS BIC: NIT 900249549-6</v>
      </c>
      <c r="C10" s="24" t="s">
        <v>42</v>
      </c>
      <c r="D10" s="25"/>
    </row>
    <row r="11" spans="1:4" ht="18" customHeight="1" x14ac:dyDescent="0.25">
      <c r="A11" s="24">
        <v>8</v>
      </c>
      <c r="B11" s="53" t="str" cm="1">
        <f t="array" aca="1" ref="B11" ca="1">IF(INDIRECT("Formato_9_Exp_Proponente!B"&amp;Listados!S10)="","",INDIRECT("Formato_9_Exp_Proponente!B"&amp;Listados!S10))</f>
        <v>CONSORCIO TOOL</v>
      </c>
      <c r="C11" s="24" t="s">
        <v>42</v>
      </c>
      <c r="D11" s="25"/>
    </row>
    <row r="12" spans="1:4" ht="18" customHeight="1" x14ac:dyDescent="0.25">
      <c r="A12" s="24">
        <v>9</v>
      </c>
      <c r="B12" s="53" t="str" cm="1">
        <f t="array" aca="1" ref="B12" ca="1">IF(INDIRECT("Formato_9_Exp_Proponente!B"&amp;Listados!S11)="","",INDIRECT("Formato_9_Exp_Proponente!B"&amp;Listados!S11))</f>
        <v>CONSORCIO INTERVENTORÍA DE VIGILANCIA 2024</v>
      </c>
      <c r="C12" s="24" t="s">
        <v>42</v>
      </c>
      <c r="D12" s="25"/>
    </row>
    <row r="13" spans="1:4" ht="18" customHeight="1" x14ac:dyDescent="0.25">
      <c r="A13" s="24">
        <v>10</v>
      </c>
      <c r="B13" s="53" t="str" cm="1">
        <f t="array" aca="1" ref="B13" ca="1">IF(INDIRECT("Formato_9_Exp_Proponente!B"&amp;Listados!S12)="","",INDIRECT("Formato_9_Exp_Proponente!B"&amp;Listados!S12))</f>
        <v>Consultora Central S.A.S BIC</v>
      </c>
      <c r="C13" s="24" t="s">
        <v>42</v>
      </c>
      <c r="D13" s="25"/>
    </row>
    <row r="14" spans="1:4" ht="18" customHeight="1" x14ac:dyDescent="0.25">
      <c r="A14" s="24">
        <v>11</v>
      </c>
      <c r="B14" s="53" t="str" cm="1">
        <f t="array" aca="1" ref="B14" ca="1">IF(INDIRECT("Formato_9_Exp_Proponente!B"&amp;Listados!S13)="","",INDIRECT("Formato_9_Exp_Proponente!B"&amp;Listados!S13))</f>
        <v>CONSORCIO INTERVENCIÓN Y SEGURIDAD DISTRITAL</v>
      </c>
      <c r="C14" s="24" t="s">
        <v>42</v>
      </c>
      <c r="D14" s="25"/>
    </row>
    <row r="15" spans="1:4" ht="18" customHeight="1" x14ac:dyDescent="0.25">
      <c r="A15" s="24">
        <v>12</v>
      </c>
      <c r="B15" s="53" t="str" cm="1">
        <f t="array" aca="1" ref="B15" ca="1">IF(INDIRECT("Formato_9_Exp_Proponente!B"&amp;Listados!S14)="","",INDIRECT("Formato_9_Exp_Proponente!B"&amp;Listados!S14))</f>
        <v>Strycon Energía: NIT 901.466.510-3</v>
      </c>
      <c r="C15" s="24" t="s">
        <v>42</v>
      </c>
      <c r="D15" s="25"/>
    </row>
    <row r="16" spans="1:4" ht="18" customHeight="1" x14ac:dyDescent="0.25">
      <c r="A16" s="24">
        <v>13</v>
      </c>
      <c r="B16" s="53" t="str" cm="1">
        <f t="array" aca="1" ref="B16" ca="1">IF(INDIRECT("Formato_9_Exp_Proponente!B"&amp;Listados!S15)="","",INDIRECT("Formato_9_Exp_Proponente!B"&amp;Listados!S15))</f>
        <v>ALIANZA INTEGRAL DE PROYECTOS SAS BIC: NIT 901.506.750-7</v>
      </c>
      <c r="C16" s="24" t="s">
        <v>42</v>
      </c>
      <c r="D16" s="25"/>
    </row>
  </sheetData>
  <sheetProtection algorithmName="SHA-512" hashValue="dcBONjnzTj24BtXPbQLEULJt4kclWJn+hVTP2FSAFUso89Arab6OJqOEx+ppLxccrDL5yeDM0cLy17HRMaFWBQ==" saltValue="IHs1N/JGOeQTWzeUZCtUPA==" spinCount="100000" sheet="1" objects="1" scenarios="1"/>
  <mergeCells count="5">
    <mergeCell ref="A1:D1"/>
    <mergeCell ref="A2:A3"/>
    <mergeCell ref="B2:B3"/>
    <mergeCell ref="D2:D3"/>
    <mergeCell ref="C2:C3"/>
  </mergeCells>
  <conditionalFormatting sqref="C4:C16">
    <cfRule type="expression" dxfId="70" priority="1">
      <formula>C4="NO CUMPLE"</formula>
    </cfRule>
  </conditionalFormatting>
  <pageMargins left="0.7" right="0.7" top="0.75" bottom="0.75" header="0.3" footer="0.3"/>
  <ignoredErrors>
    <ignoredError sqref="B4"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14AD43B-E406-4D56-BDC2-16ED9943ED67}">
          <x14:formula1>
            <xm:f>Listados!$H$3:$H$4</xm:f>
          </x14:formula1>
          <xm:sqref>C4:C16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71798-CB4E-4258-A3DE-54AB6F1F1CBE}">
  <sheetPr codeName="Hoja3">
    <tabColor rgb="FF92D050"/>
  </sheetPr>
  <dimension ref="A1:N106"/>
  <sheetViews>
    <sheetView zoomScaleNormal="100" workbookViewId="0">
      <pane xSplit="2" ySplit="2" topLeftCell="J45" activePane="bottomRight" state="frozen"/>
      <selection pane="topRight"/>
      <selection pane="bottomLeft"/>
      <selection pane="bottomRight" activeCell="N51" sqref="N51:N58"/>
    </sheetView>
  </sheetViews>
  <sheetFormatPr baseColWidth="10" defaultColWidth="25.109375" defaultRowHeight="10.8" x14ac:dyDescent="0.25"/>
  <cols>
    <col min="1" max="1" width="12" style="22" customWidth="1"/>
    <col min="2" max="2" width="20.44140625" style="59" customWidth="1"/>
    <col min="3" max="3" width="19.88671875" style="22" customWidth="1"/>
    <col min="4" max="4" width="14.88671875" style="22" customWidth="1"/>
    <col min="5" max="5" width="31.109375" style="41" customWidth="1"/>
    <col min="6" max="6" width="10.44140625" style="69" bestFit="1" customWidth="1"/>
    <col min="7" max="7" width="10.88671875" style="69" customWidth="1"/>
    <col min="8" max="9" width="17" style="42" customWidth="1"/>
    <col min="10" max="10" width="87" style="42" customWidth="1"/>
    <col min="11" max="12" width="17.44140625" style="22" customWidth="1"/>
    <col min="13" max="13" width="20.33203125" style="22" customWidth="1"/>
    <col min="14" max="14" width="46" style="22" customWidth="1"/>
    <col min="15" max="16384" width="25.109375" style="22"/>
  </cols>
  <sheetData>
    <row r="1" spans="1:14" ht="35.25" customHeight="1" x14ac:dyDescent="0.25">
      <c r="A1" s="221" t="s">
        <v>95</v>
      </c>
      <c r="B1" s="221" t="s">
        <v>1</v>
      </c>
      <c r="C1" s="221" t="s">
        <v>96</v>
      </c>
      <c r="D1" s="221" t="s">
        <v>97</v>
      </c>
      <c r="E1" s="221" t="s">
        <v>98</v>
      </c>
      <c r="F1" s="217" t="s">
        <v>99</v>
      </c>
      <c r="G1" s="218"/>
      <c r="H1" s="221" t="s">
        <v>100</v>
      </c>
      <c r="I1" s="219" t="s">
        <v>101</v>
      </c>
      <c r="J1" s="219" t="s">
        <v>102</v>
      </c>
      <c r="K1" s="219" t="s">
        <v>103</v>
      </c>
      <c r="L1" s="221" t="s">
        <v>104</v>
      </c>
      <c r="M1" s="212" t="s">
        <v>105</v>
      </c>
      <c r="N1" s="213"/>
    </row>
    <row r="2" spans="1:14" ht="22.5" customHeight="1" x14ac:dyDescent="0.25">
      <c r="A2" s="219"/>
      <c r="B2" s="219"/>
      <c r="C2" s="219"/>
      <c r="D2" s="219"/>
      <c r="E2" s="219"/>
      <c r="F2" s="68" t="s">
        <v>106</v>
      </c>
      <c r="G2" s="68" t="s">
        <v>107</v>
      </c>
      <c r="H2" s="219"/>
      <c r="I2" s="220"/>
      <c r="J2" s="220"/>
      <c r="K2" s="220"/>
      <c r="L2" s="219"/>
      <c r="M2" s="54" t="s">
        <v>108</v>
      </c>
      <c r="N2" s="55" t="s">
        <v>94</v>
      </c>
    </row>
    <row r="3" spans="1:14" ht="137.25" customHeight="1" x14ac:dyDescent="0.25">
      <c r="A3" s="206">
        <v>1</v>
      </c>
      <c r="B3" s="207" t="str">
        <f>IF(Formato_9_Exp_Proponente!B2="","",Formato_9_Exp_Proponente!B2)</f>
        <v>ARES SECURITY LTDA: NIT 900.599.147-1</v>
      </c>
      <c r="C3" s="208" t="s">
        <v>109</v>
      </c>
      <c r="D3" s="209">
        <v>80422094</v>
      </c>
      <c r="E3" s="10" t="s">
        <v>110</v>
      </c>
      <c r="F3" s="60"/>
      <c r="G3" s="60"/>
      <c r="H3" s="61">
        <f>DATEDIF(F3,G3,"m")</f>
        <v>0</v>
      </c>
      <c r="I3" s="62" t="s">
        <v>32</v>
      </c>
      <c r="J3" s="63" t="s">
        <v>111</v>
      </c>
      <c r="K3" s="210">
        <f>SUMIFS(H3:H10,I3:I10,"CUMPLE")</f>
        <v>0</v>
      </c>
      <c r="L3" s="214" t="s">
        <v>32</v>
      </c>
      <c r="M3" s="204" t="str">
        <f>IF(C3="","",IF(K3&gt;=60,IF(L3="CUMPLE","CUMPLE","NO CUMPLE"),"NO CUMPLE"))</f>
        <v>NO CUMPLE</v>
      </c>
      <c r="N3" s="225" t="s">
        <v>112</v>
      </c>
    </row>
    <row r="4" spans="1:14" ht="66.75" customHeight="1" x14ac:dyDescent="0.25">
      <c r="A4" s="191"/>
      <c r="B4" s="194"/>
      <c r="C4" s="197"/>
      <c r="D4" s="197"/>
      <c r="E4" s="8" t="s">
        <v>113</v>
      </c>
      <c r="F4" s="15"/>
      <c r="G4" s="15"/>
      <c r="H4" s="56">
        <f t="shared" ref="H4:H10" si="0">DATEDIF(F4,G4,"m")</f>
        <v>0</v>
      </c>
      <c r="I4" s="57" t="s">
        <v>32</v>
      </c>
      <c r="J4" s="119" t="s">
        <v>114</v>
      </c>
      <c r="K4" s="201"/>
      <c r="L4" s="215"/>
      <c r="M4" s="185"/>
      <c r="N4" s="226"/>
    </row>
    <row r="5" spans="1:14" ht="66.75" customHeight="1" x14ac:dyDescent="0.25">
      <c r="A5" s="191"/>
      <c r="B5" s="194"/>
      <c r="C5" s="197"/>
      <c r="D5" s="197"/>
      <c r="E5" s="8" t="s">
        <v>115</v>
      </c>
      <c r="F5" s="15"/>
      <c r="G5" s="15"/>
      <c r="H5" s="56">
        <f t="shared" si="0"/>
        <v>0</v>
      </c>
      <c r="I5" s="57" t="s">
        <v>32</v>
      </c>
      <c r="J5" s="119" t="s">
        <v>114</v>
      </c>
      <c r="K5" s="201"/>
      <c r="L5" s="215"/>
      <c r="M5" s="185"/>
      <c r="N5" s="226"/>
    </row>
    <row r="6" spans="1:14" ht="15" customHeight="1" x14ac:dyDescent="0.25">
      <c r="A6" s="191"/>
      <c r="B6" s="194"/>
      <c r="C6" s="197"/>
      <c r="D6" s="197"/>
      <c r="E6" s="8"/>
      <c r="F6" s="15"/>
      <c r="G6" s="15"/>
      <c r="H6" s="56">
        <f t="shared" si="0"/>
        <v>0</v>
      </c>
      <c r="I6" s="57"/>
      <c r="J6" s="58"/>
      <c r="K6" s="201"/>
      <c r="L6" s="215"/>
      <c r="M6" s="185"/>
      <c r="N6" s="226"/>
    </row>
    <row r="7" spans="1:14" ht="15" customHeight="1" x14ac:dyDescent="0.25">
      <c r="A7" s="191"/>
      <c r="B7" s="194"/>
      <c r="C7" s="197"/>
      <c r="D7" s="197"/>
      <c r="E7" s="8"/>
      <c r="F7" s="15"/>
      <c r="G7" s="15"/>
      <c r="H7" s="56">
        <f t="shared" si="0"/>
        <v>0</v>
      </c>
      <c r="I7" s="57"/>
      <c r="J7" s="58"/>
      <c r="K7" s="201"/>
      <c r="L7" s="215"/>
      <c r="M7" s="185"/>
      <c r="N7" s="226"/>
    </row>
    <row r="8" spans="1:14" ht="15" customHeight="1" x14ac:dyDescent="0.25">
      <c r="A8" s="191"/>
      <c r="B8" s="194"/>
      <c r="C8" s="197"/>
      <c r="D8" s="197"/>
      <c r="E8" s="8"/>
      <c r="F8" s="15"/>
      <c r="G8" s="15"/>
      <c r="H8" s="56">
        <f>DATEDIF(F8,G8,"m")</f>
        <v>0</v>
      </c>
      <c r="I8" s="57"/>
      <c r="J8" s="58"/>
      <c r="K8" s="201"/>
      <c r="L8" s="215"/>
      <c r="M8" s="185"/>
      <c r="N8" s="226"/>
    </row>
    <row r="9" spans="1:14" ht="15" customHeight="1" x14ac:dyDescent="0.25">
      <c r="A9" s="191"/>
      <c r="B9" s="194"/>
      <c r="C9" s="197"/>
      <c r="D9" s="197"/>
      <c r="E9" s="8"/>
      <c r="F9" s="15"/>
      <c r="G9" s="15"/>
      <c r="H9" s="56">
        <f t="shared" si="0"/>
        <v>0</v>
      </c>
      <c r="I9" s="57"/>
      <c r="J9" s="58"/>
      <c r="K9" s="201"/>
      <c r="L9" s="215"/>
      <c r="M9" s="185"/>
      <c r="N9" s="226"/>
    </row>
    <row r="10" spans="1:14" ht="15.75" customHeight="1" x14ac:dyDescent="0.25">
      <c r="A10" s="192"/>
      <c r="B10" s="195"/>
      <c r="C10" s="198"/>
      <c r="D10" s="198"/>
      <c r="E10" s="31"/>
      <c r="F10" s="64"/>
      <c r="G10" s="64"/>
      <c r="H10" s="65">
        <f t="shared" si="0"/>
        <v>0</v>
      </c>
      <c r="I10" s="66"/>
      <c r="J10" s="67"/>
      <c r="K10" s="202"/>
      <c r="L10" s="216"/>
      <c r="M10" s="186"/>
      <c r="N10" s="227"/>
    </row>
    <row r="11" spans="1:14" ht="10.95" customHeight="1" x14ac:dyDescent="0.25">
      <c r="A11" s="190">
        <v>2</v>
      </c>
      <c r="B11" s="193" t="str">
        <f>IF(Formato_9_Exp_Proponente!B10="","",Formato_9_Exp_Proponente!B10)</f>
        <v>GERMAN MONTENEGRO FAJARDO AUDITORES &amp; ASESORES S.A.S. BIC 900.335.334-8</v>
      </c>
      <c r="C11" s="196" t="s">
        <v>116</v>
      </c>
      <c r="D11" s="199" t="s">
        <v>117</v>
      </c>
      <c r="E11" s="101" t="s">
        <v>118</v>
      </c>
      <c r="F11" s="121">
        <v>41122</v>
      </c>
      <c r="G11" s="121">
        <v>45576</v>
      </c>
      <c r="H11" s="122">
        <f>DATEDIF(F11,G11,"m")</f>
        <v>146</v>
      </c>
      <c r="I11" s="123" t="s">
        <v>42</v>
      </c>
      <c r="J11" s="120"/>
      <c r="K11" s="200">
        <f>SUMIFS(H11:H18,I11:I18,"CUMPLE")</f>
        <v>146</v>
      </c>
      <c r="L11" s="181" t="s">
        <v>42</v>
      </c>
      <c r="M11" s="184" t="str">
        <f>IF(C11="","",IF(K11&gt;=60,IF(L11="CUMPLE","CUMPLE","NO CUMPLE"),"NO CUMPLE"))</f>
        <v>CUMPLE</v>
      </c>
      <c r="N11" s="187"/>
    </row>
    <row r="12" spans="1:14" x14ac:dyDescent="0.25">
      <c r="A12" s="191"/>
      <c r="B12" s="194"/>
      <c r="C12" s="197"/>
      <c r="D12" s="197"/>
      <c r="E12" s="8"/>
      <c r="F12" s="15"/>
      <c r="G12" s="15"/>
      <c r="H12" s="56">
        <f t="shared" ref="H12:H15" si="1">DATEDIF(F12,G12,"m")</f>
        <v>0</v>
      </c>
      <c r="I12" s="57"/>
      <c r="J12" s="58"/>
      <c r="K12" s="201"/>
      <c r="L12" s="182"/>
      <c r="M12" s="185"/>
      <c r="N12" s="188"/>
    </row>
    <row r="13" spans="1:14" x14ac:dyDescent="0.25">
      <c r="A13" s="191"/>
      <c r="B13" s="194"/>
      <c r="C13" s="197"/>
      <c r="D13" s="197"/>
      <c r="E13" s="8"/>
      <c r="F13" s="15"/>
      <c r="G13" s="15"/>
      <c r="H13" s="56">
        <f t="shared" si="1"/>
        <v>0</v>
      </c>
      <c r="I13" s="57"/>
      <c r="J13" s="58"/>
      <c r="K13" s="201"/>
      <c r="L13" s="182"/>
      <c r="M13" s="185"/>
      <c r="N13" s="188"/>
    </row>
    <row r="14" spans="1:14" x14ac:dyDescent="0.25">
      <c r="A14" s="191"/>
      <c r="B14" s="194"/>
      <c r="C14" s="197"/>
      <c r="D14" s="197"/>
      <c r="E14" s="8"/>
      <c r="F14" s="15"/>
      <c r="G14" s="15"/>
      <c r="H14" s="56">
        <f t="shared" si="1"/>
        <v>0</v>
      </c>
      <c r="I14" s="57"/>
      <c r="J14" s="58"/>
      <c r="K14" s="201"/>
      <c r="L14" s="182"/>
      <c r="M14" s="185"/>
      <c r="N14" s="188"/>
    </row>
    <row r="15" spans="1:14" x14ac:dyDescent="0.25">
      <c r="A15" s="191"/>
      <c r="B15" s="194"/>
      <c r="C15" s="197"/>
      <c r="D15" s="197"/>
      <c r="E15" s="8"/>
      <c r="F15" s="15"/>
      <c r="G15" s="15"/>
      <c r="H15" s="56">
        <f t="shared" si="1"/>
        <v>0</v>
      </c>
      <c r="I15" s="57"/>
      <c r="J15" s="58"/>
      <c r="K15" s="201"/>
      <c r="L15" s="182"/>
      <c r="M15" s="185"/>
      <c r="N15" s="188"/>
    </row>
    <row r="16" spans="1:14" x14ac:dyDescent="0.25">
      <c r="A16" s="191"/>
      <c r="B16" s="194"/>
      <c r="C16" s="197"/>
      <c r="D16" s="197"/>
      <c r="E16" s="8"/>
      <c r="F16" s="15"/>
      <c r="G16" s="15"/>
      <c r="H16" s="56">
        <f>DATEDIF(F16,G16,"m")</f>
        <v>0</v>
      </c>
      <c r="I16" s="57"/>
      <c r="J16" s="58"/>
      <c r="K16" s="201"/>
      <c r="L16" s="182"/>
      <c r="M16" s="185"/>
      <c r="N16" s="188"/>
    </row>
    <row r="17" spans="1:14" x14ac:dyDescent="0.25">
      <c r="A17" s="191"/>
      <c r="B17" s="194"/>
      <c r="C17" s="197"/>
      <c r="D17" s="197"/>
      <c r="E17" s="8"/>
      <c r="F17" s="15"/>
      <c r="G17" s="15"/>
      <c r="H17" s="56">
        <f t="shared" ref="H17:H18" si="2">DATEDIF(F17,G17,"m")</f>
        <v>0</v>
      </c>
      <c r="I17" s="57"/>
      <c r="J17" s="58"/>
      <c r="K17" s="201"/>
      <c r="L17" s="182"/>
      <c r="M17" s="185"/>
      <c r="N17" s="188"/>
    </row>
    <row r="18" spans="1:14" x14ac:dyDescent="0.25">
      <c r="A18" s="192"/>
      <c r="B18" s="195"/>
      <c r="C18" s="198"/>
      <c r="D18" s="198"/>
      <c r="E18" s="31"/>
      <c r="F18" s="64"/>
      <c r="G18" s="64"/>
      <c r="H18" s="65">
        <f t="shared" si="2"/>
        <v>0</v>
      </c>
      <c r="I18" s="66"/>
      <c r="J18" s="67"/>
      <c r="K18" s="202"/>
      <c r="L18" s="183"/>
      <c r="M18" s="186"/>
      <c r="N18" s="189"/>
    </row>
    <row r="19" spans="1:14" ht="10.95" customHeight="1" x14ac:dyDescent="0.25">
      <c r="A19" s="206">
        <v>3</v>
      </c>
      <c r="B19" s="207" t="str">
        <f>IF(Formato_9_Exp_Proponente!B18="","",Formato_9_Exp_Proponente!B18)</f>
        <v>JFS CONSULTORES S.A.S. -BIC 901.542.814-2</v>
      </c>
      <c r="C19" s="208" t="s">
        <v>119</v>
      </c>
      <c r="D19" s="209">
        <v>93373569</v>
      </c>
      <c r="E19" s="10" t="s">
        <v>120</v>
      </c>
      <c r="F19" s="60">
        <v>43534</v>
      </c>
      <c r="G19" s="60">
        <v>45565</v>
      </c>
      <c r="H19" s="61">
        <f>DATEDIF(F19,G19,"m")</f>
        <v>66</v>
      </c>
      <c r="I19" s="62" t="s">
        <v>42</v>
      </c>
      <c r="J19" s="63"/>
      <c r="K19" s="210">
        <f>SUMIFS(H19:H26,I19:I26,"CUMPLE")</f>
        <v>66</v>
      </c>
      <c r="L19" s="203" t="s">
        <v>42</v>
      </c>
      <c r="M19" s="204" t="str">
        <f>IF(C19="","",IF(K19&gt;=60,IF(L19="CUMPLE","CUMPLE","NO CUMPLE"),"NO CUMPLE"))</f>
        <v>CUMPLE</v>
      </c>
      <c r="N19" s="205"/>
    </row>
    <row r="20" spans="1:14" x14ac:dyDescent="0.25">
      <c r="A20" s="191"/>
      <c r="B20" s="194"/>
      <c r="C20" s="197"/>
      <c r="D20" s="197"/>
      <c r="E20" s="8"/>
      <c r="F20" s="15"/>
      <c r="G20" s="15"/>
      <c r="H20" s="56">
        <f t="shared" ref="H20:H23" si="3">DATEDIF(F20,G20,"m")</f>
        <v>0</v>
      </c>
      <c r="I20" s="57"/>
      <c r="J20" s="58"/>
      <c r="K20" s="201"/>
      <c r="L20" s="182"/>
      <c r="M20" s="185"/>
      <c r="N20" s="188"/>
    </row>
    <row r="21" spans="1:14" x14ac:dyDescent="0.25">
      <c r="A21" s="191"/>
      <c r="B21" s="194"/>
      <c r="C21" s="197"/>
      <c r="D21" s="197"/>
      <c r="E21" s="8"/>
      <c r="F21" s="15"/>
      <c r="G21" s="15"/>
      <c r="H21" s="56">
        <f t="shared" si="3"/>
        <v>0</v>
      </c>
      <c r="I21" s="57"/>
      <c r="J21" s="58"/>
      <c r="K21" s="201"/>
      <c r="L21" s="182"/>
      <c r="M21" s="185"/>
      <c r="N21" s="188"/>
    </row>
    <row r="22" spans="1:14" x14ac:dyDescent="0.25">
      <c r="A22" s="191"/>
      <c r="B22" s="194"/>
      <c r="C22" s="197"/>
      <c r="D22" s="197"/>
      <c r="E22" s="8"/>
      <c r="F22" s="15"/>
      <c r="G22" s="15"/>
      <c r="H22" s="56">
        <f t="shared" si="3"/>
        <v>0</v>
      </c>
      <c r="I22" s="57"/>
      <c r="J22" s="58"/>
      <c r="K22" s="201"/>
      <c r="L22" s="182"/>
      <c r="M22" s="185"/>
      <c r="N22" s="188"/>
    </row>
    <row r="23" spans="1:14" x14ac:dyDescent="0.25">
      <c r="A23" s="191"/>
      <c r="B23" s="194"/>
      <c r="C23" s="197"/>
      <c r="D23" s="197"/>
      <c r="E23" s="8"/>
      <c r="F23" s="15"/>
      <c r="G23" s="15"/>
      <c r="H23" s="56">
        <f t="shared" si="3"/>
        <v>0</v>
      </c>
      <c r="I23" s="57"/>
      <c r="J23" s="58"/>
      <c r="K23" s="201"/>
      <c r="L23" s="182"/>
      <c r="M23" s="185"/>
      <c r="N23" s="188"/>
    </row>
    <row r="24" spans="1:14" x14ac:dyDescent="0.25">
      <c r="A24" s="191"/>
      <c r="B24" s="194"/>
      <c r="C24" s="197"/>
      <c r="D24" s="197"/>
      <c r="E24" s="8"/>
      <c r="F24" s="15"/>
      <c r="G24" s="15"/>
      <c r="H24" s="56">
        <f>DATEDIF(F24,G24,"m")</f>
        <v>0</v>
      </c>
      <c r="I24" s="57"/>
      <c r="J24" s="58"/>
      <c r="K24" s="201"/>
      <c r="L24" s="182"/>
      <c r="M24" s="185"/>
      <c r="N24" s="188"/>
    </row>
    <row r="25" spans="1:14" x14ac:dyDescent="0.25">
      <c r="A25" s="191"/>
      <c r="B25" s="194"/>
      <c r="C25" s="197"/>
      <c r="D25" s="197"/>
      <c r="E25" s="8"/>
      <c r="F25" s="15"/>
      <c r="G25" s="15"/>
      <c r="H25" s="56">
        <f t="shared" ref="H25:H26" si="4">DATEDIF(F25,G25,"m")</f>
        <v>0</v>
      </c>
      <c r="I25" s="57"/>
      <c r="J25" s="58"/>
      <c r="K25" s="201"/>
      <c r="L25" s="182"/>
      <c r="M25" s="185"/>
      <c r="N25" s="188"/>
    </row>
    <row r="26" spans="1:14" ht="11.4" thickBot="1" x14ac:dyDescent="0.3">
      <c r="A26" s="192"/>
      <c r="B26" s="195"/>
      <c r="C26" s="198"/>
      <c r="D26" s="198"/>
      <c r="E26" s="31"/>
      <c r="F26" s="64"/>
      <c r="G26" s="64"/>
      <c r="H26" s="65">
        <f t="shared" si="4"/>
        <v>0</v>
      </c>
      <c r="I26" s="66"/>
      <c r="J26" s="67"/>
      <c r="K26" s="202"/>
      <c r="L26" s="183"/>
      <c r="M26" s="186"/>
      <c r="N26" s="189"/>
    </row>
    <row r="27" spans="1:14" ht="21.6" x14ac:dyDescent="0.25">
      <c r="A27" s="206">
        <v>4</v>
      </c>
      <c r="B27" s="207" t="str">
        <f>IF(Formato_9_Exp_Proponente!B26="","",Formato_9_Exp_Proponente!B26)</f>
        <v>SCAIPROYEKTA S.A.S. BIC: NIT 901.476.977-1</v>
      </c>
      <c r="C27" s="208" t="s">
        <v>121</v>
      </c>
      <c r="D27" s="209">
        <v>79702187</v>
      </c>
      <c r="E27" s="10" t="s">
        <v>122</v>
      </c>
      <c r="F27" s="60">
        <v>42410</v>
      </c>
      <c r="G27" s="60">
        <v>44377</v>
      </c>
      <c r="H27" s="61">
        <f>DATEDIF(F27,G27,"m")</f>
        <v>64</v>
      </c>
      <c r="I27" s="62" t="s">
        <v>42</v>
      </c>
      <c r="J27" s="63"/>
      <c r="K27" s="210">
        <f>SUMIFS(H27:H34,I27:I34,"CUMPLE")</f>
        <v>64</v>
      </c>
      <c r="L27" s="222" t="s">
        <v>42</v>
      </c>
      <c r="M27" s="204" t="str">
        <f>IF(C27="","",IF(K27&gt;=60,IF(L27="CUMPLE","CUMPLE","NO CUMPLE"),"NO CUMPLE"))</f>
        <v>CUMPLE</v>
      </c>
      <c r="N27" s="205"/>
    </row>
    <row r="28" spans="1:14" x14ac:dyDescent="0.25">
      <c r="A28" s="191"/>
      <c r="B28" s="194"/>
      <c r="C28" s="197"/>
      <c r="D28" s="197"/>
      <c r="E28" s="8"/>
      <c r="F28" s="15"/>
      <c r="G28" s="15"/>
      <c r="H28" s="56">
        <f t="shared" ref="H28:H31" si="5">DATEDIF(F28,G28,"m")</f>
        <v>0</v>
      </c>
      <c r="I28" s="57"/>
      <c r="J28" s="58"/>
      <c r="K28" s="201"/>
      <c r="L28" s="223"/>
      <c r="M28" s="185"/>
      <c r="N28" s="188"/>
    </row>
    <row r="29" spans="1:14" x14ac:dyDescent="0.25">
      <c r="A29" s="191"/>
      <c r="B29" s="194"/>
      <c r="C29" s="197"/>
      <c r="D29" s="197"/>
      <c r="E29" s="8"/>
      <c r="F29" s="15"/>
      <c r="G29" s="15"/>
      <c r="H29" s="56">
        <f t="shared" si="5"/>
        <v>0</v>
      </c>
      <c r="I29" s="57"/>
      <c r="J29" s="58"/>
      <c r="K29" s="201"/>
      <c r="L29" s="223"/>
      <c r="M29" s="185"/>
      <c r="N29" s="188"/>
    </row>
    <row r="30" spans="1:14" x14ac:dyDescent="0.25">
      <c r="A30" s="191"/>
      <c r="B30" s="194"/>
      <c r="C30" s="197"/>
      <c r="D30" s="197"/>
      <c r="E30" s="8"/>
      <c r="F30" s="15"/>
      <c r="G30" s="15"/>
      <c r="H30" s="56">
        <f t="shared" si="5"/>
        <v>0</v>
      </c>
      <c r="I30" s="57"/>
      <c r="J30" s="58"/>
      <c r="K30" s="201"/>
      <c r="L30" s="223"/>
      <c r="M30" s="185"/>
      <c r="N30" s="188"/>
    </row>
    <row r="31" spans="1:14" x14ac:dyDescent="0.25">
      <c r="A31" s="191"/>
      <c r="B31" s="194"/>
      <c r="C31" s="197"/>
      <c r="D31" s="197"/>
      <c r="E31" s="8"/>
      <c r="F31" s="15"/>
      <c r="G31" s="15"/>
      <c r="H31" s="56">
        <f t="shared" si="5"/>
        <v>0</v>
      </c>
      <c r="I31" s="57"/>
      <c r="J31" s="58"/>
      <c r="K31" s="201"/>
      <c r="L31" s="223"/>
      <c r="M31" s="185"/>
      <c r="N31" s="188"/>
    </row>
    <row r="32" spans="1:14" x14ac:dyDescent="0.25">
      <c r="A32" s="191"/>
      <c r="B32" s="194"/>
      <c r="C32" s="197"/>
      <c r="D32" s="197"/>
      <c r="E32" s="8"/>
      <c r="F32" s="15"/>
      <c r="G32" s="15"/>
      <c r="H32" s="56">
        <f>DATEDIF(F32,G32,"m")</f>
        <v>0</v>
      </c>
      <c r="I32" s="57"/>
      <c r="J32" s="58"/>
      <c r="K32" s="201"/>
      <c r="L32" s="223"/>
      <c r="M32" s="185"/>
      <c r="N32" s="188"/>
    </row>
    <row r="33" spans="1:14" x14ac:dyDescent="0.25">
      <c r="A33" s="191"/>
      <c r="B33" s="194"/>
      <c r="C33" s="197"/>
      <c r="D33" s="197"/>
      <c r="E33" s="8"/>
      <c r="F33" s="15"/>
      <c r="G33" s="15"/>
      <c r="H33" s="56">
        <f t="shared" ref="H33:H34" si="6">DATEDIF(F33,G33,"m")</f>
        <v>0</v>
      </c>
      <c r="I33" s="57"/>
      <c r="J33" s="58"/>
      <c r="K33" s="201"/>
      <c r="L33" s="223"/>
      <c r="M33" s="185"/>
      <c r="N33" s="188"/>
    </row>
    <row r="34" spans="1:14" x14ac:dyDescent="0.25">
      <c r="A34" s="192"/>
      <c r="B34" s="195"/>
      <c r="C34" s="198"/>
      <c r="D34" s="198"/>
      <c r="E34" s="31"/>
      <c r="F34" s="64"/>
      <c r="G34" s="64"/>
      <c r="H34" s="65">
        <f t="shared" si="6"/>
        <v>0</v>
      </c>
      <c r="I34" s="66"/>
      <c r="J34" s="67"/>
      <c r="K34" s="202"/>
      <c r="L34" s="224"/>
      <c r="M34" s="186"/>
      <c r="N34" s="189"/>
    </row>
    <row r="35" spans="1:14" ht="25.5" customHeight="1" x14ac:dyDescent="0.25">
      <c r="A35" s="206">
        <v>5</v>
      </c>
      <c r="B35" s="207" t="str">
        <f>IF(Formato_9_Exp_Proponente!B34="","",Formato_9_Exp_Proponente!B34)</f>
        <v xml:space="preserve">UT GREM-NOVAC </v>
      </c>
      <c r="C35" s="228" t="s">
        <v>123</v>
      </c>
      <c r="D35" s="231">
        <v>19462080</v>
      </c>
      <c r="E35" s="10" t="s">
        <v>124</v>
      </c>
      <c r="F35" s="60">
        <v>40920</v>
      </c>
      <c r="G35" s="60">
        <v>45569</v>
      </c>
      <c r="H35" s="61">
        <f>DATEDIF(F35,G35,"m")</f>
        <v>152</v>
      </c>
      <c r="I35" s="62" t="s">
        <v>42</v>
      </c>
      <c r="J35" s="63"/>
      <c r="K35" s="210">
        <f>SUMIFS(H35:H42,I35:I42,"CUMPLE")</f>
        <v>152</v>
      </c>
      <c r="L35" s="203" t="s">
        <v>42</v>
      </c>
      <c r="M35" s="204" t="str">
        <f>IF(C35="","",IF(K35&gt;=60,IF(L35="CUMPLE","CUMPLE","NO CUMPLE"),"NO CUMPLE"))</f>
        <v>CUMPLE</v>
      </c>
      <c r="N35" s="211" t="s">
        <v>125</v>
      </c>
    </row>
    <row r="36" spans="1:14" ht="24.75" customHeight="1" x14ac:dyDescent="0.25">
      <c r="A36" s="191"/>
      <c r="B36" s="194"/>
      <c r="C36" s="229"/>
      <c r="D36" s="229"/>
      <c r="E36" s="8"/>
      <c r="F36" s="15"/>
      <c r="G36" s="15"/>
      <c r="H36" s="56">
        <f t="shared" ref="H36:H39" si="7">DATEDIF(F36,G36,"m")</f>
        <v>0</v>
      </c>
      <c r="I36" s="57"/>
      <c r="J36" s="58"/>
      <c r="K36" s="201"/>
      <c r="L36" s="182"/>
      <c r="M36" s="185"/>
      <c r="N36" s="188"/>
    </row>
    <row r="37" spans="1:14" x14ac:dyDescent="0.25">
      <c r="A37" s="191"/>
      <c r="B37" s="194"/>
      <c r="C37" s="229"/>
      <c r="D37" s="229"/>
      <c r="E37" s="8"/>
      <c r="F37" s="15"/>
      <c r="G37" s="15"/>
      <c r="H37" s="56">
        <f t="shared" si="7"/>
        <v>0</v>
      </c>
      <c r="I37" s="57"/>
      <c r="J37" s="58"/>
      <c r="K37" s="201"/>
      <c r="L37" s="182"/>
      <c r="M37" s="185"/>
      <c r="N37" s="188"/>
    </row>
    <row r="38" spans="1:14" x14ac:dyDescent="0.25">
      <c r="A38" s="191"/>
      <c r="B38" s="194"/>
      <c r="C38" s="229"/>
      <c r="D38" s="229"/>
      <c r="E38" s="8"/>
      <c r="F38" s="15"/>
      <c r="G38" s="15"/>
      <c r="H38" s="56">
        <f t="shared" si="7"/>
        <v>0</v>
      </c>
      <c r="I38" s="57"/>
      <c r="J38" s="58"/>
      <c r="K38" s="201"/>
      <c r="L38" s="182"/>
      <c r="M38" s="185"/>
      <c r="N38" s="188"/>
    </row>
    <row r="39" spans="1:14" x14ac:dyDescent="0.25">
      <c r="A39" s="191"/>
      <c r="B39" s="194"/>
      <c r="C39" s="229"/>
      <c r="D39" s="229"/>
      <c r="E39" s="8"/>
      <c r="F39" s="15"/>
      <c r="G39" s="15"/>
      <c r="H39" s="56">
        <f t="shared" si="7"/>
        <v>0</v>
      </c>
      <c r="I39" s="57"/>
      <c r="J39" s="58"/>
      <c r="K39" s="201"/>
      <c r="L39" s="182"/>
      <c r="M39" s="185"/>
      <c r="N39" s="188"/>
    </row>
    <row r="40" spans="1:14" x14ac:dyDescent="0.25">
      <c r="A40" s="191"/>
      <c r="B40" s="194"/>
      <c r="C40" s="229"/>
      <c r="D40" s="229"/>
      <c r="E40" s="8"/>
      <c r="F40" s="15"/>
      <c r="G40" s="15"/>
      <c r="H40" s="56">
        <f>DATEDIF(F40,G40,"m")</f>
        <v>0</v>
      </c>
      <c r="I40" s="57"/>
      <c r="J40" s="58"/>
      <c r="K40" s="201"/>
      <c r="L40" s="182"/>
      <c r="M40" s="185"/>
      <c r="N40" s="188"/>
    </row>
    <row r="41" spans="1:14" ht="13.5" customHeight="1" x14ac:dyDescent="0.25">
      <c r="A41" s="191"/>
      <c r="B41" s="194"/>
      <c r="C41" s="229"/>
      <c r="D41" s="229"/>
      <c r="E41" s="8"/>
      <c r="F41" s="15"/>
      <c r="G41" s="15"/>
      <c r="H41" s="56">
        <f t="shared" ref="H41:H42" si="8">DATEDIF(F41,G41,"m")</f>
        <v>0</v>
      </c>
      <c r="I41" s="57"/>
      <c r="J41" s="58"/>
      <c r="K41" s="201"/>
      <c r="L41" s="182"/>
      <c r="M41" s="185"/>
      <c r="N41" s="188"/>
    </row>
    <row r="42" spans="1:14" x14ac:dyDescent="0.25">
      <c r="A42" s="192"/>
      <c r="B42" s="195"/>
      <c r="C42" s="230"/>
      <c r="D42" s="230"/>
      <c r="E42" s="31"/>
      <c r="F42" s="64"/>
      <c r="G42" s="64"/>
      <c r="H42" s="65">
        <f t="shared" si="8"/>
        <v>0</v>
      </c>
      <c r="I42" s="66"/>
      <c r="J42" s="67"/>
      <c r="K42" s="202"/>
      <c r="L42" s="183"/>
      <c r="M42" s="186"/>
      <c r="N42" s="189"/>
    </row>
    <row r="43" spans="1:14" ht="64.8" x14ac:dyDescent="0.25">
      <c r="A43" s="206">
        <v>6</v>
      </c>
      <c r="B43" s="207" t="str">
        <f>IF(Formato_9_Exp_Proponente!B42="","",Formato_9_Exp_Proponente!B42)</f>
        <v>SGA CONSULTORES S.A.S: NIT 901.549.833-4</v>
      </c>
      <c r="C43" s="208" t="s">
        <v>126</v>
      </c>
      <c r="D43" s="209">
        <v>17414101</v>
      </c>
      <c r="E43" s="10" t="s">
        <v>127</v>
      </c>
      <c r="F43" s="60">
        <v>40223</v>
      </c>
      <c r="G43" s="60">
        <v>44920</v>
      </c>
      <c r="H43" s="61">
        <f>DATEDIF(F43,G43,"m")</f>
        <v>154</v>
      </c>
      <c r="I43" s="62" t="s">
        <v>32</v>
      </c>
      <c r="J43" s="63" t="s">
        <v>128</v>
      </c>
      <c r="K43" s="210">
        <f>SUMIFS(H43:H50,I43:I50,"CUMPLE")</f>
        <v>0</v>
      </c>
      <c r="L43" s="204" t="s">
        <v>32</v>
      </c>
      <c r="M43" s="204" t="str">
        <f>IF(C43="","",IF(K43&gt;=60,IF(L43="CUMPLE","CUMPLE","NO CUMPLE"),"NO CUMPLE"))</f>
        <v>NO CUMPLE</v>
      </c>
      <c r="N43" s="225" t="s">
        <v>129</v>
      </c>
    </row>
    <row r="44" spans="1:14" x14ac:dyDescent="0.25">
      <c r="A44" s="191"/>
      <c r="B44" s="194"/>
      <c r="C44" s="197"/>
      <c r="D44" s="197"/>
      <c r="E44" s="8"/>
      <c r="F44" s="15"/>
      <c r="G44" s="15"/>
      <c r="H44" s="56">
        <f t="shared" ref="H44:H47" si="9">DATEDIF(F44,G44,"m")</f>
        <v>0</v>
      </c>
      <c r="I44" s="57"/>
      <c r="J44" s="58"/>
      <c r="K44" s="201"/>
      <c r="L44" s="185"/>
      <c r="M44" s="185"/>
      <c r="N44" s="226"/>
    </row>
    <row r="45" spans="1:14" x14ac:dyDescent="0.25">
      <c r="A45" s="191"/>
      <c r="B45" s="194"/>
      <c r="C45" s="197"/>
      <c r="D45" s="197"/>
      <c r="E45" s="8"/>
      <c r="F45" s="15"/>
      <c r="G45" s="15"/>
      <c r="H45" s="56">
        <f t="shared" si="9"/>
        <v>0</v>
      </c>
      <c r="I45" s="57"/>
      <c r="J45" s="58"/>
      <c r="K45" s="201"/>
      <c r="L45" s="185"/>
      <c r="M45" s="185"/>
      <c r="N45" s="226"/>
    </row>
    <row r="46" spans="1:14" x14ac:dyDescent="0.25">
      <c r="A46" s="191"/>
      <c r="B46" s="194"/>
      <c r="C46" s="197"/>
      <c r="D46" s="197"/>
      <c r="E46" s="8"/>
      <c r="F46" s="15"/>
      <c r="G46" s="15"/>
      <c r="H46" s="56">
        <f t="shared" si="9"/>
        <v>0</v>
      </c>
      <c r="I46" s="57"/>
      <c r="J46" s="58"/>
      <c r="K46" s="201"/>
      <c r="L46" s="185"/>
      <c r="M46" s="185"/>
      <c r="N46" s="226"/>
    </row>
    <row r="47" spans="1:14" x14ac:dyDescent="0.25">
      <c r="A47" s="191"/>
      <c r="B47" s="194"/>
      <c r="C47" s="197"/>
      <c r="D47" s="197"/>
      <c r="E47" s="8"/>
      <c r="F47" s="15"/>
      <c r="G47" s="15"/>
      <c r="H47" s="56">
        <f t="shared" si="9"/>
        <v>0</v>
      </c>
      <c r="I47" s="57"/>
      <c r="J47" s="58"/>
      <c r="K47" s="201"/>
      <c r="L47" s="185"/>
      <c r="M47" s="185"/>
      <c r="N47" s="226"/>
    </row>
    <row r="48" spans="1:14" x14ac:dyDescent="0.25">
      <c r="A48" s="191"/>
      <c r="B48" s="194"/>
      <c r="C48" s="197"/>
      <c r="D48" s="197"/>
      <c r="E48" s="8"/>
      <c r="F48" s="15"/>
      <c r="G48" s="15"/>
      <c r="H48" s="56">
        <f>DATEDIF(F48,G48,"m")</f>
        <v>0</v>
      </c>
      <c r="I48" s="57"/>
      <c r="J48" s="58"/>
      <c r="K48" s="201"/>
      <c r="L48" s="185"/>
      <c r="M48" s="185"/>
      <c r="N48" s="226"/>
    </row>
    <row r="49" spans="1:14" x14ac:dyDescent="0.25">
      <c r="A49" s="191"/>
      <c r="B49" s="194"/>
      <c r="C49" s="197"/>
      <c r="D49" s="197"/>
      <c r="E49" s="8"/>
      <c r="F49" s="15"/>
      <c r="G49" s="15"/>
      <c r="H49" s="56">
        <f t="shared" ref="H49:H50" si="10">DATEDIF(F49,G49,"m")</f>
        <v>0</v>
      </c>
      <c r="I49" s="57"/>
      <c r="J49" s="58"/>
      <c r="K49" s="201"/>
      <c r="L49" s="185"/>
      <c r="M49" s="185"/>
      <c r="N49" s="226"/>
    </row>
    <row r="50" spans="1:14" ht="11.4" thickBot="1" x14ac:dyDescent="0.3">
      <c r="A50" s="192"/>
      <c r="B50" s="195"/>
      <c r="C50" s="198"/>
      <c r="D50" s="198"/>
      <c r="E50" s="31"/>
      <c r="F50" s="64"/>
      <c r="G50" s="64"/>
      <c r="H50" s="65">
        <f t="shared" si="10"/>
        <v>0</v>
      </c>
      <c r="I50" s="66"/>
      <c r="J50" s="67"/>
      <c r="K50" s="202"/>
      <c r="L50" s="186"/>
      <c r="M50" s="186"/>
      <c r="N50" s="227"/>
    </row>
    <row r="51" spans="1:14" ht="32.4" x14ac:dyDescent="0.25">
      <c r="A51" s="206">
        <v>7</v>
      </c>
      <c r="B51" s="207" t="str">
        <f>IF(Formato_9_Exp_Proponente!B50="","",Formato_9_Exp_Proponente!B50)</f>
        <v>SMARTY COLOMBIA SAS BIC: NIT 900249549-6</v>
      </c>
      <c r="C51" s="208" t="s">
        <v>130</v>
      </c>
      <c r="D51" s="209">
        <v>79803323</v>
      </c>
      <c r="E51" s="10" t="s">
        <v>131</v>
      </c>
      <c r="F51" s="60">
        <v>38952</v>
      </c>
      <c r="G51" s="60">
        <v>40602</v>
      </c>
      <c r="H51" s="61">
        <f>DATEDIF(F51,G51,"m")</f>
        <v>54</v>
      </c>
      <c r="I51" s="62" t="s">
        <v>32</v>
      </c>
      <c r="J51" s="63" t="s">
        <v>132</v>
      </c>
      <c r="K51" s="210">
        <f>SUMIFS(H51:H58,I51:I58,"CUMPLE")</f>
        <v>12</v>
      </c>
      <c r="L51" s="222" t="s">
        <v>42</v>
      </c>
      <c r="M51" s="204" t="str">
        <f>IF(C51="","",IF(K51&gt;=60,IF(L51="CUMPLE","CUMPLE","NO CUMPLE"),"NO CUMPLE"))</f>
        <v>NO CUMPLE</v>
      </c>
      <c r="N51" s="211" t="s">
        <v>132</v>
      </c>
    </row>
    <row r="52" spans="1:14" x14ac:dyDescent="0.25">
      <c r="A52" s="191"/>
      <c r="B52" s="194"/>
      <c r="C52" s="197"/>
      <c r="D52" s="197"/>
      <c r="E52" s="8" t="s">
        <v>133</v>
      </c>
      <c r="F52" s="15">
        <v>42492</v>
      </c>
      <c r="G52" s="15">
        <v>42863</v>
      </c>
      <c r="H52" s="56">
        <f t="shared" ref="H52:H55" si="11">DATEDIF(F52,G52,"m")</f>
        <v>12</v>
      </c>
      <c r="I52" s="57" t="s">
        <v>42</v>
      </c>
      <c r="J52" s="119"/>
      <c r="K52" s="201"/>
      <c r="L52" s="223"/>
      <c r="M52" s="185"/>
      <c r="N52" s="232"/>
    </row>
    <row r="53" spans="1:14" x14ac:dyDescent="0.25">
      <c r="A53" s="191"/>
      <c r="B53" s="194"/>
      <c r="C53" s="197"/>
      <c r="D53" s="197"/>
      <c r="E53" s="8"/>
      <c r="F53" s="15"/>
      <c r="G53" s="15"/>
      <c r="H53" s="56">
        <f t="shared" si="11"/>
        <v>0</v>
      </c>
      <c r="I53" s="57"/>
      <c r="J53" s="58"/>
      <c r="K53" s="201"/>
      <c r="L53" s="223"/>
      <c r="M53" s="185"/>
      <c r="N53" s="232"/>
    </row>
    <row r="54" spans="1:14" x14ac:dyDescent="0.25">
      <c r="A54" s="191"/>
      <c r="B54" s="194"/>
      <c r="C54" s="197"/>
      <c r="D54" s="197"/>
      <c r="E54" s="8"/>
      <c r="F54" s="15"/>
      <c r="G54" s="15"/>
      <c r="H54" s="56">
        <f t="shared" si="11"/>
        <v>0</v>
      </c>
      <c r="I54" s="57"/>
      <c r="J54" s="58"/>
      <c r="K54" s="201"/>
      <c r="L54" s="223"/>
      <c r="M54" s="185"/>
      <c r="N54" s="232"/>
    </row>
    <row r="55" spans="1:14" x14ac:dyDescent="0.25">
      <c r="A55" s="191"/>
      <c r="B55" s="194"/>
      <c r="C55" s="197"/>
      <c r="D55" s="197"/>
      <c r="E55" s="8"/>
      <c r="F55" s="15"/>
      <c r="G55" s="15"/>
      <c r="H55" s="56">
        <f t="shared" si="11"/>
        <v>0</v>
      </c>
      <c r="I55" s="57"/>
      <c r="J55" s="58"/>
      <c r="K55" s="201"/>
      <c r="L55" s="223"/>
      <c r="M55" s="185"/>
      <c r="N55" s="232"/>
    </row>
    <row r="56" spans="1:14" x14ac:dyDescent="0.25">
      <c r="A56" s="191"/>
      <c r="B56" s="194"/>
      <c r="C56" s="197"/>
      <c r="D56" s="197"/>
      <c r="E56" s="8"/>
      <c r="F56" s="15"/>
      <c r="G56" s="15"/>
      <c r="H56" s="56">
        <f>DATEDIF(F56,G56,"m")</f>
        <v>0</v>
      </c>
      <c r="I56" s="57"/>
      <c r="J56" s="58"/>
      <c r="K56" s="201"/>
      <c r="L56" s="223"/>
      <c r="M56" s="185"/>
      <c r="N56" s="232"/>
    </row>
    <row r="57" spans="1:14" x14ac:dyDescent="0.25">
      <c r="A57" s="191"/>
      <c r="B57" s="194"/>
      <c r="C57" s="197"/>
      <c r="D57" s="197"/>
      <c r="E57" s="8"/>
      <c r="F57" s="15"/>
      <c r="G57" s="15"/>
      <c r="H57" s="56">
        <f t="shared" ref="H57:H58" si="12">DATEDIF(F57,G57,"m")</f>
        <v>0</v>
      </c>
      <c r="I57" s="57"/>
      <c r="J57" s="58"/>
      <c r="K57" s="201"/>
      <c r="L57" s="223"/>
      <c r="M57" s="185"/>
      <c r="N57" s="232"/>
    </row>
    <row r="58" spans="1:14" x14ac:dyDescent="0.25">
      <c r="A58" s="192"/>
      <c r="B58" s="195"/>
      <c r="C58" s="198"/>
      <c r="D58" s="198"/>
      <c r="E58" s="31"/>
      <c r="F58" s="64"/>
      <c r="G58" s="64"/>
      <c r="H58" s="65">
        <f t="shared" si="12"/>
        <v>0</v>
      </c>
      <c r="I58" s="66"/>
      <c r="J58" s="67"/>
      <c r="K58" s="202"/>
      <c r="L58" s="224"/>
      <c r="M58" s="186"/>
      <c r="N58" s="233"/>
    </row>
    <row r="59" spans="1:14" ht="43.2" x14ac:dyDescent="0.25">
      <c r="A59" s="206">
        <v>8</v>
      </c>
      <c r="B59" s="207" t="str">
        <f>IF(Formato_9_Exp_Proponente!B58="","",Formato_9_Exp_Proponente!B58)</f>
        <v>CONSORCIO TOOL</v>
      </c>
      <c r="C59" s="208" t="s">
        <v>134</v>
      </c>
      <c r="D59" s="209" t="s">
        <v>135</v>
      </c>
      <c r="E59" s="10" t="s">
        <v>136</v>
      </c>
      <c r="F59" s="60">
        <v>43564</v>
      </c>
      <c r="G59" s="60">
        <v>44290</v>
      </c>
      <c r="H59" s="61">
        <f>DATEDIF(F59,G59,"m")</f>
        <v>23</v>
      </c>
      <c r="I59" s="62" t="s">
        <v>42</v>
      </c>
      <c r="J59" s="63"/>
      <c r="K59" s="210">
        <f>SUMIFS(H59:H66,I59:I66,"CUMPLE")</f>
        <v>52</v>
      </c>
      <c r="L59" s="203" t="s">
        <v>42</v>
      </c>
      <c r="M59" s="204" t="str">
        <f>IF(C59="","",IF(K59&gt;=60,IF(L59="CUMPLE","CUMPLE","NO CUMPLE"),"NO CUMPLE"))</f>
        <v>NO CUMPLE</v>
      </c>
      <c r="N59" s="211" t="s">
        <v>137</v>
      </c>
    </row>
    <row r="60" spans="1:14" x14ac:dyDescent="0.25">
      <c r="A60" s="191"/>
      <c r="B60" s="194"/>
      <c r="C60" s="197"/>
      <c r="D60" s="197"/>
      <c r="E60" s="8" t="s">
        <v>138</v>
      </c>
      <c r="F60" s="15">
        <v>42840</v>
      </c>
      <c r="G60" s="15">
        <v>43546</v>
      </c>
      <c r="H60" s="56">
        <f t="shared" ref="H60:H63" si="13">DATEDIF(F60,G60,"m")</f>
        <v>23</v>
      </c>
      <c r="I60" s="57" t="s">
        <v>42</v>
      </c>
      <c r="J60" s="58"/>
      <c r="K60" s="201"/>
      <c r="L60" s="182"/>
      <c r="M60" s="185"/>
      <c r="N60" s="232"/>
    </row>
    <row r="61" spans="1:14" x14ac:dyDescent="0.25">
      <c r="A61" s="191"/>
      <c r="B61" s="194"/>
      <c r="C61" s="197"/>
      <c r="D61" s="197"/>
      <c r="E61" s="8" t="s">
        <v>139</v>
      </c>
      <c r="F61" s="15">
        <v>42647</v>
      </c>
      <c r="G61" s="15">
        <v>42841</v>
      </c>
      <c r="H61" s="56">
        <f t="shared" si="13"/>
        <v>6</v>
      </c>
      <c r="I61" s="57" t="s">
        <v>42</v>
      </c>
      <c r="J61" s="58"/>
      <c r="K61" s="201"/>
      <c r="L61" s="182"/>
      <c r="M61" s="185"/>
      <c r="N61" s="232"/>
    </row>
    <row r="62" spans="1:14" x14ac:dyDescent="0.25">
      <c r="A62" s="191"/>
      <c r="B62" s="194"/>
      <c r="C62" s="197"/>
      <c r="D62" s="197"/>
      <c r="E62" s="8"/>
      <c r="F62" s="15"/>
      <c r="G62" s="15"/>
      <c r="H62" s="56">
        <f t="shared" si="13"/>
        <v>0</v>
      </c>
      <c r="I62" s="57"/>
      <c r="J62" s="58"/>
      <c r="K62" s="201"/>
      <c r="L62" s="182"/>
      <c r="M62" s="185"/>
      <c r="N62" s="232"/>
    </row>
    <row r="63" spans="1:14" x14ac:dyDescent="0.25">
      <c r="A63" s="191"/>
      <c r="B63" s="194"/>
      <c r="C63" s="197"/>
      <c r="D63" s="197"/>
      <c r="E63" s="8"/>
      <c r="F63" s="15"/>
      <c r="G63" s="15"/>
      <c r="H63" s="56">
        <f t="shared" si="13"/>
        <v>0</v>
      </c>
      <c r="I63" s="57"/>
      <c r="J63" s="58"/>
      <c r="K63" s="201"/>
      <c r="L63" s="182"/>
      <c r="M63" s="185"/>
      <c r="N63" s="232"/>
    </row>
    <row r="64" spans="1:14" x14ac:dyDescent="0.25">
      <c r="A64" s="191"/>
      <c r="B64" s="194"/>
      <c r="C64" s="197"/>
      <c r="D64" s="197"/>
      <c r="E64" s="8"/>
      <c r="F64" s="15"/>
      <c r="G64" s="15"/>
      <c r="H64" s="56">
        <f>DATEDIF(F64,G64,"m")</f>
        <v>0</v>
      </c>
      <c r="I64" s="57"/>
      <c r="J64" s="58"/>
      <c r="K64" s="201"/>
      <c r="L64" s="182"/>
      <c r="M64" s="185"/>
      <c r="N64" s="232"/>
    </row>
    <row r="65" spans="1:14" x14ac:dyDescent="0.25">
      <c r="A65" s="191"/>
      <c r="B65" s="194"/>
      <c r="C65" s="197"/>
      <c r="D65" s="197"/>
      <c r="E65" s="8"/>
      <c r="F65" s="15"/>
      <c r="G65" s="15"/>
      <c r="H65" s="56">
        <f t="shared" ref="H65:H66" si="14">DATEDIF(F65,G65,"m")</f>
        <v>0</v>
      </c>
      <c r="I65" s="57"/>
      <c r="J65" s="58"/>
      <c r="K65" s="201"/>
      <c r="L65" s="182"/>
      <c r="M65" s="185"/>
      <c r="N65" s="232"/>
    </row>
    <row r="66" spans="1:14" ht="11.4" thickBot="1" x14ac:dyDescent="0.3">
      <c r="A66" s="192"/>
      <c r="B66" s="195"/>
      <c r="C66" s="198"/>
      <c r="D66" s="198"/>
      <c r="E66" s="31"/>
      <c r="F66" s="64"/>
      <c r="G66" s="64"/>
      <c r="H66" s="65">
        <f t="shared" si="14"/>
        <v>0</v>
      </c>
      <c r="I66" s="66"/>
      <c r="J66" s="67"/>
      <c r="K66" s="202"/>
      <c r="L66" s="183"/>
      <c r="M66" s="186"/>
      <c r="N66" s="233"/>
    </row>
    <row r="67" spans="1:14" ht="10.95" customHeight="1" x14ac:dyDescent="0.25">
      <c r="A67" s="206">
        <v>9</v>
      </c>
      <c r="B67" s="207" t="str">
        <f>IF(Formato_9_Exp_Proponente!B66="","",Formato_9_Exp_Proponente!B66)</f>
        <v>CONSORCIO INTERVENTORÍA DE VIGILANCIA 2024</v>
      </c>
      <c r="C67" s="208" t="s">
        <v>140</v>
      </c>
      <c r="D67" s="209">
        <v>73086632</v>
      </c>
      <c r="E67" s="141" t="s">
        <v>141</v>
      </c>
      <c r="F67" s="60">
        <v>38852</v>
      </c>
      <c r="G67" s="60">
        <v>39270</v>
      </c>
      <c r="H67" s="61">
        <f>DATEDIF(F67,G67,"m")</f>
        <v>13</v>
      </c>
      <c r="I67" s="62" t="s">
        <v>42</v>
      </c>
      <c r="J67" s="63"/>
      <c r="K67" s="210">
        <f>SUMIFS(H67:H74,I67:I74,"CUMPLE")</f>
        <v>20</v>
      </c>
      <c r="L67" s="203" t="s">
        <v>42</v>
      </c>
      <c r="M67" s="204" t="str">
        <f>IF(C67="","",IF(K67&gt;=60,IF(L67="CUMPLE","CUMPLE","NO CUMPLE"),"NO CUMPLE"))</f>
        <v>NO CUMPLE</v>
      </c>
      <c r="N67" s="211" t="s">
        <v>142</v>
      </c>
    </row>
    <row r="68" spans="1:14" x14ac:dyDescent="0.25">
      <c r="A68" s="191"/>
      <c r="B68" s="194"/>
      <c r="C68" s="197"/>
      <c r="D68" s="197"/>
      <c r="E68" s="141" t="s">
        <v>141</v>
      </c>
      <c r="F68" s="15">
        <v>39271</v>
      </c>
      <c r="G68" s="15">
        <v>39486</v>
      </c>
      <c r="H68" s="56">
        <f t="shared" ref="H68:H71" si="15">DATEDIF(F68,G68,"m")</f>
        <v>7</v>
      </c>
      <c r="I68" s="57" t="s">
        <v>42</v>
      </c>
      <c r="J68" s="119"/>
      <c r="K68" s="201"/>
      <c r="L68" s="182"/>
      <c r="M68" s="185"/>
      <c r="N68" s="188"/>
    </row>
    <row r="69" spans="1:14" ht="53.4" customHeight="1" x14ac:dyDescent="0.25">
      <c r="A69" s="191"/>
      <c r="B69" s="194"/>
      <c r="C69" s="197"/>
      <c r="D69" s="197"/>
      <c r="E69" s="141" t="s">
        <v>143</v>
      </c>
      <c r="F69" s="15">
        <v>39496</v>
      </c>
      <c r="G69" s="15">
        <v>39614</v>
      </c>
      <c r="H69" s="56">
        <f t="shared" si="15"/>
        <v>3</v>
      </c>
      <c r="I69" s="57" t="s">
        <v>32</v>
      </c>
      <c r="J69" s="141" t="s">
        <v>144</v>
      </c>
      <c r="K69" s="201"/>
      <c r="L69" s="182"/>
      <c r="M69" s="185"/>
      <c r="N69" s="188"/>
    </row>
    <row r="70" spans="1:14" ht="48.6" customHeight="1" x14ac:dyDescent="0.25">
      <c r="A70" s="191"/>
      <c r="B70" s="194"/>
      <c r="C70" s="197"/>
      <c r="D70" s="197"/>
      <c r="E70" s="8" t="s">
        <v>145</v>
      </c>
      <c r="F70" s="15">
        <v>39945</v>
      </c>
      <c r="G70" s="15">
        <v>41152</v>
      </c>
      <c r="H70" s="56">
        <f t="shared" si="15"/>
        <v>39</v>
      </c>
      <c r="I70" s="57" t="s">
        <v>32</v>
      </c>
      <c r="J70" s="141" t="s">
        <v>146</v>
      </c>
      <c r="K70" s="201"/>
      <c r="L70" s="182"/>
      <c r="M70" s="185"/>
      <c r="N70" s="188"/>
    </row>
    <row r="71" spans="1:14" ht="51" customHeight="1" x14ac:dyDescent="0.25">
      <c r="A71" s="191"/>
      <c r="B71" s="194"/>
      <c r="C71" s="197"/>
      <c r="D71" s="197"/>
      <c r="E71" s="8" t="s">
        <v>147</v>
      </c>
      <c r="F71" s="15">
        <v>41918</v>
      </c>
      <c r="G71" s="15">
        <v>42278</v>
      </c>
      <c r="H71" s="56">
        <f t="shared" si="15"/>
        <v>11</v>
      </c>
      <c r="I71" s="57" t="s">
        <v>32</v>
      </c>
      <c r="J71" s="141" t="s">
        <v>144</v>
      </c>
      <c r="K71" s="201"/>
      <c r="L71" s="182"/>
      <c r="M71" s="185"/>
      <c r="N71" s="188"/>
    </row>
    <row r="72" spans="1:14" ht="46.2" customHeight="1" x14ac:dyDescent="0.25">
      <c r="A72" s="191"/>
      <c r="B72" s="194"/>
      <c r="C72" s="197"/>
      <c r="D72" s="197"/>
      <c r="E72" s="8" t="s">
        <v>148</v>
      </c>
      <c r="F72" s="15">
        <v>42298</v>
      </c>
      <c r="G72" s="15">
        <v>42666</v>
      </c>
      <c r="H72" s="56">
        <f>DATEDIF(F72,G72,"m")</f>
        <v>12</v>
      </c>
      <c r="I72" s="57" t="s">
        <v>32</v>
      </c>
      <c r="J72" s="141" t="s">
        <v>146</v>
      </c>
      <c r="K72" s="201"/>
      <c r="L72" s="182"/>
      <c r="M72" s="185"/>
      <c r="N72" s="188"/>
    </row>
    <row r="73" spans="1:14" x14ac:dyDescent="0.25">
      <c r="A73" s="191"/>
      <c r="B73" s="194"/>
      <c r="C73" s="197"/>
      <c r="D73" s="197"/>
      <c r="E73" s="8"/>
      <c r="F73" s="15"/>
      <c r="G73" s="15"/>
      <c r="H73" s="56">
        <f t="shared" ref="H73:H74" si="16">DATEDIF(F73,G73,"m")</f>
        <v>0</v>
      </c>
      <c r="I73" s="57"/>
      <c r="J73" s="58"/>
      <c r="K73" s="201"/>
      <c r="L73" s="182"/>
      <c r="M73" s="185"/>
      <c r="N73" s="188"/>
    </row>
    <row r="74" spans="1:14" ht="11.4" thickBot="1" x14ac:dyDescent="0.3">
      <c r="A74" s="192"/>
      <c r="B74" s="195"/>
      <c r="C74" s="198"/>
      <c r="D74" s="198"/>
      <c r="E74" s="31"/>
      <c r="F74" s="64"/>
      <c r="G74" s="64"/>
      <c r="H74" s="65">
        <f t="shared" si="16"/>
        <v>0</v>
      </c>
      <c r="I74" s="66"/>
      <c r="J74" s="67"/>
      <c r="K74" s="202"/>
      <c r="L74" s="183"/>
      <c r="M74" s="186"/>
      <c r="N74" s="189"/>
    </row>
    <row r="75" spans="1:14" ht="10.95" customHeight="1" x14ac:dyDescent="0.25">
      <c r="A75" s="206">
        <v>10</v>
      </c>
      <c r="B75" s="207" t="str">
        <f>IF(Formato_9_Exp_Proponente!B74="","",Formato_9_Exp_Proponente!B74)</f>
        <v>Consultora Central S.A.S BIC</v>
      </c>
      <c r="C75" s="208" t="s">
        <v>149</v>
      </c>
      <c r="D75" s="209" t="s">
        <v>150</v>
      </c>
      <c r="E75" s="10" t="s">
        <v>151</v>
      </c>
      <c r="F75" s="60">
        <v>41022</v>
      </c>
      <c r="G75" s="60">
        <v>43343</v>
      </c>
      <c r="H75" s="61">
        <f>DATEDIF(F75,G75,"m")</f>
        <v>76</v>
      </c>
      <c r="I75" s="62" t="s">
        <v>42</v>
      </c>
      <c r="J75" s="63"/>
      <c r="K75" s="210">
        <f>SUMIFS(H75:H82,I75:I82,"CUMPLE")</f>
        <v>123</v>
      </c>
      <c r="L75" s="203" t="s">
        <v>42</v>
      </c>
      <c r="M75" s="204" t="str">
        <f>IF(C75="","",IF(K75&gt;=60,IF(L75="CUMPLE","CUMPLE","NO CUMPLE"),"NO CUMPLE"))</f>
        <v>CUMPLE</v>
      </c>
      <c r="N75" s="205"/>
    </row>
    <row r="76" spans="1:14" x14ac:dyDescent="0.25">
      <c r="A76" s="191"/>
      <c r="B76" s="194"/>
      <c r="C76" s="197"/>
      <c r="D76" s="197"/>
      <c r="E76" s="8" t="s">
        <v>152</v>
      </c>
      <c r="F76" s="15">
        <v>43346</v>
      </c>
      <c r="G76" s="15">
        <v>43905</v>
      </c>
      <c r="H76" s="56">
        <f t="shared" ref="H76:H79" si="17">DATEDIF(F76,G76,"m")</f>
        <v>18</v>
      </c>
      <c r="I76" s="57" t="s">
        <v>42</v>
      </c>
      <c r="J76" s="58"/>
      <c r="K76" s="201"/>
      <c r="L76" s="182"/>
      <c r="M76" s="185"/>
      <c r="N76" s="188"/>
    </row>
    <row r="77" spans="1:14" x14ac:dyDescent="0.25">
      <c r="A77" s="191"/>
      <c r="B77" s="194"/>
      <c r="C77" s="197"/>
      <c r="D77" s="197"/>
      <c r="E77" s="8" t="s">
        <v>152</v>
      </c>
      <c r="F77" s="15">
        <v>43969</v>
      </c>
      <c r="G77" s="15">
        <v>44669</v>
      </c>
      <c r="H77" s="56">
        <f t="shared" si="17"/>
        <v>23</v>
      </c>
      <c r="I77" s="57" t="s">
        <v>42</v>
      </c>
      <c r="J77" s="58"/>
      <c r="K77" s="201"/>
      <c r="L77" s="182"/>
      <c r="M77" s="185"/>
      <c r="N77" s="188"/>
    </row>
    <row r="78" spans="1:14" x14ac:dyDescent="0.25">
      <c r="A78" s="191"/>
      <c r="B78" s="194"/>
      <c r="C78" s="197"/>
      <c r="D78" s="197"/>
      <c r="E78" s="8" t="s">
        <v>153</v>
      </c>
      <c r="F78" s="15">
        <v>45323</v>
      </c>
      <c r="G78" s="15">
        <v>45534</v>
      </c>
      <c r="H78" s="56">
        <f t="shared" si="17"/>
        <v>6</v>
      </c>
      <c r="I78" s="57" t="s">
        <v>42</v>
      </c>
      <c r="J78" s="58"/>
      <c r="K78" s="201"/>
      <c r="L78" s="182"/>
      <c r="M78" s="185"/>
      <c r="N78" s="188"/>
    </row>
    <row r="79" spans="1:14" x14ac:dyDescent="0.25">
      <c r="A79" s="191"/>
      <c r="B79" s="194"/>
      <c r="C79" s="197"/>
      <c r="D79" s="197"/>
      <c r="E79" s="8"/>
      <c r="F79" s="15"/>
      <c r="G79" s="15"/>
      <c r="H79" s="56">
        <f t="shared" si="17"/>
        <v>0</v>
      </c>
      <c r="I79" s="57"/>
      <c r="J79" s="58"/>
      <c r="K79" s="201"/>
      <c r="L79" s="182"/>
      <c r="M79" s="185"/>
      <c r="N79" s="188"/>
    </row>
    <row r="80" spans="1:14" x14ac:dyDescent="0.25">
      <c r="A80" s="191"/>
      <c r="B80" s="194"/>
      <c r="C80" s="197"/>
      <c r="D80" s="197"/>
      <c r="E80" s="8"/>
      <c r="F80" s="15"/>
      <c r="G80" s="15"/>
      <c r="H80" s="56">
        <f>DATEDIF(F80,G80,"m")</f>
        <v>0</v>
      </c>
      <c r="I80" s="57"/>
      <c r="J80" s="58"/>
      <c r="K80" s="201"/>
      <c r="L80" s="182"/>
      <c r="M80" s="185"/>
      <c r="N80" s="188"/>
    </row>
    <row r="81" spans="1:14" x14ac:dyDescent="0.25">
      <c r="A81" s="191"/>
      <c r="B81" s="194"/>
      <c r="C81" s="197"/>
      <c r="D81" s="197"/>
      <c r="E81" s="8"/>
      <c r="F81" s="15"/>
      <c r="G81" s="15"/>
      <c r="H81" s="56">
        <f t="shared" ref="H81:H82" si="18">DATEDIF(F81,G81,"m")</f>
        <v>0</v>
      </c>
      <c r="I81" s="57"/>
      <c r="J81" s="58"/>
      <c r="K81" s="201"/>
      <c r="L81" s="182"/>
      <c r="M81" s="185"/>
      <c r="N81" s="188"/>
    </row>
    <row r="82" spans="1:14" ht="11.4" thickBot="1" x14ac:dyDescent="0.3">
      <c r="A82" s="192"/>
      <c r="B82" s="195"/>
      <c r="C82" s="198"/>
      <c r="D82" s="198"/>
      <c r="E82" s="31"/>
      <c r="F82" s="64"/>
      <c r="G82" s="64"/>
      <c r="H82" s="65">
        <f t="shared" si="18"/>
        <v>0</v>
      </c>
      <c r="I82" s="66"/>
      <c r="J82" s="67"/>
      <c r="K82" s="202"/>
      <c r="L82" s="183"/>
      <c r="M82" s="186"/>
      <c r="N82" s="189"/>
    </row>
    <row r="83" spans="1:14" ht="10.95" customHeight="1" x14ac:dyDescent="0.25">
      <c r="A83" s="206">
        <v>11</v>
      </c>
      <c r="B83" s="207" t="str">
        <f>IF(Formato_9_Exp_Proponente!B82="","",Formato_9_Exp_Proponente!B82)</f>
        <v>CONSORCIO INTERVENCIÓN Y SEGURIDAD DISTRITAL</v>
      </c>
      <c r="C83" s="208" t="s">
        <v>154</v>
      </c>
      <c r="D83" s="209">
        <v>79459542</v>
      </c>
      <c r="E83" s="10" t="s">
        <v>155</v>
      </c>
      <c r="F83" s="60">
        <v>39846</v>
      </c>
      <c r="G83" s="60">
        <v>42215</v>
      </c>
      <c r="H83" s="61">
        <f>DATEDIF(F83,G83,"m")</f>
        <v>77</v>
      </c>
      <c r="I83" s="62" t="s">
        <v>42</v>
      </c>
      <c r="J83" s="63"/>
      <c r="K83" s="210">
        <f>SUMIFS(H83:H90,I83:I90,"CUMPLE")</f>
        <v>98</v>
      </c>
      <c r="L83" s="203" t="s">
        <v>42</v>
      </c>
      <c r="M83" s="204" t="str">
        <f>IF(C83="","",IF(K83&gt;=60,IF(L83="CUMPLE","CUMPLE","NO CUMPLE"),"NO CUMPLE"))</f>
        <v>CUMPLE</v>
      </c>
      <c r="N83" s="205"/>
    </row>
    <row r="84" spans="1:14" x14ac:dyDescent="0.25">
      <c r="A84" s="191"/>
      <c r="B84" s="194"/>
      <c r="C84" s="197"/>
      <c r="D84" s="197"/>
      <c r="E84" s="8" t="s">
        <v>155</v>
      </c>
      <c r="F84" s="15">
        <v>42217</v>
      </c>
      <c r="G84" s="15">
        <v>42867</v>
      </c>
      <c r="H84" s="56">
        <f t="shared" ref="H84:H87" si="19">DATEDIF(F84,G84,"m")</f>
        <v>21</v>
      </c>
      <c r="I84" s="57" t="s">
        <v>42</v>
      </c>
      <c r="J84" s="58"/>
      <c r="K84" s="201"/>
      <c r="L84" s="182"/>
      <c r="M84" s="185"/>
      <c r="N84" s="188"/>
    </row>
    <row r="85" spans="1:14" x14ac:dyDescent="0.25">
      <c r="A85" s="191"/>
      <c r="B85" s="194"/>
      <c r="C85" s="197"/>
      <c r="D85" s="197"/>
      <c r="E85" s="8"/>
      <c r="F85" s="15"/>
      <c r="G85" s="15"/>
      <c r="H85" s="56">
        <f t="shared" si="19"/>
        <v>0</v>
      </c>
      <c r="I85" s="57"/>
      <c r="J85" s="58"/>
      <c r="K85" s="201"/>
      <c r="L85" s="182"/>
      <c r="M85" s="185"/>
      <c r="N85" s="188"/>
    </row>
    <row r="86" spans="1:14" x14ac:dyDescent="0.25">
      <c r="A86" s="191"/>
      <c r="B86" s="194"/>
      <c r="C86" s="197"/>
      <c r="D86" s="197"/>
      <c r="E86" s="8"/>
      <c r="F86" s="15"/>
      <c r="G86" s="15"/>
      <c r="H86" s="56">
        <f t="shared" si="19"/>
        <v>0</v>
      </c>
      <c r="I86" s="57"/>
      <c r="J86" s="58"/>
      <c r="K86" s="201"/>
      <c r="L86" s="182"/>
      <c r="M86" s="185"/>
      <c r="N86" s="188"/>
    </row>
    <row r="87" spans="1:14" x14ac:dyDescent="0.25">
      <c r="A87" s="191"/>
      <c r="B87" s="194"/>
      <c r="C87" s="197"/>
      <c r="D87" s="197"/>
      <c r="E87" s="8"/>
      <c r="F87" s="15"/>
      <c r="G87" s="15"/>
      <c r="H87" s="56">
        <f t="shared" si="19"/>
        <v>0</v>
      </c>
      <c r="I87" s="57"/>
      <c r="J87" s="58"/>
      <c r="K87" s="201"/>
      <c r="L87" s="182"/>
      <c r="M87" s="185"/>
      <c r="N87" s="188"/>
    </row>
    <row r="88" spans="1:14" x14ac:dyDescent="0.25">
      <c r="A88" s="191"/>
      <c r="B88" s="194"/>
      <c r="C88" s="197"/>
      <c r="D88" s="197"/>
      <c r="E88" s="8"/>
      <c r="F88" s="15"/>
      <c r="G88" s="15"/>
      <c r="H88" s="56">
        <f>DATEDIF(F88,G88,"m")</f>
        <v>0</v>
      </c>
      <c r="I88" s="57"/>
      <c r="J88" s="58"/>
      <c r="K88" s="201"/>
      <c r="L88" s="182"/>
      <c r="M88" s="185"/>
      <c r="N88" s="188"/>
    </row>
    <row r="89" spans="1:14" x14ac:dyDescent="0.25">
      <c r="A89" s="191"/>
      <c r="B89" s="194"/>
      <c r="C89" s="197"/>
      <c r="D89" s="197"/>
      <c r="E89" s="8"/>
      <c r="F89" s="15"/>
      <c r="G89" s="15"/>
      <c r="H89" s="56">
        <f t="shared" ref="H89:H90" si="20">DATEDIF(F89,G89,"m")</f>
        <v>0</v>
      </c>
      <c r="I89" s="57"/>
      <c r="J89" s="58"/>
      <c r="K89" s="201"/>
      <c r="L89" s="182"/>
      <c r="M89" s="185"/>
      <c r="N89" s="188"/>
    </row>
    <row r="90" spans="1:14" ht="11.4" thickBot="1" x14ac:dyDescent="0.3">
      <c r="A90" s="192"/>
      <c r="B90" s="195"/>
      <c r="C90" s="198"/>
      <c r="D90" s="198"/>
      <c r="E90" s="31"/>
      <c r="F90" s="131"/>
      <c r="G90" s="131"/>
      <c r="H90" s="65">
        <f t="shared" si="20"/>
        <v>0</v>
      </c>
      <c r="I90" s="66"/>
      <c r="J90" s="67"/>
      <c r="K90" s="202"/>
      <c r="L90" s="183"/>
      <c r="M90" s="186"/>
      <c r="N90" s="189"/>
    </row>
    <row r="91" spans="1:14" ht="64.8" x14ac:dyDescent="0.25">
      <c r="A91" s="206">
        <v>12</v>
      </c>
      <c r="B91" s="207" t="str">
        <f>IF(Formato_9_Exp_Proponente!B90="","",Formato_9_Exp_Proponente!B90)</f>
        <v>Strycon Energía: NIT 901.466.510-3</v>
      </c>
      <c r="C91" s="208" t="s">
        <v>156</v>
      </c>
      <c r="D91" s="209">
        <v>73572189</v>
      </c>
      <c r="E91" s="125" t="s">
        <v>157</v>
      </c>
      <c r="F91" s="60">
        <v>42339</v>
      </c>
      <c r="G91" s="60">
        <v>42551</v>
      </c>
      <c r="H91" s="128">
        <f t="shared" ref="H91:H97" si="21">DATEDIF(F91,G91,"m")</f>
        <v>6</v>
      </c>
      <c r="I91" s="62" t="s">
        <v>32</v>
      </c>
      <c r="J91" s="63" t="s">
        <v>158</v>
      </c>
      <c r="K91" s="210">
        <f>SUMIFS(H91:H98,I91:I98,"CUMPLE")</f>
        <v>21</v>
      </c>
      <c r="L91" s="203" t="s">
        <v>42</v>
      </c>
      <c r="M91" s="204" t="str">
        <f>IF(C91="","",IF(K91&gt;=60,IF(L91="CUMPLE","CUMPLE","NO CUMPLE"),"NO CUMPLE"))</f>
        <v>NO CUMPLE</v>
      </c>
      <c r="N91" s="211" t="s">
        <v>159</v>
      </c>
    </row>
    <row r="92" spans="1:14" ht="64.8" x14ac:dyDescent="0.25">
      <c r="A92" s="191"/>
      <c r="B92" s="194"/>
      <c r="C92" s="197"/>
      <c r="D92" s="197"/>
      <c r="E92" s="126" t="s">
        <v>160</v>
      </c>
      <c r="F92" s="15">
        <v>42753</v>
      </c>
      <c r="G92" s="15">
        <v>42933</v>
      </c>
      <c r="H92" s="129">
        <f t="shared" si="21"/>
        <v>5</v>
      </c>
      <c r="I92" s="57" t="s">
        <v>32</v>
      </c>
      <c r="J92" s="58" t="s">
        <v>158</v>
      </c>
      <c r="K92" s="201"/>
      <c r="L92" s="182"/>
      <c r="M92" s="185"/>
      <c r="N92" s="188"/>
    </row>
    <row r="93" spans="1:14" ht="64.8" x14ac:dyDescent="0.25">
      <c r="A93" s="191"/>
      <c r="B93" s="194"/>
      <c r="C93" s="197"/>
      <c r="D93" s="197"/>
      <c r="E93" s="126" t="s">
        <v>161</v>
      </c>
      <c r="F93" s="15">
        <v>43238</v>
      </c>
      <c r="G93" s="15">
        <v>43503</v>
      </c>
      <c r="H93" s="129">
        <f t="shared" si="21"/>
        <v>8</v>
      </c>
      <c r="I93" s="57" t="s">
        <v>32</v>
      </c>
      <c r="J93" s="58" t="s">
        <v>158</v>
      </c>
      <c r="K93" s="201"/>
      <c r="L93" s="182"/>
      <c r="M93" s="185"/>
      <c r="N93" s="188"/>
    </row>
    <row r="94" spans="1:14" ht="64.8" x14ac:dyDescent="0.25">
      <c r="A94" s="191"/>
      <c r="B94" s="194"/>
      <c r="C94" s="197"/>
      <c r="D94" s="197"/>
      <c r="E94" s="126" t="s">
        <v>162</v>
      </c>
      <c r="F94" s="15">
        <v>43556</v>
      </c>
      <c r="G94" s="15">
        <v>44119</v>
      </c>
      <c r="H94" s="129">
        <f t="shared" si="21"/>
        <v>18</v>
      </c>
      <c r="I94" s="57" t="s">
        <v>32</v>
      </c>
      <c r="J94" s="58" t="s">
        <v>158</v>
      </c>
      <c r="K94" s="201"/>
      <c r="L94" s="182"/>
      <c r="M94" s="185"/>
      <c r="N94" s="188"/>
    </row>
    <row r="95" spans="1:14" x14ac:dyDescent="0.25">
      <c r="A95" s="191"/>
      <c r="B95" s="194"/>
      <c r="C95" s="197"/>
      <c r="D95" s="197"/>
      <c r="E95" s="126" t="s">
        <v>163</v>
      </c>
      <c r="F95" s="15">
        <v>44358</v>
      </c>
      <c r="G95" s="15">
        <v>44869</v>
      </c>
      <c r="H95" s="129">
        <f t="shared" si="21"/>
        <v>16</v>
      </c>
      <c r="I95" s="57" t="s">
        <v>42</v>
      </c>
      <c r="J95" s="58"/>
      <c r="K95" s="201"/>
      <c r="L95" s="182"/>
      <c r="M95" s="185"/>
      <c r="N95" s="188"/>
    </row>
    <row r="96" spans="1:14" ht="64.8" x14ac:dyDescent="0.25">
      <c r="A96" s="191"/>
      <c r="B96" s="194"/>
      <c r="C96" s="197"/>
      <c r="D96" s="197"/>
      <c r="E96" s="126" t="s">
        <v>164</v>
      </c>
      <c r="F96" s="15">
        <v>44874</v>
      </c>
      <c r="G96" s="15">
        <v>45208</v>
      </c>
      <c r="H96" s="129">
        <f t="shared" si="21"/>
        <v>11</v>
      </c>
      <c r="I96" s="57" t="s">
        <v>32</v>
      </c>
      <c r="J96" s="58" t="s">
        <v>158</v>
      </c>
      <c r="K96" s="201"/>
      <c r="L96" s="182"/>
      <c r="M96" s="185"/>
      <c r="N96" s="188"/>
    </row>
    <row r="97" spans="1:14" ht="96" customHeight="1" x14ac:dyDescent="0.25">
      <c r="A97" s="191"/>
      <c r="B97" s="194"/>
      <c r="C97" s="197"/>
      <c r="D97" s="197"/>
      <c r="E97" s="126" t="s">
        <v>165</v>
      </c>
      <c r="F97" s="15">
        <v>45426</v>
      </c>
      <c r="G97" s="15">
        <v>45582</v>
      </c>
      <c r="H97" s="129">
        <f t="shared" si="21"/>
        <v>5</v>
      </c>
      <c r="I97" s="57" t="s">
        <v>42</v>
      </c>
      <c r="J97" s="58"/>
      <c r="K97" s="201"/>
      <c r="L97" s="182"/>
      <c r="M97" s="185"/>
      <c r="N97" s="188"/>
    </row>
    <row r="98" spans="1:14" ht="11.4" thickBot="1" x14ac:dyDescent="0.3">
      <c r="A98" s="192"/>
      <c r="B98" s="195"/>
      <c r="C98" s="198"/>
      <c r="D98" s="198"/>
      <c r="E98" s="127"/>
      <c r="F98" s="64"/>
      <c r="G98" s="64"/>
      <c r="H98" s="130">
        <f t="shared" ref="H98" si="22">DATEDIF(F98,G98,"m")</f>
        <v>0</v>
      </c>
      <c r="I98" s="66"/>
      <c r="J98" s="67"/>
      <c r="K98" s="202"/>
      <c r="L98" s="183"/>
      <c r="M98" s="186"/>
      <c r="N98" s="189"/>
    </row>
    <row r="99" spans="1:14" ht="48" customHeight="1" x14ac:dyDescent="0.25">
      <c r="A99" s="190">
        <v>13</v>
      </c>
      <c r="B99" s="193" t="str">
        <f>IF(Formato_9_Exp_Proponente!B98="","",Formato_9_Exp_Proponente!B98)</f>
        <v>ALIANZA INTEGRAL DE PROYECTOS SAS BIC: NIT 901.506.750-7</v>
      </c>
      <c r="C99" s="196" t="s">
        <v>166</v>
      </c>
      <c r="D99" s="199">
        <v>79486204</v>
      </c>
      <c r="E99" s="101" t="s">
        <v>167</v>
      </c>
      <c r="F99" s="121">
        <v>40955</v>
      </c>
      <c r="G99" s="121">
        <v>42411</v>
      </c>
      <c r="H99" s="122">
        <f>DATEDIF(F99,G99,"m")</f>
        <v>47</v>
      </c>
      <c r="I99" s="123" t="s">
        <v>42</v>
      </c>
      <c r="J99" s="120" t="s">
        <v>168</v>
      </c>
      <c r="K99" s="200">
        <f>SUMIFS(H99:H106,I99:I106,"CUMPLE")</f>
        <v>47</v>
      </c>
      <c r="L99" s="181" t="s">
        <v>42</v>
      </c>
      <c r="M99" s="184" t="str">
        <f>IF(C99="","",IF(K99&gt;=60,IF(L99="CUMPLE","CUMPLE","NO CUMPLE"),"NO CUMPLE"))</f>
        <v>NO CUMPLE</v>
      </c>
      <c r="N99" s="187" t="s">
        <v>137</v>
      </c>
    </row>
    <row r="100" spans="1:14" ht="37.5" customHeight="1" x14ac:dyDescent="0.25">
      <c r="A100" s="191"/>
      <c r="B100" s="194"/>
      <c r="C100" s="197"/>
      <c r="D100" s="197"/>
      <c r="E100" s="8"/>
      <c r="F100" s="15"/>
      <c r="G100" s="15"/>
      <c r="H100" s="56">
        <f t="shared" ref="H100:H103" si="23">DATEDIF(F100,G100,"m")</f>
        <v>0</v>
      </c>
      <c r="I100" s="57"/>
      <c r="J100" s="58"/>
      <c r="K100" s="201"/>
      <c r="L100" s="182"/>
      <c r="M100" s="185"/>
      <c r="N100" s="188"/>
    </row>
    <row r="101" spans="1:14" x14ac:dyDescent="0.25">
      <c r="A101" s="191"/>
      <c r="B101" s="194"/>
      <c r="C101" s="197"/>
      <c r="D101" s="197"/>
      <c r="E101" s="8"/>
      <c r="F101" s="15"/>
      <c r="G101" s="15"/>
      <c r="H101" s="56">
        <f t="shared" si="23"/>
        <v>0</v>
      </c>
      <c r="I101" s="57"/>
      <c r="J101" s="58"/>
      <c r="K101" s="201"/>
      <c r="L101" s="182"/>
      <c r="M101" s="185"/>
      <c r="N101" s="188"/>
    </row>
    <row r="102" spans="1:14" x14ac:dyDescent="0.25">
      <c r="A102" s="191"/>
      <c r="B102" s="194"/>
      <c r="C102" s="197"/>
      <c r="D102" s="197"/>
      <c r="E102" s="8"/>
      <c r="F102" s="15"/>
      <c r="G102" s="15"/>
      <c r="H102" s="56">
        <f t="shared" si="23"/>
        <v>0</v>
      </c>
      <c r="I102" s="57"/>
      <c r="J102" s="58"/>
      <c r="K102" s="201"/>
      <c r="L102" s="182"/>
      <c r="M102" s="185"/>
      <c r="N102" s="188"/>
    </row>
    <row r="103" spans="1:14" x14ac:dyDescent="0.25">
      <c r="A103" s="191"/>
      <c r="B103" s="194"/>
      <c r="C103" s="197"/>
      <c r="D103" s="197"/>
      <c r="E103" s="8"/>
      <c r="F103" s="15"/>
      <c r="G103" s="15"/>
      <c r="H103" s="56">
        <f t="shared" si="23"/>
        <v>0</v>
      </c>
      <c r="I103" s="57"/>
      <c r="J103" s="58"/>
      <c r="K103" s="201"/>
      <c r="L103" s="182"/>
      <c r="M103" s="185"/>
      <c r="N103" s="188"/>
    </row>
    <row r="104" spans="1:14" x14ac:dyDescent="0.25">
      <c r="A104" s="191"/>
      <c r="B104" s="194"/>
      <c r="C104" s="197"/>
      <c r="D104" s="197"/>
      <c r="E104" s="8"/>
      <c r="F104" s="15"/>
      <c r="G104" s="15"/>
      <c r="H104" s="56">
        <f>DATEDIF(F104,G104,"m")</f>
        <v>0</v>
      </c>
      <c r="I104" s="57"/>
      <c r="J104" s="58"/>
      <c r="K104" s="201"/>
      <c r="L104" s="182"/>
      <c r="M104" s="185"/>
      <c r="N104" s="188"/>
    </row>
    <row r="105" spans="1:14" x14ac:dyDescent="0.25">
      <c r="A105" s="191"/>
      <c r="B105" s="194"/>
      <c r="C105" s="197"/>
      <c r="D105" s="197"/>
      <c r="E105" s="8"/>
      <c r="F105" s="15"/>
      <c r="G105" s="15"/>
      <c r="H105" s="56">
        <f t="shared" ref="H105:H106" si="24">DATEDIF(F105,G105,"m")</f>
        <v>0</v>
      </c>
      <c r="I105" s="57"/>
      <c r="J105" s="58"/>
      <c r="K105" s="201"/>
      <c r="L105" s="182"/>
      <c r="M105" s="185"/>
      <c r="N105" s="188"/>
    </row>
    <row r="106" spans="1:14" ht="11.4" thickBot="1" x14ac:dyDescent="0.3">
      <c r="A106" s="192"/>
      <c r="B106" s="195"/>
      <c r="C106" s="198"/>
      <c r="D106" s="198"/>
      <c r="E106" s="31"/>
      <c r="F106" s="64"/>
      <c r="G106" s="64"/>
      <c r="H106" s="65">
        <f t="shared" si="24"/>
        <v>0</v>
      </c>
      <c r="I106" s="66"/>
      <c r="J106" s="67"/>
      <c r="K106" s="202"/>
      <c r="L106" s="183"/>
      <c r="M106" s="186"/>
      <c r="N106" s="189"/>
    </row>
  </sheetData>
  <sheetProtection algorithmName="SHA-512" hashValue="wPkloVSCTjICDD3HiebiwuRnVpP/7wnwab7Lh+JignvhcIapsOWCNYlDqLbZsI2Rq1+P8MVKnlTLDnTTcTjgvA==" saltValue="fRKB+HRabqNIuXOT72bCzw==" spinCount="100000" sheet="1" objects="1" scenarios="1"/>
  <sortState xmlns:xlrd2="http://schemas.microsoft.com/office/spreadsheetml/2017/richdata2" ref="E91:J97">
    <sortCondition ref="F91:F97"/>
  </sortState>
  <mergeCells count="116">
    <mergeCell ref="L67:L74"/>
    <mergeCell ref="M67:M74"/>
    <mergeCell ref="N67:N74"/>
    <mergeCell ref="A75:A82"/>
    <mergeCell ref="B75:B82"/>
    <mergeCell ref="C75:C82"/>
    <mergeCell ref="D75:D82"/>
    <mergeCell ref="K75:K82"/>
    <mergeCell ref="L75:L82"/>
    <mergeCell ref="M75:M82"/>
    <mergeCell ref="N75:N82"/>
    <mergeCell ref="A67:A74"/>
    <mergeCell ref="B67:B74"/>
    <mergeCell ref="C67:C74"/>
    <mergeCell ref="D67:D74"/>
    <mergeCell ref="K67:K74"/>
    <mergeCell ref="L51:L58"/>
    <mergeCell ref="M51:M58"/>
    <mergeCell ref="N51:N58"/>
    <mergeCell ref="A59:A66"/>
    <mergeCell ref="B59:B66"/>
    <mergeCell ref="C59:C66"/>
    <mergeCell ref="D59:D66"/>
    <mergeCell ref="K59:K66"/>
    <mergeCell ref="L59:L66"/>
    <mergeCell ref="M59:M66"/>
    <mergeCell ref="N59:N66"/>
    <mergeCell ref="A51:A58"/>
    <mergeCell ref="B51:B58"/>
    <mergeCell ref="C51:C58"/>
    <mergeCell ref="D51:D58"/>
    <mergeCell ref="K51:K58"/>
    <mergeCell ref="M11:M18"/>
    <mergeCell ref="M3:M10"/>
    <mergeCell ref="N3:N10"/>
    <mergeCell ref="L1:L2"/>
    <mergeCell ref="L35:L42"/>
    <mergeCell ref="M35:M42"/>
    <mergeCell ref="N35:N42"/>
    <mergeCell ref="A43:A50"/>
    <mergeCell ref="B43:B50"/>
    <mergeCell ref="C43:C50"/>
    <mergeCell ref="D43:D50"/>
    <mergeCell ref="K43:K50"/>
    <mergeCell ref="L43:L50"/>
    <mergeCell ref="M43:M50"/>
    <mergeCell ref="N43:N50"/>
    <mergeCell ref="A35:A42"/>
    <mergeCell ref="B35:B42"/>
    <mergeCell ref="C35:C42"/>
    <mergeCell ref="D35:D42"/>
    <mergeCell ref="K35:K42"/>
    <mergeCell ref="L19:L26"/>
    <mergeCell ref="M19:M26"/>
    <mergeCell ref="N19:N26"/>
    <mergeCell ref="A27:A34"/>
    <mergeCell ref="B27:B34"/>
    <mergeCell ref="C27:C34"/>
    <mergeCell ref="D27:D34"/>
    <mergeCell ref="K27:K34"/>
    <mergeCell ref="L27:L34"/>
    <mergeCell ref="M27:M34"/>
    <mergeCell ref="N27:N34"/>
    <mergeCell ref="A19:A26"/>
    <mergeCell ref="B19:B26"/>
    <mergeCell ref="C19:C26"/>
    <mergeCell ref="D19:D26"/>
    <mergeCell ref="K19:K26"/>
    <mergeCell ref="N11:N18"/>
    <mergeCell ref="M1:N1"/>
    <mergeCell ref="L3:L10"/>
    <mergeCell ref="A3:A10"/>
    <mergeCell ref="B3:B10"/>
    <mergeCell ref="C3:C10"/>
    <mergeCell ref="D3:D10"/>
    <mergeCell ref="K3:K10"/>
    <mergeCell ref="F1:G1"/>
    <mergeCell ref="J1:J2"/>
    <mergeCell ref="A1:A2"/>
    <mergeCell ref="B1:B2"/>
    <mergeCell ref="C1:C2"/>
    <mergeCell ref="D1:D2"/>
    <mergeCell ref="E1:E2"/>
    <mergeCell ref="H1:H2"/>
    <mergeCell ref="L11:L18"/>
    <mergeCell ref="A11:A18"/>
    <mergeCell ref="B11:B18"/>
    <mergeCell ref="C11:C18"/>
    <mergeCell ref="D11:D18"/>
    <mergeCell ref="K11:K18"/>
    <mergeCell ref="I1:I2"/>
    <mergeCell ref="K1:K2"/>
    <mergeCell ref="L99:L106"/>
    <mergeCell ref="M99:M106"/>
    <mergeCell ref="N99:N106"/>
    <mergeCell ref="A99:A106"/>
    <mergeCell ref="B99:B106"/>
    <mergeCell ref="C99:C106"/>
    <mergeCell ref="D99:D106"/>
    <mergeCell ref="K99:K106"/>
    <mergeCell ref="L83:L90"/>
    <mergeCell ref="M83:M90"/>
    <mergeCell ref="N83:N90"/>
    <mergeCell ref="A91:A98"/>
    <mergeCell ref="B91:B98"/>
    <mergeCell ref="C91:C98"/>
    <mergeCell ref="D91:D98"/>
    <mergeCell ref="K91:K98"/>
    <mergeCell ref="L91:L98"/>
    <mergeCell ref="M91:M98"/>
    <mergeCell ref="N91:N98"/>
    <mergeCell ref="A83:A90"/>
    <mergeCell ref="B83:B90"/>
    <mergeCell ref="C83:C90"/>
    <mergeCell ref="D83:D90"/>
    <mergeCell ref="K83:K90"/>
  </mergeCells>
  <phoneticPr fontId="10" type="noConversion"/>
  <conditionalFormatting sqref="A3:D3 K3">
    <cfRule type="cellIs" dxfId="69" priority="283" operator="equal">
      <formula>"NO CUMPLE"</formula>
    </cfRule>
    <cfRule type="cellIs" dxfId="68" priority="282" operator="equal">
      <formula>"NO HABILITADO"</formula>
    </cfRule>
  </conditionalFormatting>
  <conditionalFormatting sqref="A11:D11 K11:L11">
    <cfRule type="cellIs" dxfId="67" priority="30" operator="equal">
      <formula>"NO CUMPLE"</formula>
    </cfRule>
    <cfRule type="cellIs" dxfId="66" priority="29" operator="equal">
      <formula>"NO HABILITADO"</formula>
    </cfRule>
  </conditionalFormatting>
  <conditionalFormatting sqref="A19:D19 K19:L19">
    <cfRule type="cellIs" dxfId="65" priority="28" operator="equal">
      <formula>"NO CUMPLE"</formula>
    </cfRule>
    <cfRule type="cellIs" dxfId="64" priority="27" operator="equal">
      <formula>"NO HABILITADO"</formula>
    </cfRule>
  </conditionalFormatting>
  <conditionalFormatting sqref="A27:D27 K27:L27">
    <cfRule type="cellIs" dxfId="63" priority="26" operator="equal">
      <formula>"NO CUMPLE"</formula>
    </cfRule>
    <cfRule type="cellIs" dxfId="62" priority="25" operator="equal">
      <formula>"NO HABILITADO"</formula>
    </cfRule>
  </conditionalFormatting>
  <conditionalFormatting sqref="A35:D35 K35:L35">
    <cfRule type="cellIs" dxfId="61" priority="24" operator="equal">
      <formula>"NO CUMPLE"</formula>
    </cfRule>
    <cfRule type="cellIs" dxfId="60" priority="23" operator="equal">
      <formula>"NO HABILITADO"</formula>
    </cfRule>
  </conditionalFormatting>
  <conditionalFormatting sqref="A43:D43 K43">
    <cfRule type="cellIs" dxfId="59" priority="22" operator="equal">
      <formula>"NO CUMPLE"</formula>
    </cfRule>
    <cfRule type="cellIs" dxfId="58" priority="21" operator="equal">
      <formula>"NO HABILITADO"</formula>
    </cfRule>
  </conditionalFormatting>
  <conditionalFormatting sqref="A51:D51 K51:L51">
    <cfRule type="cellIs" dxfId="57" priority="19" operator="equal">
      <formula>"NO HABILITADO"</formula>
    </cfRule>
    <cfRule type="cellIs" dxfId="56" priority="20" operator="equal">
      <formula>"NO CUMPLE"</formula>
    </cfRule>
  </conditionalFormatting>
  <conditionalFormatting sqref="A59:D59 K59:L59">
    <cfRule type="cellIs" dxfId="55" priority="18" operator="equal">
      <formula>"NO CUMPLE"</formula>
    </cfRule>
    <cfRule type="cellIs" dxfId="54" priority="17" operator="equal">
      <formula>"NO HABILITADO"</formula>
    </cfRule>
  </conditionalFormatting>
  <conditionalFormatting sqref="A67:D67 K67:L67">
    <cfRule type="cellIs" dxfId="53" priority="16" operator="equal">
      <formula>"NO CUMPLE"</formula>
    </cfRule>
    <cfRule type="cellIs" dxfId="52" priority="15" operator="equal">
      <formula>"NO HABILITADO"</formula>
    </cfRule>
  </conditionalFormatting>
  <conditionalFormatting sqref="A75:D75 K75:L75">
    <cfRule type="cellIs" dxfId="51" priority="14" operator="equal">
      <formula>"NO CUMPLE"</formula>
    </cfRule>
    <cfRule type="cellIs" dxfId="50" priority="13" operator="equal">
      <formula>"NO HABILITADO"</formula>
    </cfRule>
  </conditionalFormatting>
  <conditionalFormatting sqref="A83:D83 K83:L83">
    <cfRule type="cellIs" dxfId="49" priority="12" operator="equal">
      <formula>"NO CUMPLE"</formula>
    </cfRule>
    <cfRule type="cellIs" dxfId="48" priority="11" operator="equal">
      <formula>"NO HABILITADO"</formula>
    </cfRule>
  </conditionalFormatting>
  <conditionalFormatting sqref="A91:D91 K91:L91">
    <cfRule type="cellIs" dxfId="47" priority="10" operator="equal">
      <formula>"NO CUMPLE"</formula>
    </cfRule>
    <cfRule type="cellIs" dxfId="46" priority="9" operator="equal">
      <formula>"NO HABILITADO"</formula>
    </cfRule>
  </conditionalFormatting>
  <conditionalFormatting sqref="A99:D99 K99:L99">
    <cfRule type="cellIs" dxfId="45" priority="7" operator="equal">
      <formula>"NO HABILITADO"</formula>
    </cfRule>
    <cfRule type="cellIs" dxfId="44" priority="8" operator="equal">
      <formula>"NO CUMPLE"</formula>
    </cfRule>
  </conditionalFormatting>
  <conditionalFormatting sqref="E3:E106">
    <cfRule type="cellIs" dxfId="43" priority="277" operator="equal">
      <formula>"NO HABILITADO"</formula>
    </cfRule>
    <cfRule type="cellIs" dxfId="42" priority="278" operator="equal">
      <formula>"NO CUMPLE"</formula>
    </cfRule>
  </conditionalFormatting>
  <conditionalFormatting sqref="H3:J106">
    <cfRule type="cellIs" dxfId="41" priority="2" operator="equal">
      <formula>"NO CUMPLE"</formula>
    </cfRule>
    <cfRule type="cellIs" dxfId="40" priority="1" operator="equal">
      <formula>"NO HABILITADO"</formula>
    </cfRule>
  </conditionalFormatting>
  <conditionalFormatting sqref="H1:K1 M1:N1 A1:E2 L1:L2 F2:H2">
    <cfRule type="cellIs" dxfId="39" priority="279" operator="equal">
      <formula>"RECHAZADO"</formula>
    </cfRule>
  </conditionalFormatting>
  <conditionalFormatting sqref="L3:L10">
    <cfRule type="expression" dxfId="38" priority="4">
      <formula>L3="NO CUMPLE"</formula>
    </cfRule>
  </conditionalFormatting>
  <conditionalFormatting sqref="L43:L50">
    <cfRule type="expression" dxfId="37" priority="3">
      <formula>L43="NO CUMPLE"</formula>
    </cfRule>
  </conditionalFormatting>
  <conditionalFormatting sqref="M3:M106">
    <cfRule type="expression" dxfId="36" priority="113">
      <formula>M3="NO CUMPLE"</formula>
    </cfRule>
  </conditionalFormatting>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E00665BF-693C-4CF7-B2D9-692FCBBB4C1F}">
          <x14:formula1>
            <xm:f>Listados!$H$3:$H$4</xm:f>
          </x14:formula1>
          <xm:sqref>L3 L11 L19 L27 L35 L43 L51 L59 L67 L75 L83 L91 L99 I3:I106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88A7F-E6EC-4BD7-994A-76F1C178CCD5}">
  <sheetPr codeName="Hoja4">
    <tabColor rgb="FF92D050"/>
  </sheetPr>
  <dimension ref="A1:N110"/>
  <sheetViews>
    <sheetView zoomScale="90" zoomScaleNormal="90" workbookViewId="0">
      <pane xSplit="2" ySplit="2" topLeftCell="J58" activePane="bottomRight" state="frozen"/>
      <selection pane="topRight"/>
      <selection pane="bottomLeft"/>
      <selection pane="bottomRight" activeCell="M67" sqref="M67:M74"/>
    </sheetView>
  </sheetViews>
  <sheetFormatPr baseColWidth="10" defaultColWidth="25.109375" defaultRowHeight="10.8" x14ac:dyDescent="0.25"/>
  <cols>
    <col min="1" max="1" width="12.6640625" style="22" customWidth="1"/>
    <col min="2" max="2" width="20.44140625" style="70" customWidth="1"/>
    <col min="3" max="3" width="19.88671875" style="22" customWidth="1"/>
    <col min="4" max="4" width="14.88671875" style="22" customWidth="1"/>
    <col min="5" max="5" width="35.33203125" style="41" customWidth="1"/>
    <col min="6" max="6" width="10.44140625" style="69" bestFit="1" customWidth="1"/>
    <col min="7" max="7" width="9.33203125" style="69" bestFit="1" customWidth="1"/>
    <col min="8" max="8" width="16" style="71" bestFit="1" customWidth="1"/>
    <col min="9" max="9" width="17" style="42" customWidth="1"/>
    <col min="10" max="10" width="59" style="42" customWidth="1"/>
    <col min="11" max="11" width="17.44140625" style="72" customWidth="1"/>
    <col min="12" max="12" width="17.44140625" style="22" customWidth="1"/>
    <col min="13" max="13" width="23.33203125" style="72" customWidth="1"/>
    <col min="14" max="14" width="46" style="22" customWidth="1"/>
    <col min="15" max="16384" width="25.109375" style="22"/>
  </cols>
  <sheetData>
    <row r="1" spans="1:14" ht="31.5" customHeight="1" x14ac:dyDescent="0.25">
      <c r="A1" s="221" t="s">
        <v>95</v>
      </c>
      <c r="B1" s="240" t="s">
        <v>1</v>
      </c>
      <c r="C1" s="221" t="s">
        <v>169</v>
      </c>
      <c r="D1" s="221" t="s">
        <v>97</v>
      </c>
      <c r="E1" s="221" t="s">
        <v>98</v>
      </c>
      <c r="F1" s="217" t="s">
        <v>170</v>
      </c>
      <c r="G1" s="218"/>
      <c r="H1" s="240" t="s">
        <v>100</v>
      </c>
      <c r="I1" s="219" t="s">
        <v>101</v>
      </c>
      <c r="J1" s="219" t="s">
        <v>102</v>
      </c>
      <c r="K1" s="241" t="s">
        <v>171</v>
      </c>
      <c r="L1" s="221" t="s">
        <v>104</v>
      </c>
      <c r="M1" s="212" t="s">
        <v>172</v>
      </c>
      <c r="N1" s="213"/>
    </row>
    <row r="2" spans="1:14" ht="30" customHeight="1" x14ac:dyDescent="0.25">
      <c r="A2" s="219"/>
      <c r="B2" s="241"/>
      <c r="C2" s="219"/>
      <c r="D2" s="219"/>
      <c r="E2" s="219"/>
      <c r="F2" s="68" t="s">
        <v>106</v>
      </c>
      <c r="G2" s="68" t="s">
        <v>107</v>
      </c>
      <c r="H2" s="241"/>
      <c r="I2" s="220"/>
      <c r="J2" s="220"/>
      <c r="K2" s="242"/>
      <c r="L2" s="219"/>
      <c r="M2" s="54" t="s">
        <v>108</v>
      </c>
      <c r="N2" s="55" t="s">
        <v>94</v>
      </c>
    </row>
    <row r="3" spans="1:14" ht="76.5" customHeight="1" x14ac:dyDescent="0.25">
      <c r="A3" s="206">
        <v>1</v>
      </c>
      <c r="B3" s="207" t="str">
        <f>IF(Formato_9_Exp_Proponente!B2="","",Formato_9_Exp_Proponente!B2)</f>
        <v>ARES SECURITY LTDA: NIT 900.599.147-1</v>
      </c>
      <c r="C3" s="208" t="s">
        <v>173</v>
      </c>
      <c r="D3" s="209" t="s">
        <v>174</v>
      </c>
      <c r="E3" s="10" t="s">
        <v>175</v>
      </c>
      <c r="F3" s="60"/>
      <c r="G3" s="60"/>
      <c r="H3" s="61">
        <f>DATEDIF(F3,G3,"m")</f>
        <v>0</v>
      </c>
      <c r="I3" s="62" t="s">
        <v>32</v>
      </c>
      <c r="J3" s="63" t="s">
        <v>265</v>
      </c>
      <c r="K3" s="210">
        <f>SUMIFS(H3:H10,I3:I10,"CUMPLE")</f>
        <v>0</v>
      </c>
      <c r="L3" s="214" t="s">
        <v>32</v>
      </c>
      <c r="M3" s="204" t="str">
        <f>IF(C3="","",IF(K3&gt;=48,IF(L3="CUMPLE","CUMPLE","NO CUMPLE"),"NO CUMPLE"))</f>
        <v>NO CUMPLE</v>
      </c>
      <c r="N3" s="237" t="s">
        <v>266</v>
      </c>
    </row>
    <row r="4" spans="1:14" ht="66" customHeight="1" x14ac:dyDescent="0.25">
      <c r="A4" s="191"/>
      <c r="B4" s="194"/>
      <c r="C4" s="197"/>
      <c r="D4" s="197"/>
      <c r="E4" s="8" t="s">
        <v>176</v>
      </c>
      <c r="F4" s="15"/>
      <c r="G4" s="15"/>
      <c r="H4" s="56">
        <f t="shared" ref="H4:H10" si="0">DATEDIF(F4,G4,"m")</f>
        <v>0</v>
      </c>
      <c r="I4" s="57" t="s">
        <v>32</v>
      </c>
      <c r="J4" s="119" t="s">
        <v>114</v>
      </c>
      <c r="K4" s="201"/>
      <c r="L4" s="215"/>
      <c r="M4" s="185"/>
      <c r="N4" s="238"/>
    </row>
    <row r="5" spans="1:14" ht="75.75" customHeight="1" x14ac:dyDescent="0.25">
      <c r="A5" s="191"/>
      <c r="B5" s="194"/>
      <c r="C5" s="197"/>
      <c r="D5" s="197"/>
      <c r="E5" s="8" t="s">
        <v>177</v>
      </c>
      <c r="F5" s="15"/>
      <c r="G5" s="15"/>
      <c r="H5" s="56">
        <f t="shared" si="0"/>
        <v>0</v>
      </c>
      <c r="I5" s="57" t="s">
        <v>32</v>
      </c>
      <c r="J5" s="119" t="s">
        <v>114</v>
      </c>
      <c r="K5" s="201"/>
      <c r="L5" s="215"/>
      <c r="M5" s="185"/>
      <c r="N5" s="238"/>
    </row>
    <row r="6" spans="1:14" ht="15" customHeight="1" x14ac:dyDescent="0.25">
      <c r="A6" s="191"/>
      <c r="B6" s="194"/>
      <c r="C6" s="197"/>
      <c r="D6" s="197"/>
      <c r="E6" s="8"/>
      <c r="F6" s="15"/>
      <c r="G6" s="15"/>
      <c r="H6" s="56">
        <f t="shared" si="0"/>
        <v>0</v>
      </c>
      <c r="I6" s="57"/>
      <c r="J6" s="58"/>
      <c r="K6" s="201"/>
      <c r="L6" s="215"/>
      <c r="M6" s="185"/>
      <c r="N6" s="238"/>
    </row>
    <row r="7" spans="1:14" ht="15" customHeight="1" x14ac:dyDescent="0.25">
      <c r="A7" s="191"/>
      <c r="B7" s="194"/>
      <c r="C7" s="197"/>
      <c r="D7" s="197"/>
      <c r="E7" s="8"/>
      <c r="F7" s="15"/>
      <c r="G7" s="15"/>
      <c r="H7" s="56">
        <f t="shared" si="0"/>
        <v>0</v>
      </c>
      <c r="I7" s="57"/>
      <c r="J7" s="58"/>
      <c r="K7" s="201"/>
      <c r="L7" s="215"/>
      <c r="M7" s="185"/>
      <c r="N7" s="238"/>
    </row>
    <row r="8" spans="1:14" ht="15" customHeight="1" x14ac:dyDescent="0.25">
      <c r="A8" s="191"/>
      <c r="B8" s="194"/>
      <c r="C8" s="197"/>
      <c r="D8" s="197"/>
      <c r="E8" s="8"/>
      <c r="F8" s="15"/>
      <c r="G8" s="15"/>
      <c r="H8" s="56">
        <f t="shared" si="0"/>
        <v>0</v>
      </c>
      <c r="I8" s="57"/>
      <c r="J8" s="58"/>
      <c r="K8" s="201"/>
      <c r="L8" s="215"/>
      <c r="M8" s="185"/>
      <c r="N8" s="238"/>
    </row>
    <row r="9" spans="1:14" ht="15" customHeight="1" x14ac:dyDescent="0.25">
      <c r="A9" s="191"/>
      <c r="B9" s="194"/>
      <c r="C9" s="197"/>
      <c r="D9" s="197"/>
      <c r="E9" s="8"/>
      <c r="F9" s="15"/>
      <c r="G9" s="15"/>
      <c r="H9" s="56">
        <f t="shared" si="0"/>
        <v>0</v>
      </c>
      <c r="I9" s="57"/>
      <c r="J9" s="58"/>
      <c r="K9" s="201"/>
      <c r="L9" s="215"/>
      <c r="M9" s="185"/>
      <c r="N9" s="238"/>
    </row>
    <row r="10" spans="1:14" ht="15.75" customHeight="1" x14ac:dyDescent="0.25">
      <c r="A10" s="192"/>
      <c r="B10" s="195"/>
      <c r="C10" s="198"/>
      <c r="D10" s="198"/>
      <c r="E10" s="31"/>
      <c r="F10" s="64"/>
      <c r="G10" s="64"/>
      <c r="H10" s="65">
        <f t="shared" si="0"/>
        <v>0</v>
      </c>
      <c r="I10" s="66"/>
      <c r="J10" s="67"/>
      <c r="K10" s="202"/>
      <c r="L10" s="216"/>
      <c r="M10" s="186"/>
      <c r="N10" s="239"/>
    </row>
    <row r="11" spans="1:14" ht="65.400000000000006" customHeight="1" x14ac:dyDescent="0.25">
      <c r="A11" s="190">
        <v>2</v>
      </c>
      <c r="B11" s="193" t="str">
        <f>IF(Formato_9_Exp_Proponente!B10="","",Formato_9_Exp_Proponente!B10)</f>
        <v>GERMAN MONTENEGRO FAJARDO AUDITORES &amp; ASESORES S.A.S. BIC 900.335.334-8</v>
      </c>
      <c r="C11" s="196" t="s">
        <v>178</v>
      </c>
      <c r="D11" s="199" t="s">
        <v>179</v>
      </c>
      <c r="E11" s="101" t="s">
        <v>118</v>
      </c>
      <c r="F11" s="121">
        <v>42483</v>
      </c>
      <c r="G11" s="121">
        <v>45576</v>
      </c>
      <c r="H11" s="122">
        <f>DATEDIF(F11,G11,"m")</f>
        <v>101</v>
      </c>
      <c r="I11" s="123" t="s">
        <v>42</v>
      </c>
      <c r="J11" s="120"/>
      <c r="K11" s="200">
        <f>SUMIFS(H11:H18,I11:I18,"CUMPLE")</f>
        <v>101</v>
      </c>
      <c r="L11" s="181" t="s">
        <v>42</v>
      </c>
      <c r="M11" s="184" t="str">
        <f>IF(C11="","",IF(K11&gt;=48,IF(L11="CUMPLE","CUMPLE","NO CUMPLE"),"NO CUMPLE"))</f>
        <v>CUMPLE</v>
      </c>
      <c r="N11" s="187"/>
    </row>
    <row r="12" spans="1:14" x14ac:dyDescent="0.25">
      <c r="A12" s="191"/>
      <c r="B12" s="194"/>
      <c r="C12" s="197"/>
      <c r="D12" s="197"/>
      <c r="E12" s="8"/>
      <c r="F12" s="15"/>
      <c r="G12" s="15"/>
      <c r="H12" s="56">
        <f t="shared" ref="H12:H18" si="1">DATEDIF(F12,G12,"m")</f>
        <v>0</v>
      </c>
      <c r="I12" s="57"/>
      <c r="J12" s="58"/>
      <c r="K12" s="201"/>
      <c r="L12" s="182"/>
      <c r="M12" s="185"/>
      <c r="N12" s="188"/>
    </row>
    <row r="13" spans="1:14" x14ac:dyDescent="0.25">
      <c r="A13" s="191"/>
      <c r="B13" s="194"/>
      <c r="C13" s="197"/>
      <c r="D13" s="197"/>
      <c r="E13" s="8"/>
      <c r="F13" s="15"/>
      <c r="G13" s="15"/>
      <c r="H13" s="56">
        <f t="shared" si="1"/>
        <v>0</v>
      </c>
      <c r="I13" s="57"/>
      <c r="J13" s="58"/>
      <c r="K13" s="201"/>
      <c r="L13" s="182"/>
      <c r="M13" s="185"/>
      <c r="N13" s="188"/>
    </row>
    <row r="14" spans="1:14" x14ac:dyDescent="0.25">
      <c r="A14" s="191"/>
      <c r="B14" s="194"/>
      <c r="C14" s="197"/>
      <c r="D14" s="197"/>
      <c r="E14" s="8"/>
      <c r="F14" s="15"/>
      <c r="G14" s="15"/>
      <c r="H14" s="56">
        <f t="shared" si="1"/>
        <v>0</v>
      </c>
      <c r="I14" s="57"/>
      <c r="J14" s="58"/>
      <c r="K14" s="201"/>
      <c r="L14" s="182"/>
      <c r="M14" s="185"/>
      <c r="N14" s="188"/>
    </row>
    <row r="15" spans="1:14" x14ac:dyDescent="0.25">
      <c r="A15" s="191"/>
      <c r="B15" s="194"/>
      <c r="C15" s="197"/>
      <c r="D15" s="197"/>
      <c r="E15" s="8"/>
      <c r="F15" s="15"/>
      <c r="G15" s="15"/>
      <c r="H15" s="56">
        <f t="shared" si="1"/>
        <v>0</v>
      </c>
      <c r="I15" s="57"/>
      <c r="J15" s="58"/>
      <c r="K15" s="201"/>
      <c r="L15" s="182"/>
      <c r="M15" s="185"/>
      <c r="N15" s="188"/>
    </row>
    <row r="16" spans="1:14" x14ac:dyDescent="0.25">
      <c r="A16" s="191"/>
      <c r="B16" s="194"/>
      <c r="C16" s="197"/>
      <c r="D16" s="197"/>
      <c r="E16" s="8"/>
      <c r="F16" s="15"/>
      <c r="G16" s="15"/>
      <c r="H16" s="56">
        <f t="shared" si="1"/>
        <v>0</v>
      </c>
      <c r="I16" s="57"/>
      <c r="J16" s="58"/>
      <c r="K16" s="201"/>
      <c r="L16" s="182"/>
      <c r="M16" s="185"/>
      <c r="N16" s="188"/>
    </row>
    <row r="17" spans="1:14" x14ac:dyDescent="0.25">
      <c r="A17" s="191"/>
      <c r="B17" s="194"/>
      <c r="C17" s="197"/>
      <c r="D17" s="197"/>
      <c r="E17" s="8"/>
      <c r="F17" s="15"/>
      <c r="G17" s="15"/>
      <c r="H17" s="56">
        <f t="shared" si="1"/>
        <v>0</v>
      </c>
      <c r="I17" s="57"/>
      <c r="J17" s="58"/>
      <c r="K17" s="201"/>
      <c r="L17" s="182"/>
      <c r="M17" s="185"/>
      <c r="N17" s="188"/>
    </row>
    <row r="18" spans="1:14" ht="11.4" thickBot="1" x14ac:dyDescent="0.3">
      <c r="A18" s="192"/>
      <c r="B18" s="195"/>
      <c r="C18" s="198"/>
      <c r="D18" s="198"/>
      <c r="E18" s="31"/>
      <c r="F18" s="64"/>
      <c r="G18" s="64"/>
      <c r="H18" s="65">
        <f t="shared" si="1"/>
        <v>0</v>
      </c>
      <c r="I18" s="66"/>
      <c r="J18" s="67"/>
      <c r="K18" s="202"/>
      <c r="L18" s="183"/>
      <c r="M18" s="186"/>
      <c r="N18" s="189"/>
    </row>
    <row r="19" spans="1:14" ht="10.95" customHeight="1" x14ac:dyDescent="0.25">
      <c r="A19" s="206">
        <v>3</v>
      </c>
      <c r="B19" s="207" t="str">
        <f>IF(Formato_9_Exp_Proponente!B18="","",Formato_9_Exp_Proponente!B18)</f>
        <v>JFS CONSULTORES S.A.S. -BIC 901.542.814-2</v>
      </c>
      <c r="C19" s="208" t="s">
        <v>180</v>
      </c>
      <c r="D19" s="209">
        <v>79434669</v>
      </c>
      <c r="E19" s="10" t="s">
        <v>181</v>
      </c>
      <c r="F19" s="60">
        <v>37861</v>
      </c>
      <c r="G19" s="60">
        <v>39995</v>
      </c>
      <c r="H19" s="61">
        <f>DATEDIF(F19,G19,"m")</f>
        <v>70</v>
      </c>
      <c r="I19" s="62" t="s">
        <v>42</v>
      </c>
      <c r="J19" s="63"/>
      <c r="K19" s="210">
        <f>SUMIFS(H19:H26,I19:I26,"CUMPLE")</f>
        <v>81</v>
      </c>
      <c r="L19" s="203" t="s">
        <v>42</v>
      </c>
      <c r="M19" s="204" t="str">
        <f>IF(C19="","",IF(K19&gt;=48,IF(L19="CUMPLE","CUMPLE","NO CUMPLE"),"NO CUMPLE"))</f>
        <v>CUMPLE</v>
      </c>
      <c r="N19" s="211"/>
    </row>
    <row r="20" spans="1:14" x14ac:dyDescent="0.25">
      <c r="A20" s="191"/>
      <c r="B20" s="194"/>
      <c r="C20" s="197"/>
      <c r="D20" s="197"/>
      <c r="E20" s="8" t="s">
        <v>182</v>
      </c>
      <c r="F20" s="15">
        <v>40332</v>
      </c>
      <c r="G20" s="15">
        <v>40696</v>
      </c>
      <c r="H20" s="56">
        <f t="shared" ref="H20:H26" si="2">DATEDIF(F20,G20,"m")</f>
        <v>11</v>
      </c>
      <c r="I20" s="57" t="s">
        <v>42</v>
      </c>
      <c r="J20" s="58"/>
      <c r="K20" s="201"/>
      <c r="L20" s="182"/>
      <c r="M20" s="185"/>
      <c r="N20" s="188"/>
    </row>
    <row r="21" spans="1:14" x14ac:dyDescent="0.25">
      <c r="A21" s="191"/>
      <c r="B21" s="194"/>
      <c r="C21" s="197"/>
      <c r="D21" s="197"/>
      <c r="E21" s="8"/>
      <c r="F21" s="15"/>
      <c r="G21" s="15"/>
      <c r="H21" s="56">
        <f t="shared" si="2"/>
        <v>0</v>
      </c>
      <c r="I21" s="57"/>
      <c r="J21" s="58"/>
      <c r="K21" s="201"/>
      <c r="L21" s="182"/>
      <c r="M21" s="185"/>
      <c r="N21" s="188"/>
    </row>
    <row r="22" spans="1:14" x14ac:dyDescent="0.25">
      <c r="A22" s="191"/>
      <c r="B22" s="194"/>
      <c r="C22" s="197"/>
      <c r="D22" s="197"/>
      <c r="E22" s="8"/>
      <c r="F22" s="15"/>
      <c r="G22" s="15"/>
      <c r="H22" s="56">
        <f t="shared" si="2"/>
        <v>0</v>
      </c>
      <c r="I22" s="57"/>
      <c r="J22" s="58"/>
      <c r="K22" s="201"/>
      <c r="L22" s="182"/>
      <c r="M22" s="185"/>
      <c r="N22" s="188"/>
    </row>
    <row r="23" spans="1:14" x14ac:dyDescent="0.25">
      <c r="A23" s="191"/>
      <c r="B23" s="194"/>
      <c r="C23" s="197"/>
      <c r="D23" s="197"/>
      <c r="E23" s="8"/>
      <c r="F23" s="15"/>
      <c r="G23" s="15"/>
      <c r="H23" s="56">
        <f t="shared" si="2"/>
        <v>0</v>
      </c>
      <c r="I23" s="57"/>
      <c r="J23" s="58"/>
      <c r="K23" s="201"/>
      <c r="L23" s="182"/>
      <c r="M23" s="185"/>
      <c r="N23" s="188"/>
    </row>
    <row r="24" spans="1:14" x14ac:dyDescent="0.25">
      <c r="A24" s="191"/>
      <c r="B24" s="194"/>
      <c r="C24" s="197"/>
      <c r="D24" s="197"/>
      <c r="E24" s="8"/>
      <c r="F24" s="15"/>
      <c r="G24" s="15"/>
      <c r="H24" s="56">
        <f t="shared" si="2"/>
        <v>0</v>
      </c>
      <c r="I24" s="57"/>
      <c r="J24" s="58"/>
      <c r="K24" s="201"/>
      <c r="L24" s="182"/>
      <c r="M24" s="185"/>
      <c r="N24" s="188"/>
    </row>
    <row r="25" spans="1:14" x14ac:dyDescent="0.25">
      <c r="A25" s="191"/>
      <c r="B25" s="194"/>
      <c r="C25" s="197"/>
      <c r="D25" s="197"/>
      <c r="E25" s="8"/>
      <c r="F25" s="15"/>
      <c r="G25" s="15"/>
      <c r="H25" s="56">
        <f t="shared" si="2"/>
        <v>0</v>
      </c>
      <c r="I25" s="57"/>
      <c r="J25" s="58"/>
      <c r="K25" s="201"/>
      <c r="L25" s="182"/>
      <c r="M25" s="185"/>
      <c r="N25" s="188"/>
    </row>
    <row r="26" spans="1:14" ht="11.4" thickBot="1" x14ac:dyDescent="0.3">
      <c r="A26" s="192"/>
      <c r="B26" s="195"/>
      <c r="C26" s="198"/>
      <c r="D26" s="198"/>
      <c r="E26" s="31"/>
      <c r="F26" s="64"/>
      <c r="G26" s="64"/>
      <c r="H26" s="65">
        <f t="shared" si="2"/>
        <v>0</v>
      </c>
      <c r="I26" s="66"/>
      <c r="J26" s="67"/>
      <c r="K26" s="202"/>
      <c r="L26" s="183"/>
      <c r="M26" s="186"/>
      <c r="N26" s="189"/>
    </row>
    <row r="27" spans="1:14" x14ac:dyDescent="0.25">
      <c r="A27" s="206">
        <v>4</v>
      </c>
      <c r="B27" s="207" t="str">
        <f>IF(Formato_9_Exp_Proponente!B26="","",Formato_9_Exp_Proponente!B26)</f>
        <v>SCAIPROYEKTA S.A.S. BIC: NIT 901.476.977-1</v>
      </c>
      <c r="C27" s="208" t="s">
        <v>183</v>
      </c>
      <c r="D27" s="209">
        <v>11522785</v>
      </c>
      <c r="E27" s="10" t="s">
        <v>184</v>
      </c>
      <c r="F27" s="60">
        <v>41743</v>
      </c>
      <c r="G27" s="60">
        <v>44013</v>
      </c>
      <c r="H27" s="61">
        <f>DATEDIF(F27,G27,"m")</f>
        <v>74</v>
      </c>
      <c r="I27" s="62" t="s">
        <v>42</v>
      </c>
      <c r="J27" s="63"/>
      <c r="K27" s="210">
        <f>SUMIFS(H27:H34,I27:I34,"CUMPLE")</f>
        <v>74</v>
      </c>
      <c r="L27" s="222" t="s">
        <v>32</v>
      </c>
      <c r="M27" s="204" t="str">
        <f>IF(C27="","",IF(K27&gt;=48,IF(L27="CUMPLE","CUMPLE","NO CUMPLE"),"NO CUMPLE"))</f>
        <v>NO CUMPLE</v>
      </c>
      <c r="N27" s="225" t="s">
        <v>267</v>
      </c>
    </row>
    <row r="28" spans="1:14" ht="64.8" x14ac:dyDescent="0.25">
      <c r="A28" s="191"/>
      <c r="B28" s="194"/>
      <c r="C28" s="197"/>
      <c r="D28" s="197"/>
      <c r="E28" s="8" t="s">
        <v>184</v>
      </c>
      <c r="F28" s="15">
        <v>41743</v>
      </c>
      <c r="G28" s="15">
        <v>44963</v>
      </c>
      <c r="H28" s="56">
        <f t="shared" ref="H28:H34" si="3">DATEDIF(F28,G28,"m")</f>
        <v>105</v>
      </c>
      <c r="I28" s="57" t="s">
        <v>32</v>
      </c>
      <c r="J28" s="58" t="s">
        <v>185</v>
      </c>
      <c r="K28" s="201"/>
      <c r="L28" s="223"/>
      <c r="M28" s="185"/>
      <c r="N28" s="226"/>
    </row>
    <row r="29" spans="1:14" x14ac:dyDescent="0.25">
      <c r="A29" s="191"/>
      <c r="B29" s="194"/>
      <c r="C29" s="197"/>
      <c r="D29" s="197"/>
      <c r="E29" s="8"/>
      <c r="F29" s="15"/>
      <c r="G29" s="15"/>
      <c r="H29" s="56">
        <f t="shared" si="3"/>
        <v>0</v>
      </c>
      <c r="I29" s="57"/>
      <c r="J29" s="58"/>
      <c r="K29" s="201"/>
      <c r="L29" s="223"/>
      <c r="M29" s="185"/>
      <c r="N29" s="226"/>
    </row>
    <row r="30" spans="1:14" x14ac:dyDescent="0.25">
      <c r="A30" s="191"/>
      <c r="B30" s="194"/>
      <c r="C30" s="197"/>
      <c r="D30" s="197"/>
      <c r="E30" s="8"/>
      <c r="F30" s="15"/>
      <c r="G30" s="15"/>
      <c r="H30" s="56">
        <f t="shared" si="3"/>
        <v>0</v>
      </c>
      <c r="I30" s="57"/>
      <c r="J30" s="58"/>
      <c r="K30" s="201"/>
      <c r="L30" s="223"/>
      <c r="M30" s="185"/>
      <c r="N30" s="226"/>
    </row>
    <row r="31" spans="1:14" x14ac:dyDescent="0.25">
      <c r="A31" s="191"/>
      <c r="B31" s="194"/>
      <c r="C31" s="197"/>
      <c r="D31" s="197"/>
      <c r="E31" s="8"/>
      <c r="F31" s="15"/>
      <c r="G31" s="15"/>
      <c r="H31" s="56">
        <f t="shared" si="3"/>
        <v>0</v>
      </c>
      <c r="I31" s="57"/>
      <c r="J31" s="58"/>
      <c r="K31" s="201"/>
      <c r="L31" s="223"/>
      <c r="M31" s="185"/>
      <c r="N31" s="226"/>
    </row>
    <row r="32" spans="1:14" x14ac:dyDescent="0.25">
      <c r="A32" s="191"/>
      <c r="B32" s="194"/>
      <c r="C32" s="197"/>
      <c r="D32" s="197"/>
      <c r="E32" s="8"/>
      <c r="F32" s="15"/>
      <c r="G32" s="15"/>
      <c r="H32" s="56">
        <f t="shared" si="3"/>
        <v>0</v>
      </c>
      <c r="I32" s="57"/>
      <c r="J32" s="58"/>
      <c r="K32" s="201"/>
      <c r="L32" s="223"/>
      <c r="M32" s="185"/>
      <c r="N32" s="226"/>
    </row>
    <row r="33" spans="1:14" x14ac:dyDescent="0.25">
      <c r="A33" s="191"/>
      <c r="B33" s="194"/>
      <c r="C33" s="197"/>
      <c r="D33" s="197"/>
      <c r="E33" s="8"/>
      <c r="F33" s="15"/>
      <c r="G33" s="15"/>
      <c r="H33" s="56">
        <f t="shared" si="3"/>
        <v>0</v>
      </c>
      <c r="I33" s="57"/>
      <c r="J33" s="58"/>
      <c r="K33" s="201"/>
      <c r="L33" s="223"/>
      <c r="M33" s="185"/>
      <c r="N33" s="226"/>
    </row>
    <row r="34" spans="1:14" ht="25.8" customHeight="1" x14ac:dyDescent="0.25">
      <c r="A34" s="192"/>
      <c r="B34" s="195"/>
      <c r="C34" s="198"/>
      <c r="D34" s="198"/>
      <c r="E34" s="31"/>
      <c r="F34" s="64"/>
      <c r="G34" s="64"/>
      <c r="H34" s="65">
        <f t="shared" si="3"/>
        <v>0</v>
      </c>
      <c r="I34" s="66"/>
      <c r="J34" s="67"/>
      <c r="K34" s="202"/>
      <c r="L34" s="224"/>
      <c r="M34" s="186"/>
      <c r="N34" s="227"/>
    </row>
    <row r="35" spans="1:14" x14ac:dyDescent="0.25">
      <c r="A35" s="206">
        <v>5</v>
      </c>
      <c r="B35" s="207" t="str">
        <f>IF(Formato_9_Exp_Proponente!B34="","",Formato_9_Exp_Proponente!B34)</f>
        <v xml:space="preserve">UT GREM-NOVAC </v>
      </c>
      <c r="C35" s="208" t="s">
        <v>186</v>
      </c>
      <c r="D35" s="209">
        <v>5787214</v>
      </c>
      <c r="E35" s="10" t="s">
        <v>124</v>
      </c>
      <c r="F35" s="60">
        <v>40192</v>
      </c>
      <c r="G35" s="60">
        <v>44986</v>
      </c>
      <c r="H35" s="61">
        <f>DATEDIF(F35,G35,"m")</f>
        <v>157</v>
      </c>
      <c r="I35" s="62" t="s">
        <v>42</v>
      </c>
      <c r="J35" s="63"/>
      <c r="K35" s="210">
        <f>SUMIFS(H35:H42,I35:I42,"CUMPLE")</f>
        <v>157</v>
      </c>
      <c r="L35" s="203" t="s">
        <v>42</v>
      </c>
      <c r="M35" s="204" t="str">
        <f>IF(C35="","",IF(K35&gt;=48,IF(L35="CUMPLE","CUMPLE","NO CUMPLE"),"NO CUMPLE"))</f>
        <v>CUMPLE</v>
      </c>
      <c r="N35" s="211"/>
    </row>
    <row r="36" spans="1:14" x14ac:dyDescent="0.25">
      <c r="A36" s="191"/>
      <c r="B36" s="194"/>
      <c r="C36" s="197"/>
      <c r="D36" s="197"/>
      <c r="E36" s="8"/>
      <c r="F36" s="15"/>
      <c r="G36" s="15"/>
      <c r="H36" s="56">
        <f t="shared" ref="H36:H42" si="4">DATEDIF(F36,G36,"m")</f>
        <v>0</v>
      </c>
      <c r="I36" s="57"/>
      <c r="J36" s="58"/>
      <c r="K36" s="201"/>
      <c r="L36" s="182"/>
      <c r="M36" s="185"/>
      <c r="N36" s="232"/>
    </row>
    <row r="37" spans="1:14" x14ac:dyDescent="0.25">
      <c r="A37" s="191"/>
      <c r="B37" s="194"/>
      <c r="C37" s="197"/>
      <c r="D37" s="197"/>
      <c r="E37" s="8"/>
      <c r="F37" s="15"/>
      <c r="G37" s="15"/>
      <c r="H37" s="56">
        <f t="shared" si="4"/>
        <v>0</v>
      </c>
      <c r="I37" s="57"/>
      <c r="J37" s="58"/>
      <c r="K37" s="201"/>
      <c r="L37" s="182"/>
      <c r="M37" s="185"/>
      <c r="N37" s="232"/>
    </row>
    <row r="38" spans="1:14" x14ac:dyDescent="0.25">
      <c r="A38" s="191"/>
      <c r="B38" s="194"/>
      <c r="C38" s="197"/>
      <c r="D38" s="197"/>
      <c r="E38" s="8"/>
      <c r="F38" s="15"/>
      <c r="G38" s="15"/>
      <c r="H38" s="56">
        <f t="shared" si="4"/>
        <v>0</v>
      </c>
      <c r="I38" s="57"/>
      <c r="J38" s="58"/>
      <c r="K38" s="201"/>
      <c r="L38" s="182"/>
      <c r="M38" s="185"/>
      <c r="N38" s="232"/>
    </row>
    <row r="39" spans="1:14" x14ac:dyDescent="0.25">
      <c r="A39" s="191"/>
      <c r="B39" s="194"/>
      <c r="C39" s="197"/>
      <c r="D39" s="197"/>
      <c r="E39" s="8"/>
      <c r="F39" s="15"/>
      <c r="G39" s="15"/>
      <c r="H39" s="56">
        <f t="shared" si="4"/>
        <v>0</v>
      </c>
      <c r="I39" s="57"/>
      <c r="J39" s="58"/>
      <c r="K39" s="201"/>
      <c r="L39" s="182"/>
      <c r="M39" s="185"/>
      <c r="N39" s="232"/>
    </row>
    <row r="40" spans="1:14" x14ac:dyDescent="0.25">
      <c r="A40" s="191"/>
      <c r="B40" s="194"/>
      <c r="C40" s="197"/>
      <c r="D40" s="197"/>
      <c r="E40" s="8"/>
      <c r="F40" s="15"/>
      <c r="G40" s="15"/>
      <c r="H40" s="56">
        <f t="shared" si="4"/>
        <v>0</v>
      </c>
      <c r="I40" s="57"/>
      <c r="J40" s="58"/>
      <c r="K40" s="201"/>
      <c r="L40" s="182"/>
      <c r="M40" s="185"/>
      <c r="N40" s="232"/>
    </row>
    <row r="41" spans="1:14" x14ac:dyDescent="0.25">
      <c r="A41" s="191"/>
      <c r="B41" s="194"/>
      <c r="C41" s="197"/>
      <c r="D41" s="197"/>
      <c r="E41" s="8"/>
      <c r="F41" s="15"/>
      <c r="G41" s="15"/>
      <c r="H41" s="56">
        <f t="shared" si="4"/>
        <v>0</v>
      </c>
      <c r="I41" s="57"/>
      <c r="J41" s="58"/>
      <c r="K41" s="201"/>
      <c r="L41" s="182"/>
      <c r="M41" s="185"/>
      <c r="N41" s="232"/>
    </row>
    <row r="42" spans="1:14" x14ac:dyDescent="0.25">
      <c r="A42" s="192"/>
      <c r="B42" s="195"/>
      <c r="C42" s="198"/>
      <c r="D42" s="198"/>
      <c r="E42" s="31"/>
      <c r="F42" s="64"/>
      <c r="G42" s="64"/>
      <c r="H42" s="65">
        <f t="shared" si="4"/>
        <v>0</v>
      </c>
      <c r="I42" s="66"/>
      <c r="J42" s="67"/>
      <c r="K42" s="202"/>
      <c r="L42" s="183"/>
      <c r="M42" s="186"/>
      <c r="N42" s="233"/>
    </row>
    <row r="43" spans="1:14" ht="63" customHeight="1" x14ac:dyDescent="0.25">
      <c r="A43" s="206">
        <v>6</v>
      </c>
      <c r="B43" s="207" t="str">
        <f>IF(Formato_9_Exp_Proponente!B42="","",Formato_9_Exp_Proponente!B42)</f>
        <v>SGA CONSULTORES S.A.S: NIT 901.549.833-4</v>
      </c>
      <c r="C43" s="208" t="s">
        <v>187</v>
      </c>
      <c r="D43" s="209">
        <v>79375504</v>
      </c>
      <c r="E43" s="10" t="s">
        <v>188</v>
      </c>
      <c r="F43" s="60">
        <v>39568</v>
      </c>
      <c r="G43" s="60"/>
      <c r="H43" s="61" t="str">
        <f>IF(G43="","",DATEDIF(F43,G43,"m"))</f>
        <v/>
      </c>
      <c r="I43" s="62" t="s">
        <v>32</v>
      </c>
      <c r="J43" s="63" t="s">
        <v>189</v>
      </c>
      <c r="K43" s="210">
        <f>SUMIFS(H43:H50,I43:I50,"CUMPLE")</f>
        <v>0</v>
      </c>
      <c r="L43" s="203" t="s">
        <v>42</v>
      </c>
      <c r="M43" s="204" t="str">
        <f>IF(C43="","",IF(K43&gt;=48,IF(L43="CUMPLE","CUMPLE","NO CUMPLE"),"NO CUMPLE"))</f>
        <v>NO CUMPLE</v>
      </c>
      <c r="N43" s="225" t="s">
        <v>268</v>
      </c>
    </row>
    <row r="44" spans="1:14" x14ac:dyDescent="0.25">
      <c r="A44" s="191"/>
      <c r="B44" s="194"/>
      <c r="C44" s="197"/>
      <c r="D44" s="197"/>
      <c r="E44" s="8"/>
      <c r="F44" s="15"/>
      <c r="G44" s="15"/>
      <c r="H44" s="56">
        <f t="shared" ref="H44:H50" si="5">DATEDIF(F44,G44,"m")</f>
        <v>0</v>
      </c>
      <c r="I44" s="57"/>
      <c r="J44" s="58"/>
      <c r="K44" s="201"/>
      <c r="L44" s="182"/>
      <c r="M44" s="185"/>
      <c r="N44" s="226"/>
    </row>
    <row r="45" spans="1:14" x14ac:dyDescent="0.25">
      <c r="A45" s="191"/>
      <c r="B45" s="194"/>
      <c r="C45" s="197"/>
      <c r="D45" s="197"/>
      <c r="E45" s="8"/>
      <c r="F45" s="15"/>
      <c r="G45" s="15"/>
      <c r="H45" s="56">
        <f t="shared" si="5"/>
        <v>0</v>
      </c>
      <c r="I45" s="57"/>
      <c r="J45" s="58"/>
      <c r="K45" s="201"/>
      <c r="L45" s="182"/>
      <c r="M45" s="185"/>
      <c r="N45" s="226"/>
    </row>
    <row r="46" spans="1:14" x14ac:dyDescent="0.25">
      <c r="A46" s="191"/>
      <c r="B46" s="194"/>
      <c r="C46" s="197"/>
      <c r="D46" s="197"/>
      <c r="E46" s="8"/>
      <c r="F46" s="15"/>
      <c r="G46" s="15"/>
      <c r="H46" s="56">
        <f t="shared" si="5"/>
        <v>0</v>
      </c>
      <c r="I46" s="57"/>
      <c r="J46" s="58"/>
      <c r="K46" s="201"/>
      <c r="L46" s="182"/>
      <c r="M46" s="185"/>
      <c r="N46" s="226"/>
    </row>
    <row r="47" spans="1:14" x14ac:dyDescent="0.25">
      <c r="A47" s="191"/>
      <c r="B47" s="194"/>
      <c r="C47" s="197"/>
      <c r="D47" s="197"/>
      <c r="E47" s="8"/>
      <c r="F47" s="15"/>
      <c r="G47" s="15"/>
      <c r="H47" s="56">
        <f t="shared" si="5"/>
        <v>0</v>
      </c>
      <c r="I47" s="57"/>
      <c r="J47" s="58"/>
      <c r="K47" s="201"/>
      <c r="L47" s="182"/>
      <c r="M47" s="185"/>
      <c r="N47" s="226"/>
    </row>
    <row r="48" spans="1:14" x14ac:dyDescent="0.25">
      <c r="A48" s="191"/>
      <c r="B48" s="194"/>
      <c r="C48" s="197"/>
      <c r="D48" s="197"/>
      <c r="E48" s="8"/>
      <c r="F48" s="15"/>
      <c r="G48" s="15"/>
      <c r="H48" s="56">
        <f t="shared" si="5"/>
        <v>0</v>
      </c>
      <c r="I48" s="57"/>
      <c r="J48" s="58"/>
      <c r="K48" s="201"/>
      <c r="L48" s="182"/>
      <c r="M48" s="185"/>
      <c r="N48" s="226"/>
    </row>
    <row r="49" spans="1:14" x14ac:dyDescent="0.25">
      <c r="A49" s="191"/>
      <c r="B49" s="194"/>
      <c r="C49" s="197"/>
      <c r="D49" s="197"/>
      <c r="E49" s="8"/>
      <c r="F49" s="15"/>
      <c r="G49" s="15"/>
      <c r="H49" s="56">
        <f t="shared" si="5"/>
        <v>0</v>
      </c>
      <c r="I49" s="57"/>
      <c r="K49" s="201"/>
      <c r="L49" s="182"/>
      <c r="M49" s="185"/>
      <c r="N49" s="226"/>
    </row>
    <row r="50" spans="1:14" ht="11.4" thickBot="1" x14ac:dyDescent="0.3">
      <c r="A50" s="192"/>
      <c r="B50" s="195"/>
      <c r="C50" s="198"/>
      <c r="D50" s="198"/>
      <c r="E50" s="31"/>
      <c r="F50" s="64"/>
      <c r="G50" s="64"/>
      <c r="H50" s="65">
        <f t="shared" si="5"/>
        <v>0</v>
      </c>
      <c r="I50" s="66"/>
      <c r="J50" s="67"/>
      <c r="K50" s="202"/>
      <c r="L50" s="183"/>
      <c r="M50" s="186"/>
      <c r="N50" s="227"/>
    </row>
    <row r="51" spans="1:14" ht="21.6" x14ac:dyDescent="0.25">
      <c r="A51" s="206">
        <v>7</v>
      </c>
      <c r="B51" s="207" t="str">
        <f>IF(Formato_9_Exp_Proponente!B50="","",Formato_9_Exp_Proponente!B50)</f>
        <v>SMARTY COLOMBIA SAS BIC: NIT 900249549-6</v>
      </c>
      <c r="C51" s="208" t="s">
        <v>190</v>
      </c>
      <c r="D51" s="209">
        <v>79598307</v>
      </c>
      <c r="E51" s="10" t="s">
        <v>191</v>
      </c>
      <c r="F51" s="60">
        <v>41835</v>
      </c>
      <c r="G51" s="60">
        <v>42901</v>
      </c>
      <c r="H51" s="61">
        <f t="shared" ref="H51:H59" si="6">DATEDIF(F51,G51,"m")</f>
        <v>35</v>
      </c>
      <c r="I51" s="62" t="s">
        <v>42</v>
      </c>
      <c r="J51" s="63"/>
      <c r="K51" s="210">
        <f>SUMIFS(H51:H58,I51:I58,"CUMPLE")</f>
        <v>74</v>
      </c>
      <c r="L51" s="203" t="s">
        <v>42</v>
      </c>
      <c r="M51" s="204" t="str">
        <f>IF(C51="","",IF(K51&gt;=48,IF(L51="CUMPLE","CUMPLE","NO CUMPLE"),"NO CUMPLE"))</f>
        <v>CUMPLE</v>
      </c>
      <c r="N51" s="205"/>
    </row>
    <row r="52" spans="1:14" x14ac:dyDescent="0.25">
      <c r="A52" s="191"/>
      <c r="B52" s="194"/>
      <c r="C52" s="197"/>
      <c r="D52" s="197"/>
      <c r="E52" s="8" t="s">
        <v>192</v>
      </c>
      <c r="F52" s="15">
        <v>44081</v>
      </c>
      <c r="G52" s="15">
        <v>44848</v>
      </c>
      <c r="H52" s="56">
        <f t="shared" si="6"/>
        <v>25</v>
      </c>
      <c r="I52" s="57" t="s">
        <v>42</v>
      </c>
      <c r="J52" s="58"/>
      <c r="K52" s="201"/>
      <c r="L52" s="182"/>
      <c r="M52" s="185"/>
      <c r="N52" s="188"/>
    </row>
    <row r="53" spans="1:14" ht="113.4" customHeight="1" x14ac:dyDescent="0.25">
      <c r="A53" s="191"/>
      <c r="B53" s="194"/>
      <c r="C53" s="197"/>
      <c r="D53" s="197"/>
      <c r="E53" s="8" t="s">
        <v>193</v>
      </c>
      <c r="F53" s="15">
        <v>44393</v>
      </c>
      <c r="G53" s="15">
        <v>44754</v>
      </c>
      <c r="H53" s="56">
        <f t="shared" si="6"/>
        <v>11</v>
      </c>
      <c r="I53" s="57" t="s">
        <v>32</v>
      </c>
      <c r="J53" s="58" t="s">
        <v>194</v>
      </c>
      <c r="K53" s="201"/>
      <c r="L53" s="182"/>
      <c r="M53" s="185"/>
      <c r="N53" s="188"/>
    </row>
    <row r="54" spans="1:14" x14ac:dyDescent="0.25">
      <c r="A54" s="191"/>
      <c r="B54" s="194"/>
      <c r="C54" s="197"/>
      <c r="D54" s="197"/>
      <c r="E54" s="8" t="s">
        <v>161</v>
      </c>
      <c r="F54" s="15">
        <v>44858</v>
      </c>
      <c r="G54" s="15">
        <v>45100</v>
      </c>
      <c r="H54" s="56">
        <f t="shared" si="6"/>
        <v>7</v>
      </c>
      <c r="I54" s="57" t="s">
        <v>42</v>
      </c>
      <c r="J54" s="58"/>
      <c r="K54" s="201"/>
      <c r="L54" s="182"/>
      <c r="M54" s="185"/>
      <c r="N54" s="188"/>
    </row>
    <row r="55" spans="1:14" x14ac:dyDescent="0.25">
      <c r="A55" s="191"/>
      <c r="B55" s="194"/>
      <c r="C55" s="197"/>
      <c r="D55" s="197"/>
      <c r="E55" s="8" t="s">
        <v>195</v>
      </c>
      <c r="F55" s="15">
        <v>45237</v>
      </c>
      <c r="G55" s="15">
        <v>45450</v>
      </c>
      <c r="H55" s="56">
        <f t="shared" si="6"/>
        <v>7</v>
      </c>
      <c r="I55" s="57" t="s">
        <v>42</v>
      </c>
      <c r="J55" s="58"/>
      <c r="K55" s="201"/>
      <c r="L55" s="182"/>
      <c r="M55" s="185"/>
      <c r="N55" s="188"/>
    </row>
    <row r="56" spans="1:14" x14ac:dyDescent="0.25">
      <c r="A56" s="191"/>
      <c r="B56" s="194"/>
      <c r="C56" s="197"/>
      <c r="D56" s="197"/>
      <c r="E56" s="8"/>
      <c r="F56" s="15"/>
      <c r="G56" s="15"/>
      <c r="H56" s="56">
        <f t="shared" si="6"/>
        <v>0</v>
      </c>
      <c r="I56" s="57"/>
      <c r="J56" s="58"/>
      <c r="K56" s="201"/>
      <c r="L56" s="182"/>
      <c r="M56" s="185"/>
      <c r="N56" s="188"/>
    </row>
    <row r="57" spans="1:14" x14ac:dyDescent="0.25">
      <c r="A57" s="191"/>
      <c r="B57" s="194"/>
      <c r="C57" s="197"/>
      <c r="D57" s="197"/>
      <c r="E57" s="8"/>
      <c r="F57" s="15"/>
      <c r="G57" s="15"/>
      <c r="H57" s="56">
        <f t="shared" si="6"/>
        <v>0</v>
      </c>
      <c r="I57" s="57"/>
      <c r="J57" s="58"/>
      <c r="K57" s="201"/>
      <c r="L57" s="182"/>
      <c r="M57" s="185"/>
      <c r="N57" s="188"/>
    </row>
    <row r="58" spans="1:14" ht="11.4" thickBot="1" x14ac:dyDescent="0.3">
      <c r="A58" s="192"/>
      <c r="B58" s="195"/>
      <c r="C58" s="198"/>
      <c r="D58" s="198"/>
      <c r="E58" s="31"/>
      <c r="F58" s="64"/>
      <c r="G58" s="64"/>
      <c r="H58" s="65">
        <f t="shared" si="6"/>
        <v>0</v>
      </c>
      <c r="I58" s="66"/>
      <c r="J58" s="67"/>
      <c r="K58" s="202"/>
      <c r="L58" s="183"/>
      <c r="M58" s="186"/>
      <c r="N58" s="189"/>
    </row>
    <row r="59" spans="1:14" ht="21.6" x14ac:dyDescent="0.25">
      <c r="A59" s="206">
        <v>8</v>
      </c>
      <c r="B59" s="207" t="str">
        <f>IF(Formato_9_Exp_Proponente!B58="","",Formato_9_Exp_Proponente!B58)</f>
        <v>CONSORCIO TOOL</v>
      </c>
      <c r="C59" s="208" t="s">
        <v>196</v>
      </c>
      <c r="D59" s="209" t="s">
        <v>197</v>
      </c>
      <c r="E59" s="10" t="s">
        <v>198</v>
      </c>
      <c r="F59" s="60">
        <v>42989</v>
      </c>
      <c r="G59" s="60">
        <v>43424</v>
      </c>
      <c r="H59" s="61">
        <f t="shared" si="6"/>
        <v>14</v>
      </c>
      <c r="I59" s="62" t="s">
        <v>42</v>
      </c>
      <c r="J59" s="63"/>
      <c r="K59" s="210">
        <f>SUMIFS(H59:H66,I59:I66,"CUMPLE")</f>
        <v>70</v>
      </c>
      <c r="L59" s="203" t="s">
        <v>42</v>
      </c>
      <c r="M59" s="204" t="str">
        <f>IF(C59="","",IF(K59&gt;=48,IF(L59="CUMPLE","CUMPLE","NO CUMPLE"),"NO CUMPLE"))</f>
        <v>CUMPLE</v>
      </c>
      <c r="N59" s="205"/>
    </row>
    <row r="60" spans="1:14" x14ac:dyDescent="0.25">
      <c r="A60" s="191"/>
      <c r="B60" s="194"/>
      <c r="C60" s="197"/>
      <c r="D60" s="197"/>
      <c r="E60" s="8" t="s">
        <v>199</v>
      </c>
      <c r="F60" s="15">
        <v>43430</v>
      </c>
      <c r="G60" s="15">
        <v>43544</v>
      </c>
      <c r="H60" s="56">
        <f t="shared" ref="H60:H66" si="7">DATEDIF(F60,G60,"m")</f>
        <v>3</v>
      </c>
      <c r="I60" s="57" t="s">
        <v>42</v>
      </c>
      <c r="J60" s="58"/>
      <c r="K60" s="201"/>
      <c r="L60" s="182"/>
      <c r="M60" s="185"/>
      <c r="N60" s="188"/>
    </row>
    <row r="61" spans="1:14" ht="21.6" x14ac:dyDescent="0.25">
      <c r="A61" s="191"/>
      <c r="B61" s="194"/>
      <c r="C61" s="197"/>
      <c r="D61" s="197"/>
      <c r="E61" s="8" t="s">
        <v>200</v>
      </c>
      <c r="F61" s="15">
        <v>43545</v>
      </c>
      <c r="G61" s="15">
        <v>45187</v>
      </c>
      <c r="H61" s="56">
        <f t="shared" si="7"/>
        <v>53</v>
      </c>
      <c r="I61" s="57" t="s">
        <v>42</v>
      </c>
      <c r="J61" s="58"/>
      <c r="K61" s="201"/>
      <c r="L61" s="182"/>
      <c r="M61" s="185"/>
      <c r="N61" s="188"/>
    </row>
    <row r="62" spans="1:14" x14ac:dyDescent="0.25">
      <c r="A62" s="191"/>
      <c r="B62" s="194"/>
      <c r="C62" s="197"/>
      <c r="D62" s="197"/>
      <c r="E62" s="8"/>
      <c r="F62" s="15"/>
      <c r="G62" s="15"/>
      <c r="H62" s="56">
        <f t="shared" si="7"/>
        <v>0</v>
      </c>
      <c r="I62" s="57"/>
      <c r="J62" s="58"/>
      <c r="K62" s="201"/>
      <c r="L62" s="182"/>
      <c r="M62" s="185"/>
      <c r="N62" s="188"/>
    </row>
    <row r="63" spans="1:14" x14ac:dyDescent="0.25">
      <c r="A63" s="191"/>
      <c r="B63" s="194"/>
      <c r="C63" s="197"/>
      <c r="D63" s="197"/>
      <c r="E63" s="8"/>
      <c r="F63" s="15"/>
      <c r="G63" s="15"/>
      <c r="H63" s="56">
        <f t="shared" si="7"/>
        <v>0</v>
      </c>
      <c r="I63" s="57"/>
      <c r="J63" s="58"/>
      <c r="K63" s="201"/>
      <c r="L63" s="182"/>
      <c r="M63" s="185"/>
      <c r="N63" s="188"/>
    </row>
    <row r="64" spans="1:14" x14ac:dyDescent="0.25">
      <c r="A64" s="191"/>
      <c r="B64" s="194"/>
      <c r="C64" s="197"/>
      <c r="D64" s="197"/>
      <c r="E64" s="8"/>
      <c r="F64" s="15"/>
      <c r="G64" s="15"/>
      <c r="H64" s="56">
        <f t="shared" si="7"/>
        <v>0</v>
      </c>
      <c r="I64" s="57"/>
      <c r="J64" s="58"/>
      <c r="K64" s="201"/>
      <c r="L64" s="182"/>
      <c r="M64" s="185"/>
      <c r="N64" s="188"/>
    </row>
    <row r="65" spans="1:14" x14ac:dyDescent="0.25">
      <c r="A65" s="191"/>
      <c r="B65" s="194"/>
      <c r="C65" s="197"/>
      <c r="D65" s="197"/>
      <c r="E65" s="8"/>
      <c r="F65" s="15"/>
      <c r="G65" s="15"/>
      <c r="H65" s="56">
        <f t="shared" si="7"/>
        <v>0</v>
      </c>
      <c r="I65" s="57"/>
      <c r="J65" s="58"/>
      <c r="K65" s="201"/>
      <c r="L65" s="182"/>
      <c r="M65" s="185"/>
      <c r="N65" s="188"/>
    </row>
    <row r="66" spans="1:14" ht="11.4" thickBot="1" x14ac:dyDescent="0.3">
      <c r="A66" s="192"/>
      <c r="B66" s="195"/>
      <c r="C66" s="198"/>
      <c r="D66" s="198"/>
      <c r="E66" s="31"/>
      <c r="F66" s="64"/>
      <c r="G66" s="64"/>
      <c r="H66" s="65">
        <f t="shared" si="7"/>
        <v>0</v>
      </c>
      <c r="I66" s="66"/>
      <c r="J66" s="67"/>
      <c r="K66" s="202"/>
      <c r="L66" s="183"/>
      <c r="M66" s="186"/>
      <c r="N66" s="189"/>
    </row>
    <row r="67" spans="1:14" ht="10.95" customHeight="1" x14ac:dyDescent="0.25">
      <c r="A67" s="206">
        <v>9</v>
      </c>
      <c r="B67" s="207" t="str">
        <f>IF(Formato_9_Exp_Proponente!B66="","",Formato_9_Exp_Proponente!B66)</f>
        <v>CONSORCIO INTERVENTORÍA DE VIGILANCIA 2024</v>
      </c>
      <c r="C67" s="208" t="s">
        <v>201</v>
      </c>
      <c r="D67" s="209">
        <v>79966569</v>
      </c>
      <c r="E67" s="10" t="s">
        <v>202</v>
      </c>
      <c r="F67" s="60">
        <v>40681</v>
      </c>
      <c r="G67" s="60">
        <v>42902</v>
      </c>
      <c r="H67" s="61">
        <f>DATEDIF(F67,G67,"m")</f>
        <v>72</v>
      </c>
      <c r="I67" s="62" t="s">
        <v>42</v>
      </c>
      <c r="J67" s="63"/>
      <c r="K67" s="210">
        <f>SUMIFS(H67:H74,I67:I74,"CUMPLE")</f>
        <v>103</v>
      </c>
      <c r="L67" s="203" t="s">
        <v>42</v>
      </c>
      <c r="M67" s="204" t="str">
        <f>IF(C67="","",IF(K67&gt;=48,IF(L67="CUMPLE","CUMPLE","NO CUMPLE"),"NO CUMPLE"))</f>
        <v>CUMPLE</v>
      </c>
      <c r="N67" s="205"/>
    </row>
    <row r="68" spans="1:14" x14ac:dyDescent="0.25">
      <c r="A68" s="191"/>
      <c r="B68" s="194"/>
      <c r="C68" s="197"/>
      <c r="D68" s="197"/>
      <c r="E68" s="8" t="s">
        <v>203</v>
      </c>
      <c r="F68" s="15">
        <v>39276</v>
      </c>
      <c r="G68" s="15">
        <v>40231</v>
      </c>
      <c r="H68" s="56">
        <f t="shared" ref="H68:H74" si="8">DATEDIF(F68,G68,"m")</f>
        <v>31</v>
      </c>
      <c r="I68" s="57" t="s">
        <v>42</v>
      </c>
      <c r="J68" s="58"/>
      <c r="K68" s="201"/>
      <c r="L68" s="182"/>
      <c r="M68" s="185"/>
      <c r="N68" s="188"/>
    </row>
    <row r="69" spans="1:14" x14ac:dyDescent="0.25">
      <c r="A69" s="191"/>
      <c r="B69" s="194"/>
      <c r="C69" s="197"/>
      <c r="D69" s="197"/>
      <c r="E69" s="8"/>
      <c r="F69" s="15"/>
      <c r="G69" s="15"/>
      <c r="H69" s="56">
        <f t="shared" si="8"/>
        <v>0</v>
      </c>
      <c r="I69" s="57"/>
      <c r="J69" s="58"/>
      <c r="K69" s="201"/>
      <c r="L69" s="182"/>
      <c r="M69" s="185"/>
      <c r="N69" s="188"/>
    </row>
    <row r="70" spans="1:14" x14ac:dyDescent="0.25">
      <c r="A70" s="191"/>
      <c r="B70" s="194"/>
      <c r="C70" s="197"/>
      <c r="D70" s="197"/>
      <c r="E70" s="8"/>
      <c r="F70" s="15"/>
      <c r="G70" s="15"/>
      <c r="H70" s="56">
        <f t="shared" si="8"/>
        <v>0</v>
      </c>
      <c r="I70" s="57"/>
      <c r="J70" s="58"/>
      <c r="K70" s="201"/>
      <c r="L70" s="182"/>
      <c r="M70" s="185"/>
      <c r="N70" s="188"/>
    </row>
    <row r="71" spans="1:14" x14ac:dyDescent="0.25">
      <c r="A71" s="191"/>
      <c r="B71" s="194"/>
      <c r="C71" s="197"/>
      <c r="D71" s="197"/>
      <c r="E71" s="8"/>
      <c r="F71" s="15"/>
      <c r="G71" s="15"/>
      <c r="H71" s="56">
        <f t="shared" si="8"/>
        <v>0</v>
      </c>
      <c r="I71" s="57"/>
      <c r="J71" s="58"/>
      <c r="K71" s="201"/>
      <c r="L71" s="182"/>
      <c r="M71" s="185"/>
      <c r="N71" s="188"/>
    </row>
    <row r="72" spans="1:14" x14ac:dyDescent="0.25">
      <c r="A72" s="191"/>
      <c r="B72" s="194"/>
      <c r="C72" s="197"/>
      <c r="D72" s="197"/>
      <c r="E72" s="8"/>
      <c r="F72" s="15"/>
      <c r="G72" s="15"/>
      <c r="H72" s="56">
        <f t="shared" si="8"/>
        <v>0</v>
      </c>
      <c r="I72" s="57"/>
      <c r="J72" s="58"/>
      <c r="K72" s="201"/>
      <c r="L72" s="182"/>
      <c r="M72" s="185"/>
      <c r="N72" s="188"/>
    </row>
    <row r="73" spans="1:14" x14ac:dyDescent="0.25">
      <c r="A73" s="191"/>
      <c r="B73" s="194"/>
      <c r="C73" s="197"/>
      <c r="D73" s="197"/>
      <c r="E73" s="8"/>
      <c r="F73" s="15"/>
      <c r="G73" s="15"/>
      <c r="H73" s="56">
        <f t="shared" si="8"/>
        <v>0</v>
      </c>
      <c r="I73" s="57"/>
      <c r="J73" s="58"/>
      <c r="K73" s="201"/>
      <c r="L73" s="182"/>
      <c r="M73" s="185"/>
      <c r="N73" s="188"/>
    </row>
    <row r="74" spans="1:14" ht="11.4" thickBot="1" x14ac:dyDescent="0.3">
      <c r="A74" s="192"/>
      <c r="B74" s="195"/>
      <c r="C74" s="198"/>
      <c r="D74" s="198"/>
      <c r="E74" s="31"/>
      <c r="F74" s="64"/>
      <c r="G74" s="64"/>
      <c r="H74" s="65">
        <f t="shared" si="8"/>
        <v>0</v>
      </c>
      <c r="I74" s="66"/>
      <c r="J74" s="67"/>
      <c r="K74" s="202"/>
      <c r="L74" s="183"/>
      <c r="M74" s="186"/>
      <c r="N74" s="189"/>
    </row>
    <row r="75" spans="1:14" ht="108" customHeight="1" x14ac:dyDescent="0.25">
      <c r="A75" s="206">
        <v>10</v>
      </c>
      <c r="B75" s="207" t="str">
        <f>IF(Formato_9_Exp_Proponente!B74="","",Formato_9_Exp_Proponente!B74)</f>
        <v>Consultora Central S.A.S BIC</v>
      </c>
      <c r="C75" s="208" t="s">
        <v>204</v>
      </c>
      <c r="D75" s="209">
        <v>70373312</v>
      </c>
      <c r="E75" s="10" t="s">
        <v>205</v>
      </c>
      <c r="F75" s="60">
        <v>38930</v>
      </c>
      <c r="G75" s="60">
        <v>41547</v>
      </c>
      <c r="H75" s="61">
        <f>DATEDIF(F75,G75,"m")</f>
        <v>85</v>
      </c>
      <c r="I75" s="62" t="s">
        <v>42</v>
      </c>
      <c r="J75" s="63"/>
      <c r="K75" s="210">
        <f>SUMIFS(H75:H82,I75:I82,"CUMPLE")</f>
        <v>137</v>
      </c>
      <c r="L75" s="203" t="s">
        <v>42</v>
      </c>
      <c r="M75" s="204" t="str">
        <f>IF(C75="","",IF(K75&gt;=48,IF(L75="CUMPLE","CUMPLE","NO CUMPLE"),"NO CUMPLE"))</f>
        <v>CUMPLE</v>
      </c>
      <c r="N75" s="205"/>
    </row>
    <row r="76" spans="1:14" x14ac:dyDescent="0.25">
      <c r="A76" s="191"/>
      <c r="B76" s="194"/>
      <c r="C76" s="197"/>
      <c r="D76" s="197"/>
      <c r="E76" s="8" t="s">
        <v>206</v>
      </c>
      <c r="F76" s="15">
        <v>41548</v>
      </c>
      <c r="G76" s="15">
        <v>43159</v>
      </c>
      <c r="H76" s="56">
        <f t="shared" ref="H76:H82" si="9">DATEDIF(F76,G76,"m")</f>
        <v>52</v>
      </c>
      <c r="I76" s="57" t="s">
        <v>42</v>
      </c>
      <c r="J76" s="58"/>
      <c r="K76" s="201"/>
      <c r="L76" s="182"/>
      <c r="M76" s="185"/>
      <c r="N76" s="188"/>
    </row>
    <row r="77" spans="1:14" x14ac:dyDescent="0.25">
      <c r="A77" s="191"/>
      <c r="B77" s="194"/>
      <c r="C77" s="197"/>
      <c r="D77" s="197"/>
      <c r="E77" s="8"/>
      <c r="F77" s="15"/>
      <c r="G77" s="15"/>
      <c r="H77" s="56">
        <f t="shared" si="9"/>
        <v>0</v>
      </c>
      <c r="I77" s="57"/>
      <c r="J77" s="58"/>
      <c r="K77" s="201"/>
      <c r="L77" s="182"/>
      <c r="M77" s="185"/>
      <c r="N77" s="188"/>
    </row>
    <row r="78" spans="1:14" x14ac:dyDescent="0.25">
      <c r="A78" s="191"/>
      <c r="B78" s="194"/>
      <c r="C78" s="197"/>
      <c r="D78" s="197"/>
      <c r="E78" s="8"/>
      <c r="F78" s="15"/>
      <c r="G78" s="15"/>
      <c r="H78" s="56">
        <f t="shared" si="9"/>
        <v>0</v>
      </c>
      <c r="I78" s="57"/>
      <c r="J78" s="58"/>
      <c r="K78" s="201"/>
      <c r="L78" s="182"/>
      <c r="M78" s="185"/>
      <c r="N78" s="188"/>
    </row>
    <row r="79" spans="1:14" x14ac:dyDescent="0.25">
      <c r="A79" s="191"/>
      <c r="B79" s="194"/>
      <c r="C79" s="197"/>
      <c r="D79" s="197"/>
      <c r="E79" s="8"/>
      <c r="F79" s="15"/>
      <c r="G79" s="15"/>
      <c r="H79" s="56">
        <f t="shared" si="9"/>
        <v>0</v>
      </c>
      <c r="I79" s="57"/>
      <c r="J79" s="58"/>
      <c r="K79" s="201"/>
      <c r="L79" s="182"/>
      <c r="M79" s="185"/>
      <c r="N79" s="188"/>
    </row>
    <row r="80" spans="1:14" x14ac:dyDescent="0.25">
      <c r="A80" s="191"/>
      <c r="B80" s="194"/>
      <c r="C80" s="197"/>
      <c r="D80" s="197"/>
      <c r="E80" s="8"/>
      <c r="F80" s="15"/>
      <c r="G80" s="15"/>
      <c r="H80" s="56">
        <f t="shared" si="9"/>
        <v>0</v>
      </c>
      <c r="I80" s="57"/>
      <c r="J80" s="58"/>
      <c r="K80" s="201"/>
      <c r="L80" s="182"/>
      <c r="M80" s="185"/>
      <c r="N80" s="188"/>
    </row>
    <row r="81" spans="1:14" x14ac:dyDescent="0.25">
      <c r="A81" s="191"/>
      <c r="B81" s="194"/>
      <c r="C81" s="197"/>
      <c r="D81" s="197"/>
      <c r="E81" s="8"/>
      <c r="F81" s="15"/>
      <c r="G81" s="15"/>
      <c r="H81" s="56">
        <f t="shared" si="9"/>
        <v>0</v>
      </c>
      <c r="I81" s="57"/>
      <c r="J81" s="58"/>
      <c r="K81" s="201"/>
      <c r="L81" s="182"/>
      <c r="M81" s="185"/>
      <c r="N81" s="188"/>
    </row>
    <row r="82" spans="1:14" ht="11.4" thickBot="1" x14ac:dyDescent="0.3">
      <c r="A82" s="192"/>
      <c r="B82" s="195"/>
      <c r="C82" s="198"/>
      <c r="D82" s="198"/>
      <c r="E82" s="31"/>
      <c r="F82" s="64"/>
      <c r="G82" s="64"/>
      <c r="H82" s="65">
        <f t="shared" si="9"/>
        <v>0</v>
      </c>
      <c r="I82" s="66"/>
      <c r="J82" s="67"/>
      <c r="K82" s="202"/>
      <c r="L82" s="183"/>
      <c r="M82" s="186"/>
      <c r="N82" s="189"/>
    </row>
    <row r="83" spans="1:14" ht="10.95" customHeight="1" x14ac:dyDescent="0.25">
      <c r="A83" s="206">
        <v>11</v>
      </c>
      <c r="B83" s="207" t="str">
        <f>IF(Formato_9_Exp_Proponente!B82="","",Formato_9_Exp_Proponente!B82)</f>
        <v>CONSORCIO INTERVENCIÓN Y SEGURIDAD DISTRITAL</v>
      </c>
      <c r="C83" s="208" t="s">
        <v>207</v>
      </c>
      <c r="D83" s="209">
        <v>79040453</v>
      </c>
      <c r="E83" s="10" t="s">
        <v>208</v>
      </c>
      <c r="F83" s="60">
        <v>45323</v>
      </c>
      <c r="G83" s="60">
        <v>45534</v>
      </c>
      <c r="H83" s="61">
        <f>DATEDIF(F83,G83,"m")</f>
        <v>6</v>
      </c>
      <c r="I83" s="62" t="s">
        <v>42</v>
      </c>
      <c r="J83" s="63"/>
      <c r="K83" s="210">
        <f>SUMIFS(H83:H90,I83:I90,"CUMPLE")</f>
        <v>77</v>
      </c>
      <c r="L83" s="203" t="s">
        <v>42</v>
      </c>
      <c r="M83" s="204" t="str">
        <f>IF(C83="","",IF(K83&gt;=48,IF(L83="CUMPLE","CUMPLE","NO CUMPLE"),"NO CUMPLE"))</f>
        <v>CUMPLE</v>
      </c>
      <c r="N83" s="205"/>
    </row>
    <row r="84" spans="1:14" x14ac:dyDescent="0.25">
      <c r="A84" s="191"/>
      <c r="B84" s="194"/>
      <c r="C84" s="197"/>
      <c r="D84" s="197"/>
      <c r="E84" s="8" t="s">
        <v>209</v>
      </c>
      <c r="F84" s="15">
        <v>41022</v>
      </c>
      <c r="G84" s="15">
        <v>43200</v>
      </c>
      <c r="H84" s="56">
        <f t="shared" ref="H84:H90" si="10">DATEDIF(F84,G84,"m")</f>
        <v>71</v>
      </c>
      <c r="I84" s="57" t="s">
        <v>42</v>
      </c>
      <c r="J84" s="58"/>
      <c r="K84" s="201"/>
      <c r="L84" s="182"/>
      <c r="M84" s="185"/>
      <c r="N84" s="188"/>
    </row>
    <row r="85" spans="1:14" x14ac:dyDescent="0.25">
      <c r="A85" s="191"/>
      <c r="B85" s="194"/>
      <c r="C85" s="197"/>
      <c r="D85" s="197"/>
      <c r="E85" s="8"/>
      <c r="F85" s="15"/>
      <c r="G85" s="15"/>
      <c r="H85" s="56">
        <f t="shared" si="10"/>
        <v>0</v>
      </c>
      <c r="I85" s="57"/>
      <c r="J85" s="58"/>
      <c r="K85" s="201"/>
      <c r="L85" s="182"/>
      <c r="M85" s="185"/>
      <c r="N85" s="188"/>
    </row>
    <row r="86" spans="1:14" x14ac:dyDescent="0.25">
      <c r="A86" s="191"/>
      <c r="B86" s="194"/>
      <c r="C86" s="197"/>
      <c r="D86" s="197"/>
      <c r="E86" s="8"/>
      <c r="F86" s="15"/>
      <c r="G86" s="15"/>
      <c r="H86" s="56">
        <f t="shared" si="10"/>
        <v>0</v>
      </c>
      <c r="I86" s="57"/>
      <c r="J86" s="58"/>
      <c r="K86" s="201"/>
      <c r="L86" s="182"/>
      <c r="M86" s="185"/>
      <c r="N86" s="188"/>
    </row>
    <row r="87" spans="1:14" x14ac:dyDescent="0.25">
      <c r="A87" s="191"/>
      <c r="B87" s="194"/>
      <c r="C87" s="197"/>
      <c r="D87" s="197"/>
      <c r="E87" s="8"/>
      <c r="F87" s="15"/>
      <c r="G87" s="15"/>
      <c r="H87" s="56">
        <f t="shared" si="10"/>
        <v>0</v>
      </c>
      <c r="I87" s="57"/>
      <c r="J87" s="58"/>
      <c r="K87" s="201"/>
      <c r="L87" s="182"/>
      <c r="M87" s="185"/>
      <c r="N87" s="188"/>
    </row>
    <row r="88" spans="1:14" x14ac:dyDescent="0.25">
      <c r="A88" s="191"/>
      <c r="B88" s="194"/>
      <c r="C88" s="197"/>
      <c r="D88" s="197"/>
      <c r="E88" s="8"/>
      <c r="F88" s="15"/>
      <c r="G88" s="15"/>
      <c r="H88" s="56">
        <f t="shared" si="10"/>
        <v>0</v>
      </c>
      <c r="I88" s="57"/>
      <c r="J88" s="58"/>
      <c r="K88" s="201"/>
      <c r="L88" s="182"/>
      <c r="M88" s="185"/>
      <c r="N88" s="188"/>
    </row>
    <row r="89" spans="1:14" x14ac:dyDescent="0.25">
      <c r="A89" s="191"/>
      <c r="B89" s="194"/>
      <c r="C89" s="197"/>
      <c r="D89" s="197"/>
      <c r="E89" s="8"/>
      <c r="F89" s="15"/>
      <c r="G89" s="15"/>
      <c r="H89" s="56">
        <f t="shared" si="10"/>
        <v>0</v>
      </c>
      <c r="I89" s="57"/>
      <c r="J89" s="58"/>
      <c r="K89" s="201"/>
      <c r="L89" s="182"/>
      <c r="M89" s="185"/>
      <c r="N89" s="188"/>
    </row>
    <row r="90" spans="1:14" ht="11.4" thickBot="1" x14ac:dyDescent="0.3">
      <c r="A90" s="192"/>
      <c r="B90" s="195"/>
      <c r="C90" s="198"/>
      <c r="D90" s="198"/>
      <c r="E90" s="31"/>
      <c r="F90" s="64"/>
      <c r="G90" s="64"/>
      <c r="H90" s="65">
        <f t="shared" si="10"/>
        <v>0</v>
      </c>
      <c r="I90" s="66"/>
      <c r="J90" s="67"/>
      <c r="K90" s="202"/>
      <c r="L90" s="183"/>
      <c r="M90" s="186"/>
      <c r="N90" s="189"/>
    </row>
    <row r="91" spans="1:14" x14ac:dyDescent="0.25">
      <c r="A91" s="191">
        <v>12</v>
      </c>
      <c r="B91" s="194" t="s">
        <v>210</v>
      </c>
      <c r="C91" s="197" t="s">
        <v>211</v>
      </c>
      <c r="D91" s="197">
        <v>79638686</v>
      </c>
      <c r="E91" s="8" t="s">
        <v>212</v>
      </c>
      <c r="F91" s="132">
        <v>38728</v>
      </c>
      <c r="G91" s="132">
        <v>38931</v>
      </c>
      <c r="H91" s="56">
        <f t="shared" ref="H91:H103" si="11">DATEDIF(F91,G91,"m")</f>
        <v>6</v>
      </c>
      <c r="I91" s="57" t="s">
        <v>42</v>
      </c>
      <c r="J91" s="58"/>
      <c r="K91" s="235">
        <f>SUMIFS(H91:H102,I91:I102,"CUMPLE")</f>
        <v>88</v>
      </c>
      <c r="L91" s="182" t="s">
        <v>32</v>
      </c>
      <c r="M91" s="185" t="str">
        <f>IF(C91="","",IF(K91&gt;=48,IF(L91="CUMPLE","CUMPLE","NO CUMPLE"),"NO CUMPLE"))</f>
        <v>NO CUMPLE</v>
      </c>
      <c r="N91" s="226" t="s">
        <v>269</v>
      </c>
    </row>
    <row r="92" spans="1:14" x14ac:dyDescent="0.25">
      <c r="A92" s="191"/>
      <c r="B92" s="194"/>
      <c r="C92" s="197"/>
      <c r="D92" s="197"/>
      <c r="E92" s="8" t="s">
        <v>212</v>
      </c>
      <c r="F92" s="132">
        <v>39084</v>
      </c>
      <c r="G92" s="132">
        <v>39173</v>
      </c>
      <c r="H92" s="56">
        <f t="shared" si="11"/>
        <v>2</v>
      </c>
      <c r="I92" s="57" t="s">
        <v>42</v>
      </c>
      <c r="J92" s="58"/>
      <c r="K92" s="235"/>
      <c r="L92" s="182"/>
      <c r="M92" s="185"/>
      <c r="N92" s="226"/>
    </row>
    <row r="93" spans="1:14" ht="75.599999999999994" x14ac:dyDescent="0.25">
      <c r="A93" s="191"/>
      <c r="B93" s="194"/>
      <c r="C93" s="197"/>
      <c r="D93" s="197"/>
      <c r="E93" s="8" t="s">
        <v>213</v>
      </c>
      <c r="F93" s="132">
        <v>39975</v>
      </c>
      <c r="G93" s="132">
        <v>40233</v>
      </c>
      <c r="H93" s="56">
        <f t="shared" si="11"/>
        <v>8</v>
      </c>
      <c r="I93" s="57" t="s">
        <v>32</v>
      </c>
      <c r="J93" s="58" t="s">
        <v>214</v>
      </c>
      <c r="K93" s="235"/>
      <c r="L93" s="182"/>
      <c r="M93" s="185"/>
      <c r="N93" s="226"/>
    </row>
    <row r="94" spans="1:14" x14ac:dyDescent="0.25">
      <c r="A94" s="191"/>
      <c r="B94" s="194"/>
      <c r="C94" s="197"/>
      <c r="D94" s="197"/>
      <c r="E94" s="8" t="s">
        <v>215</v>
      </c>
      <c r="F94" s="132">
        <v>40299</v>
      </c>
      <c r="G94" s="132">
        <v>40466</v>
      </c>
      <c r="H94" s="56">
        <f t="shared" si="11"/>
        <v>5</v>
      </c>
      <c r="I94" s="57" t="s">
        <v>42</v>
      </c>
      <c r="J94" s="58"/>
      <c r="K94" s="235"/>
      <c r="L94" s="182"/>
      <c r="M94" s="185"/>
      <c r="N94" s="226"/>
    </row>
    <row r="95" spans="1:14" ht="21.6" x14ac:dyDescent="0.25">
      <c r="A95" s="191"/>
      <c r="B95" s="194"/>
      <c r="C95" s="197"/>
      <c r="D95" s="197"/>
      <c r="E95" s="8" t="s">
        <v>216</v>
      </c>
      <c r="F95" s="132">
        <v>40940</v>
      </c>
      <c r="G95" s="132">
        <v>40908</v>
      </c>
      <c r="H95" s="56" t="e">
        <f t="shared" si="11"/>
        <v>#NUM!</v>
      </c>
      <c r="I95" s="57" t="s">
        <v>32</v>
      </c>
      <c r="J95" s="58" t="s">
        <v>217</v>
      </c>
      <c r="K95" s="235"/>
      <c r="L95" s="182"/>
      <c r="M95" s="185"/>
      <c r="N95" s="226"/>
    </row>
    <row r="96" spans="1:14" x14ac:dyDescent="0.25">
      <c r="A96" s="191"/>
      <c r="B96" s="194"/>
      <c r="C96" s="197"/>
      <c r="D96" s="197"/>
      <c r="E96" s="8" t="s">
        <v>216</v>
      </c>
      <c r="F96" s="132">
        <v>41275</v>
      </c>
      <c r="G96" s="132">
        <v>42004</v>
      </c>
      <c r="H96" s="56">
        <f t="shared" si="11"/>
        <v>23</v>
      </c>
      <c r="I96" s="57" t="s">
        <v>42</v>
      </c>
      <c r="J96" s="58"/>
      <c r="K96" s="235"/>
      <c r="L96" s="182"/>
      <c r="M96" s="185"/>
      <c r="N96" s="226"/>
    </row>
    <row r="97" spans="1:14" ht="21.75" customHeight="1" x14ac:dyDescent="0.25">
      <c r="A97" s="191"/>
      <c r="B97" s="194"/>
      <c r="C97" s="197"/>
      <c r="D97" s="197"/>
      <c r="E97" s="8" t="s">
        <v>216</v>
      </c>
      <c r="F97" s="132">
        <v>41334</v>
      </c>
      <c r="G97" s="132">
        <v>41670</v>
      </c>
      <c r="H97" s="56">
        <f t="shared" si="11"/>
        <v>10</v>
      </c>
      <c r="I97" s="57" t="s">
        <v>32</v>
      </c>
      <c r="J97" s="58" t="s">
        <v>218</v>
      </c>
      <c r="K97" s="235"/>
      <c r="L97" s="182"/>
      <c r="M97" s="185"/>
      <c r="N97" s="226"/>
    </row>
    <row r="98" spans="1:14" ht="43.2" x14ac:dyDescent="0.25">
      <c r="A98" s="191"/>
      <c r="B98" s="194"/>
      <c r="C98" s="197"/>
      <c r="D98" s="197"/>
      <c r="E98" s="8" t="s">
        <v>219</v>
      </c>
      <c r="F98" s="132">
        <v>42005</v>
      </c>
      <c r="G98" s="132">
        <v>43073</v>
      </c>
      <c r="H98" s="56">
        <f t="shared" si="11"/>
        <v>35</v>
      </c>
      <c r="I98" s="57" t="s">
        <v>42</v>
      </c>
      <c r="J98" s="58" t="s">
        <v>220</v>
      </c>
      <c r="K98" s="235"/>
      <c r="L98" s="182"/>
      <c r="M98" s="185"/>
      <c r="N98" s="226"/>
    </row>
    <row r="99" spans="1:14" x14ac:dyDescent="0.25">
      <c r="A99" s="191"/>
      <c r="B99" s="194"/>
      <c r="C99" s="197"/>
      <c r="D99" s="197"/>
      <c r="E99" s="8" t="s">
        <v>221</v>
      </c>
      <c r="F99" s="132">
        <v>43405</v>
      </c>
      <c r="G99" s="132">
        <v>43558</v>
      </c>
      <c r="H99" s="56">
        <f t="shared" si="11"/>
        <v>5</v>
      </c>
      <c r="I99" s="57" t="s">
        <v>42</v>
      </c>
      <c r="J99" s="58"/>
      <c r="K99" s="235"/>
      <c r="L99" s="182"/>
      <c r="M99" s="185"/>
      <c r="N99" s="226"/>
    </row>
    <row r="100" spans="1:14" x14ac:dyDescent="0.25">
      <c r="A100" s="191"/>
      <c r="B100" s="194"/>
      <c r="C100" s="197"/>
      <c r="D100" s="197"/>
      <c r="E100" s="8" t="s">
        <v>222</v>
      </c>
      <c r="F100" s="132">
        <v>43738</v>
      </c>
      <c r="G100" s="132">
        <v>43849</v>
      </c>
      <c r="H100" s="56">
        <f t="shared" si="11"/>
        <v>3</v>
      </c>
      <c r="I100" s="57" t="s">
        <v>42</v>
      </c>
      <c r="J100" s="58"/>
      <c r="K100" s="235"/>
      <c r="L100" s="182"/>
      <c r="M100" s="185"/>
      <c r="N100" s="226"/>
    </row>
    <row r="101" spans="1:14" x14ac:dyDescent="0.25">
      <c r="A101" s="191"/>
      <c r="B101" s="194"/>
      <c r="C101" s="197"/>
      <c r="D101" s="197"/>
      <c r="E101" s="8" t="s">
        <v>223</v>
      </c>
      <c r="F101" s="132">
        <v>43926</v>
      </c>
      <c r="G101" s="132">
        <v>44226</v>
      </c>
      <c r="H101" s="56">
        <f t="shared" si="11"/>
        <v>9</v>
      </c>
      <c r="I101" s="57" t="s">
        <v>42</v>
      </c>
      <c r="J101" s="58"/>
      <c r="K101" s="235"/>
      <c r="L101" s="182"/>
      <c r="M101" s="185"/>
      <c r="N101" s="226"/>
    </row>
    <row r="102" spans="1:14" ht="76.2" thickBot="1" x14ac:dyDescent="0.3">
      <c r="A102" s="192"/>
      <c r="B102" s="195"/>
      <c r="C102" s="198"/>
      <c r="D102" s="198"/>
      <c r="E102" s="8" t="s">
        <v>224</v>
      </c>
      <c r="F102" s="132">
        <v>44291</v>
      </c>
      <c r="G102" s="132">
        <v>44703</v>
      </c>
      <c r="H102" s="65">
        <f t="shared" si="11"/>
        <v>13</v>
      </c>
      <c r="I102" s="66" t="s">
        <v>32</v>
      </c>
      <c r="J102" s="58" t="s">
        <v>214</v>
      </c>
      <c r="K102" s="236"/>
      <c r="L102" s="183"/>
      <c r="M102" s="186"/>
      <c r="N102" s="227"/>
    </row>
    <row r="103" spans="1:14" ht="10.95" customHeight="1" x14ac:dyDescent="0.25">
      <c r="A103" s="206">
        <v>13</v>
      </c>
      <c r="B103" s="207" t="str">
        <f>IF(Formato_9_Exp_Proponente!B98="","",Formato_9_Exp_Proponente!B98)</f>
        <v>ALIANZA INTEGRAL DE PROYECTOS SAS BIC: NIT 901.506.750-7</v>
      </c>
      <c r="C103" s="208" t="s">
        <v>225</v>
      </c>
      <c r="D103" s="209">
        <v>75034952</v>
      </c>
      <c r="E103" s="10" t="s">
        <v>167</v>
      </c>
      <c r="F103" s="60">
        <v>40942</v>
      </c>
      <c r="G103" s="60">
        <v>42542</v>
      </c>
      <c r="H103" s="61">
        <f t="shared" si="11"/>
        <v>52</v>
      </c>
      <c r="I103" s="62" t="s">
        <v>42</v>
      </c>
      <c r="J103" s="63"/>
      <c r="K103" s="234">
        <f>SUMIFS(H103:H110,I103:I110,"CUMPLE")</f>
        <v>52</v>
      </c>
      <c r="L103" s="203" t="s">
        <v>42</v>
      </c>
      <c r="M103" s="204" t="str">
        <f>IF(C103="","",IF(K103&gt;=48,IF(L103="CUMPLE","CUMPLE","NO CUMPLE"),"NO CUMPLE"))</f>
        <v>CUMPLE</v>
      </c>
      <c r="N103" s="205"/>
    </row>
    <row r="104" spans="1:14" x14ac:dyDescent="0.25">
      <c r="A104" s="191"/>
      <c r="B104" s="194"/>
      <c r="C104" s="197"/>
      <c r="D104" s="197"/>
      <c r="E104" s="8"/>
      <c r="F104" s="15"/>
      <c r="G104" s="15"/>
      <c r="H104" s="56">
        <f t="shared" ref="H104:H110" si="12">DATEDIF(F104,G104,"m")</f>
        <v>0</v>
      </c>
      <c r="I104" s="57"/>
      <c r="J104" s="58"/>
      <c r="K104" s="235"/>
      <c r="L104" s="182"/>
      <c r="M104" s="185"/>
      <c r="N104" s="188"/>
    </row>
    <row r="105" spans="1:14" x14ac:dyDescent="0.25">
      <c r="A105" s="191"/>
      <c r="B105" s="194"/>
      <c r="C105" s="197"/>
      <c r="D105" s="197"/>
      <c r="E105" s="8"/>
      <c r="F105" s="15"/>
      <c r="G105" s="15"/>
      <c r="H105" s="56">
        <f t="shared" si="12"/>
        <v>0</v>
      </c>
      <c r="I105" s="57"/>
      <c r="J105" s="58"/>
      <c r="K105" s="235"/>
      <c r="L105" s="182"/>
      <c r="M105" s="185"/>
      <c r="N105" s="188"/>
    </row>
    <row r="106" spans="1:14" x14ac:dyDescent="0.25">
      <c r="A106" s="191"/>
      <c r="B106" s="194"/>
      <c r="C106" s="197"/>
      <c r="D106" s="197"/>
      <c r="E106" s="8"/>
      <c r="F106" s="15"/>
      <c r="G106" s="15"/>
      <c r="H106" s="56">
        <f t="shared" si="12"/>
        <v>0</v>
      </c>
      <c r="I106" s="57"/>
      <c r="J106" s="58"/>
      <c r="K106" s="235"/>
      <c r="L106" s="182"/>
      <c r="M106" s="185"/>
      <c r="N106" s="188"/>
    </row>
    <row r="107" spans="1:14" x14ac:dyDescent="0.25">
      <c r="A107" s="191"/>
      <c r="B107" s="194"/>
      <c r="C107" s="197"/>
      <c r="D107" s="197"/>
      <c r="E107" s="8"/>
      <c r="F107" s="15"/>
      <c r="G107" s="15"/>
      <c r="H107" s="56">
        <f t="shared" si="12"/>
        <v>0</v>
      </c>
      <c r="I107" s="57"/>
      <c r="J107" s="58"/>
      <c r="K107" s="201"/>
      <c r="L107" s="182"/>
      <c r="M107" s="185"/>
      <c r="N107" s="188"/>
    </row>
    <row r="108" spans="1:14" x14ac:dyDescent="0.25">
      <c r="A108" s="191"/>
      <c r="B108" s="194"/>
      <c r="C108" s="197"/>
      <c r="D108" s="197"/>
      <c r="E108" s="8"/>
      <c r="F108" s="15"/>
      <c r="G108" s="15"/>
      <c r="H108" s="56">
        <f t="shared" si="12"/>
        <v>0</v>
      </c>
      <c r="I108" s="57"/>
      <c r="J108" s="58"/>
      <c r="K108" s="201"/>
      <c r="L108" s="182"/>
      <c r="M108" s="185"/>
      <c r="N108" s="188"/>
    </row>
    <row r="109" spans="1:14" x14ac:dyDescent="0.25">
      <c r="A109" s="191"/>
      <c r="B109" s="194"/>
      <c r="C109" s="197"/>
      <c r="D109" s="197"/>
      <c r="E109" s="8"/>
      <c r="F109" s="15"/>
      <c r="G109" s="15"/>
      <c r="H109" s="56">
        <f t="shared" si="12"/>
        <v>0</v>
      </c>
      <c r="I109" s="57"/>
      <c r="J109" s="58"/>
      <c r="K109" s="201"/>
      <c r="L109" s="182"/>
      <c r="M109" s="185"/>
      <c r="N109" s="188"/>
    </row>
    <row r="110" spans="1:14" ht="11.4" thickBot="1" x14ac:dyDescent="0.3">
      <c r="A110" s="192"/>
      <c r="B110" s="195"/>
      <c r="C110" s="198"/>
      <c r="D110" s="198"/>
      <c r="E110" s="31"/>
      <c r="F110" s="64"/>
      <c r="G110" s="64"/>
      <c r="H110" s="65">
        <f t="shared" si="12"/>
        <v>0</v>
      </c>
      <c r="I110" s="66"/>
      <c r="J110" s="67"/>
      <c r="K110" s="202"/>
      <c r="L110" s="183"/>
      <c r="M110" s="186"/>
      <c r="N110" s="189"/>
    </row>
  </sheetData>
  <sheetProtection algorithmName="SHA-512" hashValue="TBhct4G41fE9GAX9qiT3IPxME0QLmRpZxXLEjufUMcyjyfSRgHZLGba1ohPIYxbi7vANqLylIixNIDshJRv1zA==" saltValue="vyaYGlRw7uyyH2rq+Y4q2w==" spinCount="100000" sheet="1" objects="1" scenarios="1"/>
  <sortState xmlns:xlrd2="http://schemas.microsoft.com/office/spreadsheetml/2017/richdata2" ref="E51:J58">
    <sortCondition ref="F51:F58"/>
  </sortState>
  <mergeCells count="116">
    <mergeCell ref="L75:L82"/>
    <mergeCell ref="M75:M82"/>
    <mergeCell ref="N75:N82"/>
    <mergeCell ref="A75:A82"/>
    <mergeCell ref="B75:B82"/>
    <mergeCell ref="C75:C82"/>
    <mergeCell ref="D75:D82"/>
    <mergeCell ref="K75:K82"/>
    <mergeCell ref="L59:L66"/>
    <mergeCell ref="M59:M66"/>
    <mergeCell ref="N59:N66"/>
    <mergeCell ref="A67:A74"/>
    <mergeCell ref="B67:B74"/>
    <mergeCell ref="C67:C74"/>
    <mergeCell ref="D67:D74"/>
    <mergeCell ref="K67:K74"/>
    <mergeCell ref="L67:L74"/>
    <mergeCell ref="M67:M74"/>
    <mergeCell ref="N67:N74"/>
    <mergeCell ref="A59:A66"/>
    <mergeCell ref="B59:B66"/>
    <mergeCell ref="C59:C66"/>
    <mergeCell ref="D59:D66"/>
    <mergeCell ref="K59:K66"/>
    <mergeCell ref="A51:A58"/>
    <mergeCell ref="B51:B58"/>
    <mergeCell ref="C51:C58"/>
    <mergeCell ref="D51:D58"/>
    <mergeCell ref="K51:K58"/>
    <mergeCell ref="L51:L58"/>
    <mergeCell ref="M51:M58"/>
    <mergeCell ref="N51:N58"/>
    <mergeCell ref="A43:A50"/>
    <mergeCell ref="B43:B50"/>
    <mergeCell ref="C43:C50"/>
    <mergeCell ref="D43:D50"/>
    <mergeCell ref="K43:K50"/>
    <mergeCell ref="A35:A42"/>
    <mergeCell ref="B35:B42"/>
    <mergeCell ref="C35:C42"/>
    <mergeCell ref="D35:D42"/>
    <mergeCell ref="K35:K42"/>
    <mergeCell ref="L35:L42"/>
    <mergeCell ref="M35:M42"/>
    <mergeCell ref="N35:N42"/>
    <mergeCell ref="L43:L50"/>
    <mergeCell ref="M43:M50"/>
    <mergeCell ref="N43:N50"/>
    <mergeCell ref="N11:N18"/>
    <mergeCell ref="C19:C26"/>
    <mergeCell ref="D19:D26"/>
    <mergeCell ref="K19:K26"/>
    <mergeCell ref="L19:L26"/>
    <mergeCell ref="N19:N26"/>
    <mergeCell ref="D27:D34"/>
    <mergeCell ref="K27:K34"/>
    <mergeCell ref="L27:L34"/>
    <mergeCell ref="N27:N34"/>
    <mergeCell ref="N3:N10"/>
    <mergeCell ref="A3:A10"/>
    <mergeCell ref="B3:B10"/>
    <mergeCell ref="C3:C10"/>
    <mergeCell ref="D3:D10"/>
    <mergeCell ref="K3:K10"/>
    <mergeCell ref="L3:L10"/>
    <mergeCell ref="M1:N1"/>
    <mergeCell ref="A1:A2"/>
    <mergeCell ref="B1:B2"/>
    <mergeCell ref="C1:C2"/>
    <mergeCell ref="D1:D2"/>
    <mergeCell ref="E1:E2"/>
    <mergeCell ref="F1:G1"/>
    <mergeCell ref="H1:H2"/>
    <mergeCell ref="I1:I2"/>
    <mergeCell ref="J1:J2"/>
    <mergeCell ref="K1:K2"/>
    <mergeCell ref="L1:L2"/>
    <mergeCell ref="A19:A26"/>
    <mergeCell ref="B19:B26"/>
    <mergeCell ref="M19:M26"/>
    <mergeCell ref="M27:M34"/>
    <mergeCell ref="M3:M10"/>
    <mergeCell ref="A11:A18"/>
    <mergeCell ref="B11:B18"/>
    <mergeCell ref="C11:C18"/>
    <mergeCell ref="D11:D18"/>
    <mergeCell ref="K11:K18"/>
    <mergeCell ref="L11:L18"/>
    <mergeCell ref="M11:M18"/>
    <mergeCell ref="A27:A34"/>
    <mergeCell ref="B27:B34"/>
    <mergeCell ref="C27:C34"/>
    <mergeCell ref="L103:L110"/>
    <mergeCell ref="M103:M110"/>
    <mergeCell ref="N103:N110"/>
    <mergeCell ref="A103:A110"/>
    <mergeCell ref="B103:B110"/>
    <mergeCell ref="C103:C110"/>
    <mergeCell ref="D103:D110"/>
    <mergeCell ref="K103:K110"/>
    <mergeCell ref="L83:L90"/>
    <mergeCell ref="M83:M90"/>
    <mergeCell ref="N83:N90"/>
    <mergeCell ref="A91:A102"/>
    <mergeCell ref="B91:B102"/>
    <mergeCell ref="C91:C102"/>
    <mergeCell ref="D91:D102"/>
    <mergeCell ref="K91:K102"/>
    <mergeCell ref="L91:L102"/>
    <mergeCell ref="M91:M102"/>
    <mergeCell ref="N91:N102"/>
    <mergeCell ref="A83:A90"/>
    <mergeCell ref="B83:B90"/>
    <mergeCell ref="C83:C90"/>
    <mergeCell ref="D83:D90"/>
    <mergeCell ref="K83:K90"/>
  </mergeCells>
  <conditionalFormatting sqref="A3:D3 K3 H3:J48 E3:E110 H49:I49 H50:J95 H96:I98 H99:J110">
    <cfRule type="cellIs" dxfId="35" priority="112" operator="equal">
      <formula>"NO HABILITADO"</formula>
    </cfRule>
    <cfRule type="cellIs" dxfId="34" priority="113" operator="equal">
      <formula>"NO CUMPLE"</formula>
    </cfRule>
  </conditionalFormatting>
  <conditionalFormatting sqref="A11:D11 K11:L11">
    <cfRule type="cellIs" dxfId="33" priority="26" operator="equal">
      <formula>"NO HABILITADO"</formula>
    </cfRule>
    <cfRule type="cellIs" dxfId="32" priority="27" operator="equal">
      <formula>"NO CUMPLE"</formula>
    </cfRule>
  </conditionalFormatting>
  <conditionalFormatting sqref="A19:D19 K19:L19">
    <cfRule type="cellIs" dxfId="31" priority="24" operator="equal">
      <formula>"NO HABILITADO"</formula>
    </cfRule>
    <cfRule type="cellIs" dxfId="30" priority="25" operator="equal">
      <formula>"NO CUMPLE"</formula>
    </cfRule>
  </conditionalFormatting>
  <conditionalFormatting sqref="A27:D27 K27:L27">
    <cfRule type="cellIs" dxfId="29" priority="22" operator="equal">
      <formula>"NO HABILITADO"</formula>
    </cfRule>
    <cfRule type="cellIs" dxfId="28" priority="23" operator="equal">
      <formula>"NO CUMPLE"</formula>
    </cfRule>
  </conditionalFormatting>
  <conditionalFormatting sqref="A35:D35 K35:L35">
    <cfRule type="cellIs" dxfId="27" priority="20" operator="equal">
      <formula>"NO HABILITADO"</formula>
    </cfRule>
    <cfRule type="cellIs" dxfId="26" priority="21" operator="equal">
      <formula>"NO CUMPLE"</formula>
    </cfRule>
  </conditionalFormatting>
  <conditionalFormatting sqref="A43:D43">
    <cfRule type="cellIs" dxfId="25" priority="1" operator="equal">
      <formula>"NO HABILITADO"</formula>
    </cfRule>
    <cfRule type="cellIs" dxfId="24" priority="2" operator="equal">
      <formula>"NO CUMPLE"</formula>
    </cfRule>
  </conditionalFormatting>
  <conditionalFormatting sqref="A51:D51 K51:L51">
    <cfRule type="cellIs" dxfId="23" priority="16" operator="equal">
      <formula>"NO HABILITADO"</formula>
    </cfRule>
    <cfRule type="cellIs" dxfId="22" priority="17" operator="equal">
      <formula>"NO CUMPLE"</formula>
    </cfRule>
  </conditionalFormatting>
  <conditionalFormatting sqref="A59:D59 K59:L59">
    <cfRule type="cellIs" dxfId="21" priority="14" operator="equal">
      <formula>"NO HABILITADO"</formula>
    </cfRule>
    <cfRule type="cellIs" dxfId="20" priority="15" operator="equal">
      <formula>"NO CUMPLE"</formula>
    </cfRule>
  </conditionalFormatting>
  <conditionalFormatting sqref="A67:D67 K67:L67">
    <cfRule type="cellIs" dxfId="19" priority="12" operator="equal">
      <formula>"NO HABILITADO"</formula>
    </cfRule>
    <cfRule type="cellIs" dxfId="18" priority="13" operator="equal">
      <formula>"NO CUMPLE"</formula>
    </cfRule>
  </conditionalFormatting>
  <conditionalFormatting sqref="A75:D75 K75:L75">
    <cfRule type="cellIs" dxfId="17" priority="10" operator="equal">
      <formula>"NO HABILITADO"</formula>
    </cfRule>
    <cfRule type="cellIs" dxfId="16" priority="11" operator="equal">
      <formula>"NO CUMPLE"</formula>
    </cfRule>
  </conditionalFormatting>
  <conditionalFormatting sqref="A83:D83 K83:L83">
    <cfRule type="cellIs" dxfId="15" priority="8" operator="equal">
      <formula>"NO HABILITADO"</formula>
    </cfRule>
    <cfRule type="cellIs" dxfId="14" priority="9" operator="equal">
      <formula>"NO CUMPLE"</formula>
    </cfRule>
  </conditionalFormatting>
  <conditionalFormatting sqref="A103:D103 K103:L103">
    <cfRule type="cellIs" dxfId="13" priority="4" operator="equal">
      <formula>"NO HABILITADO"</formula>
    </cfRule>
    <cfRule type="cellIs" dxfId="12" priority="5" operator="equal">
      <formula>"NO CUMPLE"</formula>
    </cfRule>
  </conditionalFormatting>
  <conditionalFormatting sqref="H1:J1 M1:N1 A1:E2 F2:H2">
    <cfRule type="cellIs" dxfId="11" priority="110" operator="equal">
      <formula>"RECHAZADO"</formula>
    </cfRule>
  </conditionalFormatting>
  <conditionalFormatting sqref="K1:L2">
    <cfRule type="cellIs" dxfId="10" priority="95" operator="equal">
      <formula>"RECHAZADO"</formula>
    </cfRule>
  </conditionalFormatting>
  <conditionalFormatting sqref="K43:L43">
    <cfRule type="cellIs" dxfId="9" priority="18" operator="equal">
      <formula>"NO HABILITADO"</formula>
    </cfRule>
    <cfRule type="cellIs" dxfId="8" priority="19" operator="equal">
      <formula>"NO CUMPLE"</formula>
    </cfRule>
  </conditionalFormatting>
  <conditionalFormatting sqref="L3:L10 M3:M110">
    <cfRule type="expression" dxfId="7" priority="3">
      <formula>L3="NO CUMPLE"</formula>
    </cfRule>
  </conditionalFormatting>
  <pageMargins left="0.7" right="0.7" top="0.75" bottom="0.75" header="0.3" footer="0.3"/>
  <ignoredErrors>
    <ignoredError sqref="H4:H10" unlockedFormula="1"/>
  </ignoredErrors>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48612893-CB0E-4B62-A065-A5DB6B6AF03C}">
          <x14:formula1>
            <xm:f>Listados!$H$3:$H$4</xm:f>
          </x14:formula1>
          <xm:sqref>L3 L11 L19 L27 L35 L43 L51 L59 L67 L75 L83 I3:I110 L91:L103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669E1-8663-44EA-9199-884CCAA2BA95}">
  <sheetPr codeName="Hoja5"/>
  <dimension ref="A1:G15"/>
  <sheetViews>
    <sheetView zoomScaleNormal="100" workbookViewId="0">
      <selection activeCell="C17" sqref="C17"/>
    </sheetView>
  </sheetViews>
  <sheetFormatPr baseColWidth="10" defaultColWidth="11.44140625" defaultRowHeight="13.8" x14ac:dyDescent="0.25"/>
  <cols>
    <col min="1" max="1" width="13.88671875" style="40" bestFit="1" customWidth="1"/>
    <col min="2" max="2" width="50.33203125" style="39" customWidth="1"/>
    <col min="3" max="3" width="20" style="39" customWidth="1"/>
    <col min="4" max="4" width="27.44140625" style="40" customWidth="1"/>
    <col min="5" max="5" width="18.6640625" style="40" customWidth="1"/>
    <col min="6" max="6" width="19.44140625" style="40" bestFit="1" customWidth="1"/>
    <col min="7" max="7" width="15.109375" style="40" customWidth="1"/>
    <col min="8" max="12" width="11.44140625" style="39"/>
    <col min="13" max="13" width="14.109375" style="39" bestFit="1" customWidth="1"/>
    <col min="14" max="16384" width="11.44140625" style="39"/>
  </cols>
  <sheetData>
    <row r="1" spans="1:7" x14ac:dyDescent="0.25">
      <c r="A1" s="243" t="s">
        <v>28</v>
      </c>
      <c r="B1" s="243"/>
      <c r="C1" s="243"/>
      <c r="D1" s="243"/>
      <c r="E1" s="243"/>
      <c r="F1" s="243"/>
      <c r="G1" s="243"/>
    </row>
    <row r="2" spans="1:7" ht="69.599999999999994" customHeight="1" x14ac:dyDescent="0.25">
      <c r="A2" s="73" t="s">
        <v>0</v>
      </c>
      <c r="B2" s="73" t="s">
        <v>1</v>
      </c>
      <c r="C2" s="73" t="s">
        <v>226</v>
      </c>
      <c r="D2" s="73" t="s">
        <v>91</v>
      </c>
      <c r="E2" s="73" t="s">
        <v>227</v>
      </c>
      <c r="F2" s="73" t="s">
        <v>228</v>
      </c>
      <c r="G2" s="73" t="s">
        <v>229</v>
      </c>
    </row>
    <row r="3" spans="1:7" ht="18.75" customHeight="1" x14ac:dyDescent="0.25">
      <c r="A3" s="24">
        <v>1</v>
      </c>
      <c r="B3" s="53" t="str" cm="1">
        <f t="array" aca="1" ref="B3" ca="1">IF(INDIRECT("Formato_9_Exp_Proponente!B"&amp;Listados!S3)="","",INDIRECT("Formato_9_Exp_Proponente!B"&amp;Listados!S3))</f>
        <v>ARES SECURITY LTDA: NIT 900.599.147-1</v>
      </c>
      <c r="C3" s="74" t="str" cm="1">
        <f t="array" aca="1" ref="C3" ca="1">IF(INDIRECT("Formato_9_Exp_Proponente!AC"&amp;Listados!S3)="","",INDIRECT("Formato_9_Exp_Proponente!AC"&amp;Listados!S3))</f>
        <v>NO CUMPLE</v>
      </c>
      <c r="D3" s="74" t="str">
        <f>IF(Formato_12!C4="","",Formato_12!C4)</f>
        <v>CUMPLE</v>
      </c>
      <c r="E3" s="74" t="str" cm="1">
        <f t="array" aca="1" ref="E3" ca="1">IF(INDIRECT("Exp_Hab_Director!M"&amp;Listados!T3)="","",INDIRECT("Exp_Hab_Director!M"&amp;Listados!T3))</f>
        <v>NO CUMPLE</v>
      </c>
      <c r="F3" s="74" t="str" cm="1">
        <f t="array" aca="1" ref="F3" ca="1">IF(INDIRECT("Exp_Hab_Coor_Ope!M"&amp;Listados!T3)="","",INDIRECT("Exp_Hab_Coor_Ope!M"&amp;Listados!T3))</f>
        <v>NO CUMPLE</v>
      </c>
      <c r="G3" s="74" t="str">
        <f ca="1">IF(OR(B3="",C3="")=TRUE,"",IF(AND(C3="CUMPLE",D3="CUMPLE",E3="CUMPLE",F3="CUMPLE"),"HABILITADO","NO HABILITADO"))</f>
        <v>NO HABILITADO</v>
      </c>
    </row>
    <row r="4" spans="1:7" ht="21.6" x14ac:dyDescent="0.25">
      <c r="A4" s="24">
        <v>2</v>
      </c>
      <c r="B4" s="53" t="str" cm="1">
        <f t="array" aca="1" ref="B4" ca="1">IF(INDIRECT("Formato_9_Exp_Proponente!B"&amp;Listados!S4)="","",INDIRECT("Formato_9_Exp_Proponente!B"&amp;Listados!S4))</f>
        <v>GERMAN MONTENEGRO FAJARDO AUDITORES &amp; ASESORES S.A.S. BIC 900.335.334-8</v>
      </c>
      <c r="C4" s="74" t="str" cm="1">
        <f t="array" aca="1" ref="C4" ca="1">IF(INDIRECT("Formato_9_Exp_Proponente!AC"&amp;Listados!S4)="","",INDIRECT("Formato_9_Exp_Proponente!AC"&amp;Listados!S4))</f>
        <v>CUMPLE</v>
      </c>
      <c r="D4" s="74" t="str">
        <f>IF(Formato_12!C5="","",Formato_12!C5)</f>
        <v>CUMPLE</v>
      </c>
      <c r="E4" s="74" t="str" cm="1">
        <f t="array" aca="1" ref="E4" ca="1">IF(INDIRECT("Exp_Hab_Director!M"&amp;Listados!T4)="","",INDIRECT("Exp_Hab_Director!M"&amp;Listados!T4))</f>
        <v>CUMPLE</v>
      </c>
      <c r="F4" s="74" t="str" cm="1">
        <f t="array" aca="1" ref="F4" ca="1">IF(INDIRECT("Exp_Hab_Coor_Ope!M"&amp;Listados!T4)="","",INDIRECT("Exp_Hab_Coor_Ope!M"&amp;Listados!T4))</f>
        <v>CUMPLE</v>
      </c>
      <c r="G4" s="74" t="str">
        <f t="shared" ref="G4:G15" ca="1" si="0">IF(OR(B4="",C4="")=TRUE,"",IF(AND(C4="CUMPLE",D4="CUMPLE",E4="CUMPLE",F4="CUMPLE"),"HABILITADO","NO HABILITADO"))</f>
        <v>HABILITADO</v>
      </c>
    </row>
    <row r="5" spans="1:7" x14ac:dyDescent="0.25">
      <c r="A5" s="24">
        <v>3</v>
      </c>
      <c r="B5" s="53" t="str" cm="1">
        <f t="array" aca="1" ref="B5" ca="1">IF(INDIRECT("Formato_9_Exp_Proponente!B"&amp;Listados!S5)="","",INDIRECT("Formato_9_Exp_Proponente!B"&amp;Listados!S5))</f>
        <v>JFS CONSULTORES S.A.S. -BIC 901.542.814-2</v>
      </c>
      <c r="C5" s="74" t="str" cm="1">
        <f t="array" aca="1" ref="C5" ca="1">IF(INDIRECT("Formato_9_Exp_Proponente!AC"&amp;Listados!S5)="","",INDIRECT("Formato_9_Exp_Proponente!AC"&amp;Listados!S5))</f>
        <v>CUMPLE</v>
      </c>
      <c r="D5" s="74" t="str">
        <f>IF(Formato_12!C6="","",Formato_12!C6)</f>
        <v>CUMPLE</v>
      </c>
      <c r="E5" s="74" t="str" cm="1">
        <f t="array" aca="1" ref="E5" ca="1">IF(INDIRECT("Exp_Hab_Director!M"&amp;Listados!T5)="","",INDIRECT("Exp_Hab_Director!M"&amp;Listados!T5))</f>
        <v>CUMPLE</v>
      </c>
      <c r="F5" s="74" t="str" cm="1">
        <f t="array" aca="1" ref="F5" ca="1">IF(INDIRECT("Exp_Hab_Coor_Ope!M"&amp;Listados!T5)="","",INDIRECT("Exp_Hab_Coor_Ope!M"&amp;Listados!T5))</f>
        <v>CUMPLE</v>
      </c>
      <c r="G5" s="74" t="str">
        <f t="shared" ca="1" si="0"/>
        <v>HABILITADO</v>
      </c>
    </row>
    <row r="6" spans="1:7" x14ac:dyDescent="0.25">
      <c r="A6" s="24">
        <v>4</v>
      </c>
      <c r="B6" s="53" t="str" cm="1">
        <f t="array" aca="1" ref="B6" ca="1">IF(INDIRECT("Formato_9_Exp_Proponente!B"&amp;Listados!S6)="","",INDIRECT("Formato_9_Exp_Proponente!B"&amp;Listados!S6))</f>
        <v>SCAIPROYEKTA S.A.S. BIC: NIT 901.476.977-1</v>
      </c>
      <c r="C6" s="74" t="str" cm="1">
        <f t="array" aca="1" ref="C6" ca="1">IF(INDIRECT("Formato_9_Exp_Proponente!AC"&amp;Listados!S6)="","",INDIRECT("Formato_9_Exp_Proponente!AC"&amp;Listados!S6))</f>
        <v>CUMPLE</v>
      </c>
      <c r="D6" s="74" t="str">
        <f>IF(Formato_12!C7="","",Formato_12!C7)</f>
        <v>CUMPLE</v>
      </c>
      <c r="E6" s="74" t="str" cm="1">
        <f t="array" aca="1" ref="E6" ca="1">IF(INDIRECT("Exp_Hab_Director!M"&amp;Listados!T6)="","",INDIRECT("Exp_Hab_Director!M"&amp;Listados!T6))</f>
        <v>CUMPLE</v>
      </c>
      <c r="F6" s="74" t="str" cm="1">
        <f t="array" aca="1" ref="F6" ca="1">IF(INDIRECT("Exp_Hab_Coor_Ope!M"&amp;Listados!T6)="","",INDIRECT("Exp_Hab_Coor_Ope!M"&amp;Listados!T6))</f>
        <v>NO CUMPLE</v>
      </c>
      <c r="G6" s="74" t="str">
        <f t="shared" ca="1" si="0"/>
        <v>NO HABILITADO</v>
      </c>
    </row>
    <row r="7" spans="1:7" x14ac:dyDescent="0.25">
      <c r="A7" s="24">
        <v>5</v>
      </c>
      <c r="B7" s="53" t="str" cm="1">
        <f t="array" aca="1" ref="B7" ca="1">IF(INDIRECT("Formato_9_Exp_Proponente!B"&amp;Listados!S7)="","",INDIRECT("Formato_9_Exp_Proponente!B"&amp;Listados!S7))</f>
        <v xml:space="preserve">UT GREM-NOVAC </v>
      </c>
      <c r="C7" s="74" t="str" cm="1">
        <f t="array" aca="1" ref="C7" ca="1">IF(INDIRECT("Formato_9_Exp_Proponente!AC"&amp;Listados!S7)="","",INDIRECT("Formato_9_Exp_Proponente!AC"&amp;Listados!S7))</f>
        <v>NO CUMPLE</v>
      </c>
      <c r="D7" s="74" t="str">
        <f>IF(Formato_12!C8="","",Formato_12!C8)</f>
        <v>CUMPLE</v>
      </c>
      <c r="E7" s="74" t="str" cm="1">
        <f t="array" aca="1" ref="E7" ca="1">IF(INDIRECT("Exp_Hab_Director!M"&amp;Listados!T7)="","",INDIRECT("Exp_Hab_Director!M"&amp;Listados!T7))</f>
        <v>CUMPLE</v>
      </c>
      <c r="F7" s="74" t="str" cm="1">
        <f t="array" aca="1" ref="F7" ca="1">IF(INDIRECT("Exp_Hab_Coor_Ope!M"&amp;Listados!T7)="","",INDIRECT("Exp_Hab_Coor_Ope!M"&amp;Listados!T7))</f>
        <v>CUMPLE</v>
      </c>
      <c r="G7" s="74" t="str">
        <f t="shared" ca="1" si="0"/>
        <v>NO HABILITADO</v>
      </c>
    </row>
    <row r="8" spans="1:7" x14ac:dyDescent="0.25">
      <c r="A8" s="24">
        <v>6</v>
      </c>
      <c r="B8" s="53" t="str" cm="1">
        <f t="array" aca="1" ref="B8" ca="1">IF(INDIRECT("Formato_9_Exp_Proponente!B"&amp;Listados!S8)="","",INDIRECT("Formato_9_Exp_Proponente!B"&amp;Listados!S8))</f>
        <v>SGA CONSULTORES S.A.S: NIT 901.549.833-4</v>
      </c>
      <c r="C8" s="74" t="str" cm="1">
        <f t="array" aca="1" ref="C8" ca="1">IF(INDIRECT("Formato_9_Exp_Proponente!AC"&amp;Listados!S8)="","",INDIRECT("Formato_9_Exp_Proponente!AC"&amp;Listados!S8))</f>
        <v>CUMPLE</v>
      </c>
      <c r="D8" s="74" t="str">
        <f>IF(Formato_12!C9="","",Formato_12!C9)</f>
        <v>CUMPLE</v>
      </c>
      <c r="E8" s="74" t="str" cm="1">
        <f t="array" aca="1" ref="E8" ca="1">IF(INDIRECT("Exp_Hab_Director!M"&amp;Listados!T8)="","",INDIRECT("Exp_Hab_Director!M"&amp;Listados!T8))</f>
        <v>NO CUMPLE</v>
      </c>
      <c r="F8" s="74" t="str" cm="1">
        <f t="array" aca="1" ref="F8" ca="1">IF(INDIRECT("Exp_Hab_Coor_Ope!M"&amp;Listados!T8)="","",INDIRECT("Exp_Hab_Coor_Ope!M"&amp;Listados!T8))</f>
        <v>NO CUMPLE</v>
      </c>
      <c r="G8" s="74" t="str">
        <f t="shared" ca="1" si="0"/>
        <v>NO HABILITADO</v>
      </c>
    </row>
    <row r="9" spans="1:7" x14ac:dyDescent="0.25">
      <c r="A9" s="24">
        <v>7</v>
      </c>
      <c r="B9" s="53" t="str" cm="1">
        <f t="array" aca="1" ref="B9" ca="1">IF(INDIRECT("Formato_9_Exp_Proponente!B"&amp;Listados!S9)="","",INDIRECT("Formato_9_Exp_Proponente!B"&amp;Listados!S9))</f>
        <v>SMARTY COLOMBIA SAS BIC: NIT 900249549-6</v>
      </c>
      <c r="C9" s="74" t="str" cm="1">
        <f t="array" aca="1" ref="C9" ca="1">IF(INDIRECT("Formato_9_Exp_Proponente!AC"&amp;Listados!S9)="","",INDIRECT("Formato_9_Exp_Proponente!AC"&amp;Listados!S9))</f>
        <v>CUMPLE</v>
      </c>
      <c r="D9" s="74" t="str">
        <f>IF(Formato_12!C10="","",Formato_12!C10)</f>
        <v>CUMPLE</v>
      </c>
      <c r="E9" s="74" t="str" cm="1">
        <f t="array" aca="1" ref="E9" ca="1">IF(INDIRECT("Exp_Hab_Director!M"&amp;Listados!T9)="","",INDIRECT("Exp_Hab_Director!M"&amp;Listados!T9))</f>
        <v>NO CUMPLE</v>
      </c>
      <c r="F9" s="74" t="str" cm="1">
        <f t="array" aca="1" ref="F9" ca="1">IF(INDIRECT("Exp_Hab_Coor_Ope!M"&amp;Listados!T9)="","",INDIRECT("Exp_Hab_Coor_Ope!M"&amp;Listados!T9))</f>
        <v>CUMPLE</v>
      </c>
      <c r="G9" s="74" t="str">
        <f t="shared" ca="1" si="0"/>
        <v>NO HABILITADO</v>
      </c>
    </row>
    <row r="10" spans="1:7" x14ac:dyDescent="0.25">
      <c r="A10" s="24">
        <v>8</v>
      </c>
      <c r="B10" s="53" t="str" cm="1">
        <f t="array" aca="1" ref="B10" ca="1">IF(INDIRECT("Formato_9_Exp_Proponente!B"&amp;Listados!S10)="","",INDIRECT("Formato_9_Exp_Proponente!B"&amp;Listados!S10))</f>
        <v>CONSORCIO TOOL</v>
      </c>
      <c r="C10" s="74" t="str" cm="1">
        <f t="array" aca="1" ref="C10" ca="1">IF(INDIRECT("Formato_9_Exp_Proponente!AC"&amp;Listados!S10)="","",INDIRECT("Formato_9_Exp_Proponente!AC"&amp;Listados!S10))</f>
        <v>CUMPLE</v>
      </c>
      <c r="D10" s="74" t="str">
        <f>IF(Formato_12!C11="","",Formato_12!C11)</f>
        <v>CUMPLE</v>
      </c>
      <c r="E10" s="74" t="str" cm="1">
        <f t="array" aca="1" ref="E10" ca="1">IF(INDIRECT("Exp_Hab_Director!M"&amp;Listados!T10)="","",INDIRECT("Exp_Hab_Director!M"&amp;Listados!T10))</f>
        <v>NO CUMPLE</v>
      </c>
      <c r="F10" s="74" t="str" cm="1">
        <f t="array" aca="1" ref="F10" ca="1">IF(INDIRECT("Exp_Hab_Coor_Ope!M"&amp;Listados!T10)="","",INDIRECT("Exp_Hab_Coor_Ope!M"&amp;Listados!T10))</f>
        <v>CUMPLE</v>
      </c>
      <c r="G10" s="74" t="str">
        <f t="shared" ca="1" si="0"/>
        <v>NO HABILITADO</v>
      </c>
    </row>
    <row r="11" spans="1:7" x14ac:dyDescent="0.25">
      <c r="A11" s="24">
        <v>9</v>
      </c>
      <c r="B11" s="53" t="str" cm="1">
        <f t="array" aca="1" ref="B11" ca="1">IF(INDIRECT("Formato_9_Exp_Proponente!B"&amp;Listados!S11)="","",INDIRECT("Formato_9_Exp_Proponente!B"&amp;Listados!S11))</f>
        <v>CONSORCIO INTERVENTORÍA DE VIGILANCIA 2024</v>
      </c>
      <c r="C11" s="74" t="str" cm="1">
        <f t="array" aca="1" ref="C11" ca="1">IF(INDIRECT("Formato_9_Exp_Proponente!AC"&amp;Listados!S11)="","",INDIRECT("Formato_9_Exp_Proponente!AC"&amp;Listados!S11))</f>
        <v>NO CUMPLE</v>
      </c>
      <c r="D11" s="74" t="str">
        <f>IF(Formato_12!C12="","",Formato_12!C12)</f>
        <v>CUMPLE</v>
      </c>
      <c r="E11" s="74" t="str" cm="1">
        <f t="array" aca="1" ref="E11" ca="1">IF(INDIRECT("Exp_Hab_Director!M"&amp;Listados!T11)="","",INDIRECT("Exp_Hab_Director!M"&amp;Listados!T11))</f>
        <v>NO CUMPLE</v>
      </c>
      <c r="F11" s="74" t="str" cm="1">
        <f t="array" aca="1" ref="F11" ca="1">IF(INDIRECT("Exp_Hab_Coor_Ope!M"&amp;Listados!T11)="","",INDIRECT("Exp_Hab_Coor_Ope!M"&amp;Listados!T11))</f>
        <v>CUMPLE</v>
      </c>
      <c r="G11" s="74" t="str">
        <f t="shared" ca="1" si="0"/>
        <v>NO HABILITADO</v>
      </c>
    </row>
    <row r="12" spans="1:7" x14ac:dyDescent="0.25">
      <c r="A12" s="24">
        <v>10</v>
      </c>
      <c r="B12" s="53" t="str" cm="1">
        <f t="array" aca="1" ref="B12" ca="1">IF(INDIRECT("Formato_9_Exp_Proponente!B"&amp;Listados!S12)="","",INDIRECT("Formato_9_Exp_Proponente!B"&amp;Listados!S12))</f>
        <v>Consultora Central S.A.S BIC</v>
      </c>
      <c r="C12" s="74" t="str" cm="1">
        <f t="array" aca="1" ref="C12" ca="1">IF(INDIRECT("Formato_9_Exp_Proponente!AC"&amp;Listados!S12)="","",INDIRECT("Formato_9_Exp_Proponente!AC"&amp;Listados!S12))</f>
        <v>CUMPLE</v>
      </c>
      <c r="D12" s="74" t="str">
        <f>IF(Formato_12!C13="","",Formato_12!C13)</f>
        <v>CUMPLE</v>
      </c>
      <c r="E12" s="74" t="str" cm="1">
        <f t="array" aca="1" ref="E12" ca="1">IF(INDIRECT("Exp_Hab_Director!M"&amp;Listados!T12)="","",INDIRECT("Exp_Hab_Director!M"&amp;Listados!T12))</f>
        <v>CUMPLE</v>
      </c>
      <c r="F12" s="74" t="str" cm="1">
        <f t="array" aca="1" ref="F12" ca="1">IF(INDIRECT("Exp_Hab_Coor_Ope!M"&amp;Listados!T12)="","",INDIRECT("Exp_Hab_Coor_Ope!M"&amp;Listados!T12))</f>
        <v>CUMPLE</v>
      </c>
      <c r="G12" s="74" t="str">
        <f t="shared" ca="1" si="0"/>
        <v>HABILITADO</v>
      </c>
    </row>
    <row r="13" spans="1:7" x14ac:dyDescent="0.25">
      <c r="A13" s="24">
        <v>11</v>
      </c>
      <c r="B13" s="53" t="str" cm="1">
        <f t="array" aca="1" ref="B13" ca="1">IF(INDIRECT("Formato_9_Exp_Proponente!B"&amp;Listados!S13)="","",INDIRECT("Formato_9_Exp_Proponente!B"&amp;Listados!S13))</f>
        <v>CONSORCIO INTERVENCIÓN Y SEGURIDAD DISTRITAL</v>
      </c>
      <c r="C13" s="74" t="str" cm="1">
        <f t="array" aca="1" ref="C13" ca="1">IF(INDIRECT("Formato_9_Exp_Proponente!AC"&amp;Listados!S13)="","",INDIRECT("Formato_9_Exp_Proponente!AC"&amp;Listados!S13))</f>
        <v>CUMPLE</v>
      </c>
      <c r="D13" s="74" t="str">
        <f>IF(Formato_12!C14="","",Formato_12!C14)</f>
        <v>CUMPLE</v>
      </c>
      <c r="E13" s="74" t="str" cm="1">
        <f t="array" aca="1" ref="E13" ca="1">IF(INDIRECT("Exp_Hab_Director!M"&amp;Listados!T13)="","",INDIRECT("Exp_Hab_Director!M"&amp;Listados!T13))</f>
        <v>CUMPLE</v>
      </c>
      <c r="F13" s="74" t="str" cm="1">
        <f t="array" aca="1" ref="F13" ca="1">IF(INDIRECT("Exp_Hab_Coor_Ope!M"&amp;Listados!T13)="","",INDIRECT("Exp_Hab_Coor_Ope!M"&amp;Listados!T13))</f>
        <v>CUMPLE</v>
      </c>
      <c r="G13" s="74" t="str">
        <f t="shared" ca="1" si="0"/>
        <v>HABILITADO</v>
      </c>
    </row>
    <row r="14" spans="1:7" x14ac:dyDescent="0.25">
      <c r="A14" s="24">
        <v>12</v>
      </c>
      <c r="B14" s="53" t="str" cm="1">
        <f t="array" aca="1" ref="B14" ca="1">IF(INDIRECT("Formato_9_Exp_Proponente!B"&amp;Listados!S14)="","",INDIRECT("Formato_9_Exp_Proponente!B"&amp;Listados!S14))</f>
        <v>Strycon Energía: NIT 901.466.510-3</v>
      </c>
      <c r="C14" s="74" t="str" cm="1">
        <f t="array" aca="1" ref="C14" ca="1">IF(INDIRECT("Formato_9_Exp_Proponente!AC"&amp;Listados!S14)="","",INDIRECT("Formato_9_Exp_Proponente!AC"&amp;Listados!S14))</f>
        <v>CUMPLE</v>
      </c>
      <c r="D14" s="74" t="str">
        <f>IF(Formato_12!C15="","",Formato_12!C15)</f>
        <v>CUMPLE</v>
      </c>
      <c r="E14" s="74" t="str" cm="1">
        <f t="array" aca="1" ref="E14" ca="1">IF(INDIRECT("Exp_Hab_Director!M"&amp;Listados!T14)="","",INDIRECT("Exp_Hab_Director!M"&amp;Listados!T14))</f>
        <v>NO CUMPLE</v>
      </c>
      <c r="F14" s="74" t="str" cm="1">
        <f t="array" aca="1" ref="F14" ca="1">IF(INDIRECT("Exp_Hab_Coor_Ope!M"&amp;Listados!T14)="","",INDIRECT("Exp_Hab_Coor_Ope!M"&amp;Listados!T14))</f>
        <v>NO CUMPLE</v>
      </c>
      <c r="G14" s="74" t="str">
        <f t="shared" ca="1" si="0"/>
        <v>NO HABILITADO</v>
      </c>
    </row>
    <row r="15" spans="1:7" x14ac:dyDescent="0.25">
      <c r="A15" s="24">
        <v>13</v>
      </c>
      <c r="B15" s="53" t="str" cm="1">
        <f t="array" aca="1" ref="B15" ca="1">IF(INDIRECT("Formato_9_Exp_Proponente!B"&amp;Listados!S15)="","",INDIRECT("Formato_9_Exp_Proponente!B"&amp;Listados!S15))</f>
        <v>ALIANZA INTEGRAL DE PROYECTOS SAS BIC: NIT 901.506.750-7</v>
      </c>
      <c r="C15" s="74" t="str" cm="1">
        <f t="array" aca="1" ref="C15" ca="1">IF(INDIRECT("Formato_9_Exp_Proponente!AC"&amp;Listados!S15)="","",INDIRECT("Formato_9_Exp_Proponente!AC"&amp;Listados!S15))</f>
        <v>CUMPLE</v>
      </c>
      <c r="D15" s="74" t="str">
        <f>IF(Formato_12!C16="","",Formato_12!C16)</f>
        <v>CUMPLE</v>
      </c>
      <c r="E15" s="74" t="str">
        <f>Exp_Hab_Director!M99</f>
        <v>NO CUMPLE</v>
      </c>
      <c r="F15" s="74" t="str" cm="1">
        <f t="array" aca="1" ref="F15" ca="1">IF(INDIRECT("Exp_Hab_Coor_Ope!M"&amp;Listados!T15)="","",INDIRECT("Exp_Hab_Coor_Ope!M"&amp;Listados!T15))</f>
        <v>CUMPLE</v>
      </c>
      <c r="G15" s="74" t="str">
        <f t="shared" ca="1" si="0"/>
        <v>NO HABILITADO</v>
      </c>
    </row>
  </sheetData>
  <sheetProtection algorithmName="SHA-512" hashValue="Sg0kjzn5NMWAgCGEty/4U1TwGWq8ETvascNZOL1HcWJ81yVpOOduRdm+0WVMvc3XfF7bDWr5ad9/f3go5MQ8cw==" saltValue="t5B8emvtWCepFhug4zuzCw==" spinCount="100000" sheet="1" objects="1" scenarios="1"/>
  <mergeCells count="1">
    <mergeCell ref="A1:G1"/>
  </mergeCells>
  <conditionalFormatting sqref="A1 A2:G2">
    <cfRule type="cellIs" dxfId="6" priority="4" operator="equal">
      <formula>"NO HABILITADO"</formula>
    </cfRule>
  </conditionalFormatting>
  <conditionalFormatting sqref="C3:F15">
    <cfRule type="expression" dxfId="5" priority="3">
      <formula>C3="NO CUMPLE"</formula>
    </cfRule>
  </conditionalFormatting>
  <conditionalFormatting sqref="G3:G15">
    <cfRule type="expression" dxfId="4" priority="1">
      <formula>G3="HABILITADO"</formula>
    </cfRule>
    <cfRule type="expression" dxfId="3" priority="2">
      <formula>G3="NO HABILITADO"</formula>
    </cfRule>
  </conditionalFormatting>
  <pageMargins left="0.7" right="0.7" top="0.75" bottom="0.75" header="0.3" footer="0.3"/>
  <ignoredErrors>
    <ignoredError sqref="B3:C3 D3" unlocked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EA3E6-C1ED-4B12-B454-D071C4B34067}">
  <sheetPr codeName="Hoja6"/>
  <dimension ref="B1:U32"/>
  <sheetViews>
    <sheetView workbookViewId="0">
      <selection activeCell="F9" sqref="F9"/>
    </sheetView>
  </sheetViews>
  <sheetFormatPr baseColWidth="10" defaultColWidth="11.44140625" defaultRowHeight="14.4" x14ac:dyDescent="0.3"/>
  <cols>
    <col min="6" max="6" width="24.44140625" style="3" bestFit="1" customWidth="1"/>
    <col min="8" max="8" width="15" customWidth="1"/>
    <col min="10" max="10" width="20.6640625" bestFit="1" customWidth="1"/>
    <col min="13" max="13" width="18.33203125" bestFit="1" customWidth="1"/>
    <col min="15" max="15" width="15.109375" customWidth="1"/>
    <col min="21" max="21" width="14.44140625" bestFit="1" customWidth="1"/>
  </cols>
  <sheetData>
    <row r="1" spans="2:21" x14ac:dyDescent="0.3">
      <c r="B1" s="5"/>
      <c r="C1" s="5"/>
    </row>
    <row r="2" spans="2:21" x14ac:dyDescent="0.3">
      <c r="B2" s="6" t="s">
        <v>230</v>
      </c>
      <c r="C2" s="6" t="s">
        <v>231</v>
      </c>
      <c r="F2" s="6" t="s">
        <v>232</v>
      </c>
      <c r="M2" s="6" t="s">
        <v>233</v>
      </c>
      <c r="U2" s="6" t="s">
        <v>234</v>
      </c>
    </row>
    <row r="3" spans="2:21" x14ac:dyDescent="0.3">
      <c r="B3" s="75">
        <v>1995</v>
      </c>
      <c r="C3" s="76">
        <v>118934</v>
      </c>
      <c r="F3" s="77">
        <v>1</v>
      </c>
      <c r="H3" s="78" t="s">
        <v>42</v>
      </c>
      <c r="J3" s="78" t="s">
        <v>235</v>
      </c>
      <c r="M3" s="79">
        <v>1351954266</v>
      </c>
      <c r="O3" s="6" t="s">
        <v>236</v>
      </c>
      <c r="Q3" s="78" t="s">
        <v>237</v>
      </c>
      <c r="S3" s="78">
        <v>2</v>
      </c>
      <c r="T3" s="78">
        <v>3</v>
      </c>
      <c r="U3" s="81">
        <v>801015</v>
      </c>
    </row>
    <row r="4" spans="2:21" x14ac:dyDescent="0.3">
      <c r="B4" s="75">
        <v>1996</v>
      </c>
      <c r="C4" s="76">
        <v>142125</v>
      </c>
      <c r="F4" s="77">
        <v>2</v>
      </c>
      <c r="H4" s="78" t="s">
        <v>32</v>
      </c>
      <c r="J4" s="78" t="s">
        <v>238</v>
      </c>
      <c r="O4" s="80">
        <v>45582</v>
      </c>
      <c r="Q4" s="78" t="s">
        <v>239</v>
      </c>
      <c r="S4" s="78">
        <v>10</v>
      </c>
      <c r="T4" s="78">
        <v>11</v>
      </c>
      <c r="U4" s="81">
        <v>801016</v>
      </c>
    </row>
    <row r="5" spans="2:21" x14ac:dyDescent="0.3">
      <c r="B5" s="75">
        <v>1997</v>
      </c>
      <c r="C5" s="76">
        <v>172005</v>
      </c>
      <c r="F5" s="77">
        <v>3</v>
      </c>
      <c r="J5" s="78" t="s">
        <v>240</v>
      </c>
      <c r="S5" s="78">
        <v>18</v>
      </c>
      <c r="T5" s="78">
        <v>19</v>
      </c>
      <c r="U5" s="81">
        <v>841116</v>
      </c>
    </row>
    <row r="6" spans="2:21" x14ac:dyDescent="0.3">
      <c r="B6" s="75">
        <v>1998</v>
      </c>
      <c r="C6" s="76">
        <v>203826</v>
      </c>
      <c r="F6" s="77">
        <v>4</v>
      </c>
      <c r="J6" s="78" t="s">
        <v>241</v>
      </c>
      <c r="S6" s="78">
        <v>26</v>
      </c>
      <c r="T6" s="78">
        <v>27</v>
      </c>
      <c r="U6" s="81" t="s">
        <v>242</v>
      </c>
    </row>
    <row r="7" spans="2:21" x14ac:dyDescent="0.3">
      <c r="B7" s="75">
        <v>1999</v>
      </c>
      <c r="C7" s="76">
        <v>236460</v>
      </c>
      <c r="F7" s="77">
        <v>5</v>
      </c>
      <c r="H7" s="78" t="s">
        <v>243</v>
      </c>
      <c r="J7" s="78" t="s">
        <v>244</v>
      </c>
      <c r="S7" s="78">
        <v>34</v>
      </c>
      <c r="T7" s="78">
        <v>35</v>
      </c>
    </row>
    <row r="8" spans="2:21" x14ac:dyDescent="0.3">
      <c r="B8" s="75">
        <v>2000</v>
      </c>
      <c r="C8" s="76">
        <v>260100</v>
      </c>
      <c r="F8" s="77">
        <v>6</v>
      </c>
      <c r="H8" s="78" t="s">
        <v>245</v>
      </c>
      <c r="S8" s="78">
        <v>42</v>
      </c>
      <c r="T8" s="78">
        <v>43</v>
      </c>
    </row>
    <row r="9" spans="2:21" x14ac:dyDescent="0.3">
      <c r="B9" s="75">
        <v>2001</v>
      </c>
      <c r="C9" s="76">
        <v>286000</v>
      </c>
      <c r="F9" s="77" t="s">
        <v>246</v>
      </c>
      <c r="S9" s="78">
        <v>50</v>
      </c>
      <c r="T9" s="78">
        <v>51</v>
      </c>
    </row>
    <row r="10" spans="2:21" x14ac:dyDescent="0.3">
      <c r="B10" s="75">
        <v>2002</v>
      </c>
      <c r="C10" s="76">
        <v>309000</v>
      </c>
      <c r="F10" s="77" t="s">
        <v>247</v>
      </c>
      <c r="S10" s="78">
        <v>58</v>
      </c>
      <c r="T10" s="78">
        <v>59</v>
      </c>
    </row>
    <row r="11" spans="2:21" x14ac:dyDescent="0.3">
      <c r="B11" s="75">
        <v>2003</v>
      </c>
      <c r="C11" s="76">
        <v>332000</v>
      </c>
      <c r="S11" s="78">
        <v>66</v>
      </c>
      <c r="T11" s="78">
        <v>67</v>
      </c>
    </row>
    <row r="12" spans="2:21" x14ac:dyDescent="0.3">
      <c r="B12" s="75">
        <v>2004</v>
      </c>
      <c r="C12" s="76">
        <v>358000</v>
      </c>
      <c r="H12" s="78" t="s">
        <v>248</v>
      </c>
      <c r="S12" s="78">
        <v>74</v>
      </c>
      <c r="T12" s="78">
        <v>75</v>
      </c>
    </row>
    <row r="13" spans="2:21" x14ac:dyDescent="0.3">
      <c r="B13" s="75">
        <v>2005</v>
      </c>
      <c r="C13" s="76">
        <v>381500</v>
      </c>
      <c r="H13" s="78" t="s">
        <v>249</v>
      </c>
      <c r="S13" s="78">
        <v>82</v>
      </c>
      <c r="T13" s="78">
        <v>83</v>
      </c>
    </row>
    <row r="14" spans="2:21" x14ac:dyDescent="0.3">
      <c r="B14" s="75">
        <v>2006</v>
      </c>
      <c r="C14" s="76">
        <v>408000</v>
      </c>
      <c r="S14" s="78">
        <v>90</v>
      </c>
      <c r="T14" s="78">
        <v>91</v>
      </c>
    </row>
    <row r="15" spans="2:21" x14ac:dyDescent="0.3">
      <c r="B15" s="75">
        <v>2007</v>
      </c>
      <c r="C15" s="76">
        <v>433700</v>
      </c>
      <c r="S15" s="78">
        <v>98</v>
      </c>
      <c r="T15" s="78">
        <v>103</v>
      </c>
    </row>
    <row r="16" spans="2:21" x14ac:dyDescent="0.3">
      <c r="B16" s="75">
        <v>2008</v>
      </c>
      <c r="C16" s="76">
        <v>461500</v>
      </c>
      <c r="S16" s="78">
        <v>106</v>
      </c>
      <c r="T16" s="78">
        <v>107</v>
      </c>
    </row>
    <row r="17" spans="2:20" x14ac:dyDescent="0.3">
      <c r="B17" s="75">
        <v>2009</v>
      </c>
      <c r="C17" s="76">
        <v>496900</v>
      </c>
      <c r="S17" s="78">
        <v>114</v>
      </c>
      <c r="T17" s="78">
        <v>115</v>
      </c>
    </row>
    <row r="18" spans="2:20" x14ac:dyDescent="0.3">
      <c r="B18" s="75">
        <v>2010</v>
      </c>
      <c r="C18" s="76">
        <v>515000</v>
      </c>
      <c r="S18" s="78">
        <v>122</v>
      </c>
      <c r="T18" s="78">
        <v>123</v>
      </c>
    </row>
    <row r="19" spans="2:20" x14ac:dyDescent="0.3">
      <c r="B19" s="75">
        <v>2011</v>
      </c>
      <c r="C19" s="76">
        <v>535600</v>
      </c>
      <c r="S19" s="78">
        <v>130</v>
      </c>
      <c r="T19" s="78">
        <v>131</v>
      </c>
    </row>
    <row r="20" spans="2:20" x14ac:dyDescent="0.3">
      <c r="B20" s="75">
        <v>2012</v>
      </c>
      <c r="C20" s="76">
        <v>566700</v>
      </c>
      <c r="S20" s="78">
        <v>138</v>
      </c>
      <c r="T20" s="78">
        <v>139</v>
      </c>
    </row>
    <row r="21" spans="2:20" x14ac:dyDescent="0.3">
      <c r="B21" s="75">
        <v>2013</v>
      </c>
      <c r="C21" s="76">
        <v>589500</v>
      </c>
      <c r="S21" s="78">
        <v>146</v>
      </c>
      <c r="T21" s="78">
        <v>147</v>
      </c>
    </row>
    <row r="22" spans="2:20" x14ac:dyDescent="0.3">
      <c r="B22" s="75">
        <v>2014</v>
      </c>
      <c r="C22" s="76">
        <v>616000</v>
      </c>
      <c r="S22" s="78">
        <v>154</v>
      </c>
      <c r="T22" s="78">
        <v>155</v>
      </c>
    </row>
    <row r="23" spans="2:20" x14ac:dyDescent="0.3">
      <c r="B23" s="75">
        <v>2015</v>
      </c>
      <c r="C23" s="76">
        <v>644350</v>
      </c>
      <c r="S23" s="78">
        <v>162</v>
      </c>
      <c r="T23" s="78">
        <v>163</v>
      </c>
    </row>
    <row r="24" spans="2:20" x14ac:dyDescent="0.3">
      <c r="B24" s="75">
        <v>2016</v>
      </c>
      <c r="C24" s="76">
        <v>689455</v>
      </c>
      <c r="S24" s="78">
        <v>170</v>
      </c>
      <c r="T24" s="78">
        <v>171</v>
      </c>
    </row>
    <row r="25" spans="2:20" x14ac:dyDescent="0.3">
      <c r="B25" s="75">
        <v>2017</v>
      </c>
      <c r="C25" s="76">
        <v>737717</v>
      </c>
      <c r="S25" s="78">
        <v>178</v>
      </c>
      <c r="T25" s="78">
        <v>179</v>
      </c>
    </row>
    <row r="26" spans="2:20" x14ac:dyDescent="0.3">
      <c r="B26" s="75">
        <v>2018</v>
      </c>
      <c r="C26" s="76">
        <v>781242</v>
      </c>
      <c r="S26" s="78">
        <v>186</v>
      </c>
      <c r="T26" s="78">
        <v>187</v>
      </c>
    </row>
    <row r="27" spans="2:20" x14ac:dyDescent="0.3">
      <c r="B27" s="75">
        <v>2019</v>
      </c>
      <c r="C27" s="76">
        <v>828116</v>
      </c>
      <c r="S27" s="78">
        <v>194</v>
      </c>
      <c r="T27" s="78">
        <v>195</v>
      </c>
    </row>
    <row r="28" spans="2:20" x14ac:dyDescent="0.3">
      <c r="B28" s="75">
        <v>2020</v>
      </c>
      <c r="C28" s="76">
        <v>877803</v>
      </c>
      <c r="S28" s="78">
        <v>202</v>
      </c>
      <c r="T28" s="78">
        <v>203</v>
      </c>
    </row>
    <row r="29" spans="2:20" x14ac:dyDescent="0.3">
      <c r="B29" s="75">
        <v>2021</v>
      </c>
      <c r="C29" s="76">
        <v>908526</v>
      </c>
      <c r="S29" s="78">
        <v>210</v>
      </c>
      <c r="T29" s="78">
        <v>211</v>
      </c>
    </row>
    <row r="30" spans="2:20" x14ac:dyDescent="0.3">
      <c r="B30" s="75">
        <v>2022</v>
      </c>
      <c r="C30" s="76">
        <v>1000000</v>
      </c>
    </row>
    <row r="31" spans="2:20" x14ac:dyDescent="0.3">
      <c r="B31" s="75">
        <v>2023</v>
      </c>
      <c r="C31" s="76">
        <v>1160000</v>
      </c>
    </row>
    <row r="32" spans="2:20" x14ac:dyDescent="0.3">
      <c r="B32" s="75">
        <v>2024</v>
      </c>
      <c r="C32" s="76">
        <v>1300000</v>
      </c>
    </row>
  </sheetData>
  <sheetProtection algorithmName="SHA-512" hashValue="aavwK4XxCamRKXjXOUfWd9oyvrnRQ4/l/pSRM5dzJNyoAxtIU6eodyvk5ZJGj/lDvaxF0Sw20THdDxXIxC7Wbg==" saltValue="Xixsic4xrQ+ej0TgyRPihQ=="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AA6E4-1521-40DB-A9F3-0E5EADB209AA}">
  <sheetPr codeName="Hoja7"/>
  <dimension ref="A1:Q15"/>
  <sheetViews>
    <sheetView showGridLines="0" zoomScaleNormal="100" workbookViewId="0">
      <selection activeCell="F7" sqref="F7"/>
    </sheetView>
  </sheetViews>
  <sheetFormatPr baseColWidth="10" defaultColWidth="11.44140625" defaultRowHeight="14.4" x14ac:dyDescent="0.3"/>
  <cols>
    <col min="1" max="1" width="15.109375" style="93" customWidth="1"/>
    <col min="2" max="2" width="69.33203125" style="86" customWidth="1"/>
    <col min="3" max="3" width="19.6640625" style="94" customWidth="1"/>
    <col min="4" max="4" width="16.5546875" style="95" customWidth="1"/>
    <col min="5" max="5" width="15.109375" style="95" customWidth="1"/>
    <col min="6" max="6" width="18.109375" style="94" bestFit="1" customWidth="1"/>
    <col min="7" max="7" width="14.109375" style="133" customWidth="1"/>
    <col min="8" max="8" width="18.109375" style="94" customWidth="1"/>
    <col min="9" max="9" width="18.33203125" style="94" customWidth="1"/>
    <col min="10" max="10" width="19.44140625" style="94" customWidth="1"/>
    <col min="11" max="11" width="19.109375" style="96" customWidth="1"/>
    <col min="12" max="12" width="17.33203125" style="96" customWidth="1"/>
    <col min="13" max="13" width="63.44140625" style="93" customWidth="1"/>
    <col min="14" max="14" width="7" style="86" hidden="1" customWidth="1"/>
    <col min="15" max="15" width="14.44140625" style="86" hidden="1" customWidth="1"/>
    <col min="16" max="16" width="14.109375" style="86" hidden="1" customWidth="1"/>
    <col min="17" max="17" width="13.33203125" style="86" hidden="1" customWidth="1"/>
    <col min="18" max="18" width="14.44140625" style="86" bestFit="1" customWidth="1"/>
    <col min="19" max="19" width="12.44140625" style="86" bestFit="1" customWidth="1"/>
    <col min="20" max="23" width="7" style="86" customWidth="1"/>
    <col min="24" max="16384" width="11.44140625" style="86"/>
  </cols>
  <sheetData>
    <row r="1" spans="1:17" ht="72" x14ac:dyDescent="0.3">
      <c r="A1" s="247" t="s">
        <v>95</v>
      </c>
      <c r="B1" s="244" t="s">
        <v>1</v>
      </c>
      <c r="C1" s="249" t="s">
        <v>250</v>
      </c>
      <c r="D1" s="85" t="s">
        <v>251</v>
      </c>
      <c r="E1" s="85" t="s">
        <v>252</v>
      </c>
      <c r="F1" s="251" t="s">
        <v>253</v>
      </c>
      <c r="G1" s="252"/>
      <c r="H1" s="253"/>
      <c r="I1" s="249" t="s">
        <v>254</v>
      </c>
      <c r="J1" s="249" t="s">
        <v>255</v>
      </c>
      <c r="K1" s="244" t="s">
        <v>256</v>
      </c>
      <c r="L1" s="244" t="s">
        <v>229</v>
      </c>
      <c r="M1" s="246" t="s">
        <v>257</v>
      </c>
      <c r="N1" s="86" t="s">
        <v>42</v>
      </c>
      <c r="O1" s="86" t="s">
        <v>32</v>
      </c>
    </row>
    <row r="2" spans="1:17" ht="26.4" x14ac:dyDescent="0.3">
      <c r="A2" s="248"/>
      <c r="B2" s="245"/>
      <c r="C2" s="250"/>
      <c r="D2" s="87" t="s">
        <v>93</v>
      </c>
      <c r="E2" s="87" t="s">
        <v>93</v>
      </c>
      <c r="F2" s="88" t="s">
        <v>258</v>
      </c>
      <c r="G2" s="135" t="s">
        <v>259</v>
      </c>
      <c r="H2" s="88" t="s">
        <v>260</v>
      </c>
      <c r="I2" s="250"/>
      <c r="J2" s="250"/>
      <c r="K2" s="245"/>
      <c r="L2" s="245"/>
      <c r="M2" s="246"/>
      <c r="O2" s="86" t="s">
        <v>261</v>
      </c>
      <c r="P2" s="86" t="s">
        <v>262</v>
      </c>
      <c r="Q2" s="86" t="s">
        <v>263</v>
      </c>
    </row>
    <row r="3" spans="1:17" s="92" customFormat="1" ht="109.5" customHeight="1" x14ac:dyDescent="0.3">
      <c r="A3" s="97">
        <v>1</v>
      </c>
      <c r="B3" s="98" t="str" cm="1">
        <f t="array" aca="1" ref="B3" ca="1">IF(INDIRECT("Formato_9_Exp_Proponente!B"&amp;Listados!S3)="","",INDIRECT("Formato_9_Exp_Proponente!B"&amp;Listados!S3))</f>
        <v>ARES SECURITY LTDA: NIT 900.599.147-1</v>
      </c>
      <c r="C3" s="99">
        <f>Listados!$M$3</f>
        <v>1351954266</v>
      </c>
      <c r="D3" s="90" t="s">
        <v>32</v>
      </c>
      <c r="E3" s="90" t="s">
        <v>32</v>
      </c>
      <c r="F3" s="89">
        <v>0</v>
      </c>
      <c r="G3" s="134">
        <v>0</v>
      </c>
      <c r="H3" s="99">
        <f>(F3+G3)*0.19</f>
        <v>0</v>
      </c>
      <c r="I3" s="99">
        <f>+ROUND(SUM(F3:H3),0)</f>
        <v>0</v>
      </c>
      <c r="J3" s="99">
        <f>IF(D3="","",C3-I3)</f>
        <v>1351954266</v>
      </c>
      <c r="K3" s="100" t="str">
        <f>IF(OR(D3="",D3="NO CUMPLE"),"",IF(J3&lt;0,"VALOR MAYOR",IF(J3=0,"IGUAL VALOR","VALOR MENOR")))</f>
        <v/>
      </c>
      <c r="L3" s="100" t="str">
        <f>IF(D3="","",IF(D3="CUMPLE",IF(E3="CUMPLE",IF(OR(K3="IGUAL VALOR",K3="VALOR MENOR"),"HABILITADO","NO HABILITADO"),"NO HABILITADO"),"NO HABILITADO"))</f>
        <v>NO HABILITADO</v>
      </c>
      <c r="M3" s="139" t="s">
        <v>264</v>
      </c>
    </row>
    <row r="4" spans="1:17" ht="26.4" x14ac:dyDescent="0.3">
      <c r="A4" s="97">
        <v>2</v>
      </c>
      <c r="B4" s="98" t="str" cm="1">
        <f t="array" aca="1" ref="B4" ca="1">IF(INDIRECT("Formato_9_Exp_Proponente!B"&amp;Listados!S4)="","",INDIRECT("Formato_9_Exp_Proponente!B"&amp;Listados!S4))</f>
        <v>GERMAN MONTENEGRO FAJARDO AUDITORES &amp; ASESORES S.A.S. BIC 900.335.334-8</v>
      </c>
      <c r="C4" s="99">
        <f>Listados!$M$3</f>
        <v>1351954266</v>
      </c>
      <c r="D4" s="90" t="s">
        <v>42</v>
      </c>
      <c r="E4" s="90" t="s">
        <v>42</v>
      </c>
      <c r="F4" s="89">
        <v>888332583</v>
      </c>
      <c r="G4" s="134">
        <v>247763439</v>
      </c>
      <c r="H4" s="99">
        <f>(F4+G4)*0.19</f>
        <v>215858244.18000001</v>
      </c>
      <c r="I4" s="99">
        <f>+ROUND(SUM(F4:H4),0)</f>
        <v>1351954266</v>
      </c>
      <c r="J4" s="99">
        <f>IF(D4="","",C4-I4)</f>
        <v>0</v>
      </c>
      <c r="K4" s="100" t="str">
        <f t="shared" ref="K4:K15" si="0">IF(D4="","",IF(J4&lt;0,"VALOR MAYOR",IF(J4=0,"IGUAL VALOR","VALOR MENOR")))</f>
        <v>IGUAL VALOR</v>
      </c>
      <c r="L4" s="100" t="str">
        <f t="shared" ref="L4:L15" si="1">IF(D4="","",IF(D4="CUMPLE",IF(E4="CUMPLE",IF(OR(K4="IGUAL VALOR",K4="VALOR MENOR"),"HABILITADO","NO HABILITADO"),"NO HABILITADO"),"NO HABILITADO"))</f>
        <v>HABILITADO</v>
      </c>
      <c r="M4" s="91"/>
    </row>
    <row r="5" spans="1:17" x14ac:dyDescent="0.3">
      <c r="A5" s="97">
        <v>3</v>
      </c>
      <c r="B5" s="98" t="str" cm="1">
        <f t="array" aca="1" ref="B5" ca="1">IF(INDIRECT("Formato_9_Exp_Proponente!B"&amp;Listados!S5)="","",INDIRECT("Formato_9_Exp_Proponente!B"&amp;Listados!S5))</f>
        <v>JFS CONSULTORES S.A.S. -BIC 901.542.814-2</v>
      </c>
      <c r="C5" s="99">
        <f>Listados!$M$3</f>
        <v>1351954266</v>
      </c>
      <c r="D5" s="90" t="s">
        <v>42</v>
      </c>
      <c r="E5" s="90" t="s">
        <v>42</v>
      </c>
      <c r="F5" s="89">
        <v>888332583</v>
      </c>
      <c r="G5" s="134">
        <v>247763439</v>
      </c>
      <c r="H5" s="99">
        <f t="shared" ref="H5:H15" si="2">(F5+G5)*0.19</f>
        <v>215858244.18000001</v>
      </c>
      <c r="I5" s="99">
        <f t="shared" ref="I5:I15" si="3">+ROUND(SUM(F5:H5),0)</f>
        <v>1351954266</v>
      </c>
      <c r="J5" s="99">
        <f t="shared" ref="J5:J15" si="4">IF(D5="","",C5-I5)</f>
        <v>0</v>
      </c>
      <c r="K5" s="100" t="str">
        <f t="shared" si="0"/>
        <v>IGUAL VALOR</v>
      </c>
      <c r="L5" s="100" t="str">
        <f t="shared" si="1"/>
        <v>HABILITADO</v>
      </c>
      <c r="M5" s="91"/>
    </row>
    <row r="6" spans="1:17" x14ac:dyDescent="0.3">
      <c r="A6" s="97">
        <v>4</v>
      </c>
      <c r="B6" s="98" t="str" cm="1">
        <f t="array" aca="1" ref="B6" ca="1">IF(INDIRECT("Formato_9_Exp_Proponente!B"&amp;Listados!S6)="","",INDIRECT("Formato_9_Exp_Proponente!B"&amp;Listados!S6))</f>
        <v>SCAIPROYEKTA S.A.S. BIC: NIT 901.476.977-1</v>
      </c>
      <c r="C6" s="99">
        <f>Listados!$M$3</f>
        <v>1351954266</v>
      </c>
      <c r="D6" s="90" t="s">
        <v>42</v>
      </c>
      <c r="E6" s="90" t="s">
        <v>42</v>
      </c>
      <c r="F6" s="89">
        <v>888332583</v>
      </c>
      <c r="G6" s="134">
        <v>247681982</v>
      </c>
      <c r="H6" s="99">
        <f t="shared" si="2"/>
        <v>215842767.34999999</v>
      </c>
      <c r="I6" s="99">
        <f t="shared" si="3"/>
        <v>1351857332</v>
      </c>
      <c r="J6" s="99">
        <f t="shared" si="4"/>
        <v>96934</v>
      </c>
      <c r="K6" s="100" t="str">
        <f t="shared" si="0"/>
        <v>VALOR MENOR</v>
      </c>
      <c r="L6" s="100" t="str">
        <f t="shared" si="1"/>
        <v>HABILITADO</v>
      </c>
      <c r="M6" s="91"/>
    </row>
    <row r="7" spans="1:17" x14ac:dyDescent="0.3">
      <c r="A7" s="97">
        <v>5</v>
      </c>
      <c r="B7" s="98" t="str" cm="1">
        <f t="array" aca="1" ref="B7" ca="1">IF(INDIRECT("Formato_9_Exp_Proponente!B"&amp;Listados!S7)="","",INDIRECT("Formato_9_Exp_Proponente!B"&amp;Listados!S7))</f>
        <v xml:space="preserve">UT GREM-NOVAC </v>
      </c>
      <c r="C7" s="99">
        <f>Listados!$M$3</f>
        <v>1351954266</v>
      </c>
      <c r="D7" s="90" t="s">
        <v>42</v>
      </c>
      <c r="E7" s="90" t="s">
        <v>42</v>
      </c>
      <c r="F7" s="89">
        <v>888332583</v>
      </c>
      <c r="G7" s="134">
        <v>247763439</v>
      </c>
      <c r="H7" s="99">
        <f t="shared" si="2"/>
        <v>215858244.18000001</v>
      </c>
      <c r="I7" s="99">
        <f t="shared" si="3"/>
        <v>1351954266</v>
      </c>
      <c r="J7" s="99">
        <f t="shared" si="4"/>
        <v>0</v>
      </c>
      <c r="K7" s="100" t="str">
        <f t="shared" si="0"/>
        <v>IGUAL VALOR</v>
      </c>
      <c r="L7" s="100" t="str">
        <f t="shared" si="1"/>
        <v>HABILITADO</v>
      </c>
      <c r="M7" s="91"/>
    </row>
    <row r="8" spans="1:17" x14ac:dyDescent="0.3">
      <c r="A8" s="97">
        <v>6</v>
      </c>
      <c r="B8" s="98" t="str" cm="1">
        <f t="array" aca="1" ref="B8" ca="1">IF(INDIRECT("Formato_9_Exp_Proponente!B"&amp;Listados!S8)="","",INDIRECT("Formato_9_Exp_Proponente!B"&amp;Listados!S8))</f>
        <v>SGA CONSULTORES S.A.S: NIT 901.549.833-4</v>
      </c>
      <c r="C8" s="99">
        <f>Listados!$M$3</f>
        <v>1351954266</v>
      </c>
      <c r="D8" s="90" t="s">
        <v>42</v>
      </c>
      <c r="E8" s="90" t="s">
        <v>42</v>
      </c>
      <c r="F8" s="89">
        <v>888332583</v>
      </c>
      <c r="G8" s="134">
        <v>247763434</v>
      </c>
      <c r="H8" s="99">
        <f t="shared" si="2"/>
        <v>215858243.22999999</v>
      </c>
      <c r="I8" s="99">
        <f t="shared" si="3"/>
        <v>1351954260</v>
      </c>
      <c r="J8" s="99">
        <f t="shared" si="4"/>
        <v>6</v>
      </c>
      <c r="K8" s="100" t="str">
        <f t="shared" si="0"/>
        <v>VALOR MENOR</v>
      </c>
      <c r="L8" s="100" t="str">
        <f t="shared" si="1"/>
        <v>HABILITADO</v>
      </c>
      <c r="M8" s="91"/>
    </row>
    <row r="9" spans="1:17" x14ac:dyDescent="0.3">
      <c r="A9" s="97">
        <v>7</v>
      </c>
      <c r="B9" s="98" t="str" cm="1">
        <f t="array" aca="1" ref="B9" ca="1">IF(INDIRECT("Formato_9_Exp_Proponente!B"&amp;Listados!S9)="","",INDIRECT("Formato_9_Exp_Proponente!B"&amp;Listados!S9))</f>
        <v>SMARTY COLOMBIA SAS BIC: NIT 900249549-6</v>
      </c>
      <c r="C9" s="99">
        <f>Listados!$M$3</f>
        <v>1351954266</v>
      </c>
      <c r="D9" s="90" t="s">
        <v>42</v>
      </c>
      <c r="E9" s="90" t="s">
        <v>42</v>
      </c>
      <c r="F9" s="89">
        <v>888332583</v>
      </c>
      <c r="G9" s="134">
        <v>247481982</v>
      </c>
      <c r="H9" s="99">
        <f t="shared" si="2"/>
        <v>215804767.34999999</v>
      </c>
      <c r="I9" s="99">
        <f t="shared" si="3"/>
        <v>1351619332</v>
      </c>
      <c r="J9" s="99">
        <f t="shared" si="4"/>
        <v>334934</v>
      </c>
      <c r="K9" s="100" t="str">
        <f t="shared" si="0"/>
        <v>VALOR MENOR</v>
      </c>
      <c r="L9" s="100" t="str">
        <f t="shared" si="1"/>
        <v>HABILITADO</v>
      </c>
      <c r="M9" s="91"/>
    </row>
    <row r="10" spans="1:17" x14ac:dyDescent="0.3">
      <c r="A10" s="97">
        <v>8</v>
      </c>
      <c r="B10" s="98" t="str" cm="1">
        <f t="array" aca="1" ref="B10" ca="1">IF(INDIRECT("Formato_9_Exp_Proponente!B"&amp;Listados!S10)="","",INDIRECT("Formato_9_Exp_Proponente!B"&amp;Listados!S10))</f>
        <v>CONSORCIO TOOL</v>
      </c>
      <c r="C10" s="99">
        <f>Listados!$M$3</f>
        <v>1351954266</v>
      </c>
      <c r="D10" s="90" t="s">
        <v>42</v>
      </c>
      <c r="E10" s="90" t="s">
        <v>42</v>
      </c>
      <c r="F10" s="89">
        <v>888332583</v>
      </c>
      <c r="G10" s="134">
        <v>247763439</v>
      </c>
      <c r="H10" s="99">
        <f t="shared" si="2"/>
        <v>215858244.18000001</v>
      </c>
      <c r="I10" s="99">
        <f t="shared" si="3"/>
        <v>1351954266</v>
      </c>
      <c r="J10" s="99">
        <f t="shared" si="4"/>
        <v>0</v>
      </c>
      <c r="K10" s="100" t="str">
        <f t="shared" si="0"/>
        <v>IGUAL VALOR</v>
      </c>
      <c r="L10" s="100" t="str">
        <f t="shared" si="1"/>
        <v>HABILITADO</v>
      </c>
      <c r="M10" s="91"/>
    </row>
    <row r="11" spans="1:17" x14ac:dyDescent="0.3">
      <c r="A11" s="97">
        <v>9</v>
      </c>
      <c r="B11" s="98" t="str" cm="1">
        <f t="array" aca="1" ref="B11" ca="1">IF(INDIRECT("Formato_9_Exp_Proponente!B"&amp;Listados!S11)="","",INDIRECT("Formato_9_Exp_Proponente!B"&amp;Listados!S11))</f>
        <v>CONSORCIO INTERVENTORÍA DE VIGILANCIA 2024</v>
      </c>
      <c r="C11" s="99">
        <f>Listados!$M$3</f>
        <v>1351954266</v>
      </c>
      <c r="D11" s="90" t="s">
        <v>42</v>
      </c>
      <c r="E11" s="90" t="s">
        <v>42</v>
      </c>
      <c r="F11" s="89">
        <v>888331235</v>
      </c>
      <c r="G11" s="134">
        <v>247763420</v>
      </c>
      <c r="H11" s="99">
        <f t="shared" si="2"/>
        <v>215857984.44999999</v>
      </c>
      <c r="I11" s="99">
        <f t="shared" si="3"/>
        <v>1351952639</v>
      </c>
      <c r="J11" s="99">
        <f t="shared" si="4"/>
        <v>1627</v>
      </c>
      <c r="K11" s="100" t="str">
        <f t="shared" si="0"/>
        <v>VALOR MENOR</v>
      </c>
      <c r="L11" s="100" t="str">
        <f t="shared" si="1"/>
        <v>HABILITADO</v>
      </c>
      <c r="M11" s="91"/>
    </row>
    <row r="12" spans="1:17" x14ac:dyDescent="0.3">
      <c r="A12" s="97">
        <v>10</v>
      </c>
      <c r="B12" s="98" t="str" cm="1">
        <f t="array" aca="1" ref="B12" ca="1">IF(INDIRECT("Formato_9_Exp_Proponente!B"&amp;Listados!S12)="","",INDIRECT("Formato_9_Exp_Proponente!B"&amp;Listados!S12))</f>
        <v>Consultora Central S.A.S BIC</v>
      </c>
      <c r="C12" s="99">
        <f>Listados!$M$3</f>
        <v>1351954266</v>
      </c>
      <c r="D12" s="90" t="s">
        <v>42</v>
      </c>
      <c r="E12" s="90" t="s">
        <v>42</v>
      </c>
      <c r="F12" s="89">
        <v>888326681</v>
      </c>
      <c r="G12" s="134">
        <v>247762000</v>
      </c>
      <c r="H12" s="99">
        <f t="shared" si="2"/>
        <v>215856849.39000002</v>
      </c>
      <c r="I12" s="99">
        <f t="shared" si="3"/>
        <v>1351945530</v>
      </c>
      <c r="J12" s="99">
        <f t="shared" si="4"/>
        <v>8736</v>
      </c>
      <c r="K12" s="100" t="str">
        <f t="shared" si="0"/>
        <v>VALOR MENOR</v>
      </c>
      <c r="L12" s="100" t="str">
        <f t="shared" si="1"/>
        <v>HABILITADO</v>
      </c>
      <c r="M12" s="91"/>
    </row>
    <row r="13" spans="1:17" x14ac:dyDescent="0.3">
      <c r="A13" s="97">
        <v>11</v>
      </c>
      <c r="B13" s="98" t="str" cm="1">
        <f t="array" aca="1" ref="B13" ca="1">IF(INDIRECT("Formato_9_Exp_Proponente!B"&amp;Listados!S13)="","",INDIRECT("Formato_9_Exp_Proponente!B"&amp;Listados!S13))</f>
        <v>CONSORCIO INTERVENCIÓN Y SEGURIDAD DISTRITAL</v>
      </c>
      <c r="C13" s="99">
        <f>Listados!$M$3</f>
        <v>1351954266</v>
      </c>
      <c r="D13" s="90" t="s">
        <v>42</v>
      </c>
      <c r="E13" s="90" t="s">
        <v>42</v>
      </c>
      <c r="F13" s="89">
        <v>888332583</v>
      </c>
      <c r="G13" s="134">
        <v>247763439</v>
      </c>
      <c r="H13" s="99">
        <f t="shared" si="2"/>
        <v>215858244.18000001</v>
      </c>
      <c r="I13" s="99">
        <f t="shared" si="3"/>
        <v>1351954266</v>
      </c>
      <c r="J13" s="99">
        <f t="shared" si="4"/>
        <v>0</v>
      </c>
      <c r="K13" s="100" t="str">
        <f t="shared" si="0"/>
        <v>IGUAL VALOR</v>
      </c>
      <c r="L13" s="100" t="str">
        <f t="shared" si="1"/>
        <v>HABILITADO</v>
      </c>
      <c r="M13" s="91"/>
    </row>
    <row r="14" spans="1:17" x14ac:dyDescent="0.3">
      <c r="A14" s="97">
        <v>12</v>
      </c>
      <c r="B14" s="98" t="str" cm="1">
        <f t="array" aca="1" ref="B14" ca="1">IF(INDIRECT("Formato_9_Exp_Proponente!B"&amp;Listados!S14)="","",INDIRECT("Formato_9_Exp_Proponente!B"&amp;Listados!S14))</f>
        <v>Strycon Energía: NIT 901.466.510-3</v>
      </c>
      <c r="C14" s="99">
        <f>Listados!$M$3</f>
        <v>1351954266</v>
      </c>
      <c r="D14" s="90" t="s">
        <v>42</v>
      </c>
      <c r="E14" s="90" t="s">
        <v>42</v>
      </c>
      <c r="F14" s="89">
        <v>888332583</v>
      </c>
      <c r="G14" s="134">
        <v>247763439</v>
      </c>
      <c r="H14" s="99">
        <f t="shared" si="2"/>
        <v>215858244.18000001</v>
      </c>
      <c r="I14" s="99">
        <f t="shared" si="3"/>
        <v>1351954266</v>
      </c>
      <c r="J14" s="99">
        <f t="shared" si="4"/>
        <v>0</v>
      </c>
      <c r="K14" s="100" t="str">
        <f t="shared" si="0"/>
        <v>IGUAL VALOR</v>
      </c>
      <c r="L14" s="100" t="str">
        <f t="shared" si="1"/>
        <v>HABILITADO</v>
      </c>
      <c r="M14" s="91"/>
    </row>
    <row r="15" spans="1:17" x14ac:dyDescent="0.3">
      <c r="A15" s="97">
        <v>13</v>
      </c>
      <c r="B15" s="98" t="str" cm="1">
        <f t="array" aca="1" ref="B15" ca="1">IF(INDIRECT("Formato_9_Exp_Proponente!B"&amp;Listados!S15)="","",INDIRECT("Formato_9_Exp_Proponente!B"&amp;Listados!S15))</f>
        <v>ALIANZA INTEGRAL DE PROYECTOS SAS BIC: NIT 901.506.750-7</v>
      </c>
      <c r="C15" s="99">
        <f>Listados!$M$3</f>
        <v>1351954266</v>
      </c>
      <c r="D15" s="90" t="s">
        <v>42</v>
      </c>
      <c r="E15" s="90" t="s">
        <v>42</v>
      </c>
      <c r="F15" s="89">
        <v>888332583</v>
      </c>
      <c r="G15" s="134">
        <v>247763439</v>
      </c>
      <c r="H15" s="99">
        <f t="shared" si="2"/>
        <v>215858244.18000001</v>
      </c>
      <c r="I15" s="99">
        <f t="shared" si="3"/>
        <v>1351954266</v>
      </c>
      <c r="J15" s="99">
        <f t="shared" si="4"/>
        <v>0</v>
      </c>
      <c r="K15" s="100" t="str">
        <f t="shared" si="0"/>
        <v>IGUAL VALOR</v>
      </c>
      <c r="L15" s="100" t="str">
        <f t="shared" si="1"/>
        <v>HABILITADO</v>
      </c>
      <c r="M15" s="91"/>
    </row>
  </sheetData>
  <sheetProtection algorithmName="SHA-512" hashValue="3g99ZJjwVMhPB3w63Vr/exTnHZckSQtslVgA88cR0KXeHTQakkQrBZp0nMPmfH4kb4qQWn2zfqYJDe4nHhxg8g==" saltValue="4U7cZLI+m3D5c/f89rgxTw==" spinCount="100000" sheet="1" formatCells="0" formatColumns="0" formatRows="0" insertColumns="0" insertRows="0" insertHyperlinks="0" deleteColumns="0" deleteRows="0" sort="0" autoFilter="0" pivotTables="0"/>
  <mergeCells count="9">
    <mergeCell ref="K1:K2"/>
    <mergeCell ref="M1:M2"/>
    <mergeCell ref="L1:L2"/>
    <mergeCell ref="A1:A2"/>
    <mergeCell ref="B1:B2"/>
    <mergeCell ref="C1:C2"/>
    <mergeCell ref="F1:H1"/>
    <mergeCell ref="I1:I2"/>
    <mergeCell ref="J1:J2"/>
  </mergeCells>
  <conditionalFormatting sqref="D3:E15">
    <cfRule type="expression" dxfId="2" priority="2">
      <formula>D3="NO CUMPLE"</formula>
    </cfRule>
  </conditionalFormatting>
  <conditionalFormatting sqref="K3:K15">
    <cfRule type="expression" dxfId="1" priority="5">
      <formula>K3="VALOR MAYOR"</formula>
    </cfRule>
  </conditionalFormatting>
  <conditionalFormatting sqref="L3:L15">
    <cfRule type="expression" dxfId="0" priority="1">
      <formula>L3="NO HABILITADO"</formula>
    </cfRule>
  </conditionalFormatting>
  <dataValidations count="1">
    <dataValidation type="list" allowBlank="1" showInputMessage="1" showErrorMessage="1" sqref="D3:E15" xr:uid="{1B6867C1-0DAF-4E3E-B8F6-C27FAD5AD4FE}">
      <formula1>$N$1:$O$1</formula1>
    </dataValidation>
  </dataValidations>
  <pageMargins left="0.7" right="0.7" top="0.75" bottom="0.75" header="0.3" footer="0.3"/>
  <pageSetup orientation="portrait" r:id="rId1"/>
  <ignoredErrors>
    <ignoredError sqref="B4:C15 B3:C3 H4:J4 I3:J3 H15:J15 H14:J14 H13:J13 H12:J12 H11:J11 H10:J10 H9:J9 H8:J8 H7:J7 H6:J6 H5:J5" unlockedFormula="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79E256FF4FDDC4CA04580AE6E9A9C1A" ma:contentTypeVersion="18" ma:contentTypeDescription="Crear nuevo documento." ma:contentTypeScope="" ma:versionID="69b009a90901cef25bcb6ec6bcdd609d">
  <xsd:schema xmlns:xsd="http://www.w3.org/2001/XMLSchema" xmlns:xs="http://www.w3.org/2001/XMLSchema" xmlns:p="http://schemas.microsoft.com/office/2006/metadata/properties" xmlns:ns2="cae8ef2e-2c5a-4d42-977a-83055a012e92" xmlns:ns3="cc8d395c-f65a-47a3-b6d8-4adda27f49b5" targetNamespace="http://schemas.microsoft.com/office/2006/metadata/properties" ma:root="true" ma:fieldsID="ae85ad6faf05b52ee65e68e95aa3affd" ns2:_="" ns3:_="">
    <xsd:import namespace="cae8ef2e-2c5a-4d42-977a-83055a012e92"/>
    <xsd:import namespace="cc8d395c-f65a-47a3-b6d8-4adda27f49b5"/>
    <xsd:element name="properties">
      <xsd:complexType>
        <xsd:sequence>
          <xsd:element name="documentManagement">
            <xsd:complexType>
              <xsd:all>
                <xsd:element ref="ns2:SharedWithUsers" minOccurs="0"/>
                <xsd:element ref="ns2:SharedWithDetails" minOccurs="0"/>
                <xsd:element ref="ns3:Aprobadores"/>
                <xsd:element ref="ns3:Estado"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GenerationTime" minOccurs="0"/>
                <xsd:element ref="ns3:MediaServiceEventHashCode" minOccurs="0"/>
                <xsd:element ref="ns3:lcf76f155ced4ddcb4097134ff3c332f" minOccurs="0"/>
                <xsd:element ref="ns2:TaxCatchAll" minOccurs="0"/>
                <xsd:element ref="ns3:MediaServiceOCR"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e8ef2e-2c5a-4d42-977a-83055a012e92"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a35ca7ba-d17b-4376-a9d9-ec8cf82e9d15}" ma:internalName="TaxCatchAll" ma:showField="CatchAllData" ma:web="cae8ef2e-2c5a-4d42-977a-83055a012e9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c8d395c-f65a-47a3-b6d8-4adda27f49b5" elementFormDefault="qualified">
    <xsd:import namespace="http://schemas.microsoft.com/office/2006/documentManagement/types"/>
    <xsd:import namespace="http://schemas.microsoft.com/office/infopath/2007/PartnerControls"/>
    <xsd:element name="Aprobadores" ma:index="10" ma:displayName="Aprobadores" ma:format="Dropdown" ma:list="UserInfo" ma:SharePointGroup="0" ma:internalName="Aprobadores">
      <xsd:complexType>
        <xsd:complexContent>
          <xsd:extension base="dms:UserMulti">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Estado" ma:index="11" nillable="true" ma:displayName="Estado" ma:format="Dropdown" ma:internalName="Estado">
      <xsd:simpleType>
        <xsd:restriction base="dms:Choice">
          <xsd:enumeration value="Aprobado"/>
          <xsd:enumeration value="Rechazado"/>
          <xsd:enumeration value="Pendiente"/>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stado xmlns="cc8d395c-f65a-47a3-b6d8-4adda27f49b5" xsi:nil="true"/>
    <Aprobadores xmlns="cc8d395c-f65a-47a3-b6d8-4adda27f49b5">
      <UserInfo>
        <DisplayName/>
        <AccountId/>
        <AccountType/>
      </UserInfo>
    </Aprobadores>
    <lcf76f155ced4ddcb4097134ff3c332f xmlns="cc8d395c-f65a-47a3-b6d8-4adda27f49b5">
      <Terms xmlns="http://schemas.microsoft.com/office/infopath/2007/PartnerControls"/>
    </lcf76f155ced4ddcb4097134ff3c332f>
    <TaxCatchAll xmlns="cae8ef2e-2c5a-4d42-977a-83055a012e92" xsi:nil="true"/>
  </documentManagement>
</p:properties>
</file>

<file path=customXml/itemProps1.xml><?xml version="1.0" encoding="utf-8"?>
<ds:datastoreItem xmlns:ds="http://schemas.openxmlformats.org/officeDocument/2006/customXml" ds:itemID="{439C86CB-140F-4738-AE19-BF1CF3516E01}"/>
</file>

<file path=customXml/itemProps2.xml><?xml version="1.0" encoding="utf-8"?>
<ds:datastoreItem xmlns:ds="http://schemas.openxmlformats.org/officeDocument/2006/customXml" ds:itemID="{B7472C73-5A66-4AF4-BFF8-797A1467D390}"/>
</file>

<file path=customXml/itemProps3.xml><?xml version="1.0" encoding="utf-8"?>
<ds:datastoreItem xmlns:ds="http://schemas.openxmlformats.org/officeDocument/2006/customXml" ds:itemID="{5EBD9A2E-D611-47D8-A862-FAA9EA070E0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Formato_9_Exp_Proponente</vt:lpstr>
      <vt:lpstr>Formato_12</vt:lpstr>
      <vt:lpstr>Exp_Hab_Director</vt:lpstr>
      <vt:lpstr>Exp_Hab_Coor_Ope</vt:lpstr>
      <vt:lpstr>Consolidado habilitante Técnico</vt:lpstr>
      <vt:lpstr>Listados</vt:lpstr>
      <vt:lpstr>Habilitante Económico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CAMILO ANDRES VELASCO TRIANA</dc:creator>
  <cp:keywords/>
  <dc:description/>
  <cp:lastModifiedBy>CAMILO ANDRES VELASCO TRIANA</cp:lastModifiedBy>
  <cp:revision/>
  <dcterms:created xsi:type="dcterms:W3CDTF">2024-10-04T17:00:19Z</dcterms:created>
  <dcterms:modified xsi:type="dcterms:W3CDTF">2024-10-28T22:34:34Z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0x010100F79E256FF4FDDC4CA04580AE6E9A9C1A</vt:lpwstr>
  </property>
</Properties>
</file>