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threadedComments/threadedComment1.xml" ContentType="application/vnd.ms-excel.threadedcomments+xml"/>
  <Override PartName="/xl/comments5.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educacionbogota-my.sharepoint.com/personal/cvelasco_educacionbogota_gov_co1/Documents/Matriz CONCURSO DE MERITOS- INTERVENTORÍA VIGILANCIA/Evaluación definitiva/"/>
    </mc:Choice>
  </mc:AlternateContent>
  <xr:revisionPtr revIDLastSave="4287" documentId="8_{16FD5A56-75AB-483D-8103-B4F8C2640298}" xr6:coauthVersionLast="47" xr6:coauthVersionMax="47" xr10:uidLastSave="{A6613CE0-F073-4648-A340-E6844578C892}"/>
  <bookViews>
    <workbookView xWindow="-120" yWindow="-120" windowWidth="29040" windowHeight="15720" firstSheet="4" activeTab="8" xr2:uid="{AE2B078A-DB05-4D3C-9004-4491E1AB58AA}"/>
  </bookViews>
  <sheets>
    <sheet name="LISTADO" sheetId="9" state="hidden" r:id="rId1"/>
    <sheet name="1.EXP_ADICIONAL_PROP" sheetId="8" r:id="rId2"/>
    <sheet name="2. Exp. Adic.  Director Interv." sheetId="10" r:id="rId3"/>
    <sheet name="3. Exp. Adic.  Coord Operativo" sheetId="11" r:id="rId4"/>
    <sheet name="4 Apoyo Industri Nacional" sheetId="12" r:id="rId5"/>
    <sheet name="5. Personal Discapacidad" sheetId="13" r:id="rId6"/>
    <sheet name="6. E.E de Mujeres" sheetId="14" r:id="rId7"/>
    <sheet name="7. Calidad de Mipyme" sheetId="15" r:id="rId8"/>
    <sheet name="Consolidado" sheetId="17" r:id="rId9"/>
    <sheet name="Hoja1" sheetId="18" r:id="rId10"/>
  </sheets>
  <externalReferences>
    <externalReference r:id="rId11"/>
    <externalReference r:id="rId12"/>
  </externalReferences>
  <definedNames>
    <definedName name="_xlnm._FilterDatabase" localSheetId="2" hidden="1">'2. Exp. Adic.  Director Interv.'!$E$18:$G$22</definedName>
    <definedName name="_xlnm._FilterDatabase" localSheetId="8" hidden="1">Consolidado!$A$3:$O$3</definedName>
    <definedName name="_xlnm._FilterDatabase" localSheetId="9" hidden="1">Hoja1!$A$1:$F$14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3" i="8" l="1"/>
  <c r="K3" i="11" l="1"/>
  <c r="H19" i="10" l="1"/>
  <c r="H20" i="10"/>
  <c r="H21" i="10"/>
  <c r="H22" i="10"/>
  <c r="H18" i="10"/>
  <c r="R12" i="8"/>
  <c r="R11" i="8"/>
  <c r="R10" i="8"/>
  <c r="J11" i="17" l="1"/>
  <c r="J6" i="17"/>
  <c r="I11" i="17"/>
  <c r="I10" i="17"/>
  <c r="I6" i="17"/>
  <c r="N10" i="17"/>
  <c r="N11" i="17"/>
  <c r="N14" i="17"/>
  <c r="N16" i="17"/>
  <c r="M5" i="17"/>
  <c r="M6" i="17"/>
  <c r="M7" i="17"/>
  <c r="M8" i="17"/>
  <c r="M10" i="17"/>
  <c r="M11" i="17"/>
  <c r="M13" i="17"/>
  <c r="M14" i="17"/>
  <c r="M16" i="17"/>
  <c r="L8" i="17"/>
  <c r="L10" i="17"/>
  <c r="L14" i="17"/>
  <c r="L16" i="17"/>
  <c r="R50" i="8" l="1"/>
  <c r="R30" i="8"/>
  <c r="E19" i="12"/>
  <c r="K14" i="17" s="1"/>
  <c r="M13" i="11"/>
  <c r="M18" i="11"/>
  <c r="J7" i="17" s="1"/>
  <c r="M28" i="11"/>
  <c r="M38" i="11"/>
  <c r="M43" i="11"/>
  <c r="M58" i="11"/>
  <c r="M63" i="11"/>
  <c r="J16" i="17" s="1"/>
  <c r="K8" i="11" l="1"/>
  <c r="M8" i="11" s="1"/>
  <c r="J5" i="17" s="1"/>
  <c r="K13" i="11"/>
  <c r="K18" i="11"/>
  <c r="K28" i="11"/>
  <c r="K38" i="11"/>
  <c r="K43" i="11"/>
  <c r="K53" i="11"/>
  <c r="M53" i="11" s="1"/>
  <c r="J14" i="17" s="1"/>
  <c r="K58" i="11"/>
  <c r="X2" i="8"/>
  <c r="H28" i="11"/>
  <c r="O22" i="8"/>
  <c r="R14" i="8"/>
  <c r="G14" i="15"/>
  <c r="G15" i="15"/>
  <c r="G16" i="15"/>
  <c r="G18" i="15"/>
  <c r="G20" i="15"/>
  <c r="G8" i="15"/>
  <c r="E2" i="8"/>
  <c r="H35" i="10" l="1"/>
  <c r="H33" i="10"/>
  <c r="H34" i="10"/>
  <c r="H36" i="10"/>
  <c r="H37" i="10"/>
  <c r="H38" i="10"/>
  <c r="H39" i="10"/>
  <c r="H40" i="10"/>
  <c r="H41" i="10"/>
  <c r="R26" i="8"/>
  <c r="O26" i="8"/>
  <c r="H71" i="10"/>
  <c r="H70" i="10"/>
  <c r="H69" i="10"/>
  <c r="H68" i="10"/>
  <c r="M67" i="10"/>
  <c r="I16" i="17" s="1"/>
  <c r="K67" i="10"/>
  <c r="H67" i="10"/>
  <c r="H66" i="10"/>
  <c r="H65" i="10"/>
  <c r="H64" i="10"/>
  <c r="H63" i="10"/>
  <c r="M62" i="10"/>
  <c r="K62" i="10"/>
  <c r="H62" i="10"/>
  <c r="H61" i="10"/>
  <c r="H60" i="10"/>
  <c r="H59" i="10"/>
  <c r="H58" i="10"/>
  <c r="K57" i="10"/>
  <c r="M57" i="10" s="1"/>
  <c r="I14" i="17" s="1"/>
  <c r="H57" i="10"/>
  <c r="H56" i="10"/>
  <c r="H55" i="10"/>
  <c r="H54" i="10"/>
  <c r="H53" i="10"/>
  <c r="K52" i="10"/>
  <c r="M52" i="10" s="1"/>
  <c r="I13" i="17" s="1"/>
  <c r="H52" i="10"/>
  <c r="H51" i="10"/>
  <c r="H50" i="10"/>
  <c r="H49" i="10"/>
  <c r="H48" i="10"/>
  <c r="K47" i="10"/>
  <c r="M47" i="10" s="1"/>
  <c r="H47" i="10"/>
  <c r="H46" i="10"/>
  <c r="H45" i="10"/>
  <c r="H44" i="10"/>
  <c r="H43" i="10"/>
  <c r="M42" i="10"/>
  <c r="H42" i="10"/>
  <c r="K42" i="10" s="1"/>
  <c r="K33" i="10"/>
  <c r="M33" i="10" s="1"/>
  <c r="H32" i="10"/>
  <c r="H31" i="10"/>
  <c r="H30" i="10"/>
  <c r="H29" i="10"/>
  <c r="M28" i="10"/>
  <c r="K28" i="10"/>
  <c r="H28" i="10"/>
  <c r="H27" i="10"/>
  <c r="H26" i="10"/>
  <c r="H25" i="10"/>
  <c r="H24" i="10"/>
  <c r="K23" i="10"/>
  <c r="M23" i="10" s="1"/>
  <c r="I8" i="17" s="1"/>
  <c r="H23" i="10"/>
  <c r="K18" i="10"/>
  <c r="M18" i="10" s="1"/>
  <c r="I7" i="17" s="1"/>
  <c r="H17" i="10"/>
  <c r="H16" i="10"/>
  <c r="H15" i="10"/>
  <c r="H14" i="10"/>
  <c r="K13" i="10"/>
  <c r="M13" i="10" s="1"/>
  <c r="H13" i="10"/>
  <c r="H12" i="10"/>
  <c r="H11" i="10"/>
  <c r="H10" i="10"/>
  <c r="H9" i="10"/>
  <c r="K8" i="10"/>
  <c r="M8" i="10" s="1"/>
  <c r="I5" i="17" s="1"/>
  <c r="H8" i="10"/>
  <c r="P53" i="8"/>
  <c r="Q53" i="8" s="1"/>
  <c r="N53" i="8"/>
  <c r="W53" i="8" s="1"/>
  <c r="S53" i="8" s="1"/>
  <c r="P52" i="8"/>
  <c r="Q52" i="8" s="1"/>
  <c r="N52" i="8"/>
  <c r="W52" i="8" s="1"/>
  <c r="S52" i="8" s="1"/>
  <c r="P51" i="8"/>
  <c r="Q51" i="8" s="1"/>
  <c r="N51" i="8"/>
  <c r="W51" i="8" s="1"/>
  <c r="S51" i="8" s="1"/>
  <c r="P50" i="8"/>
  <c r="Q50" i="8" s="1"/>
  <c r="N50" i="8"/>
  <c r="W50" i="8" s="1"/>
  <c r="E50" i="8"/>
  <c r="F50" i="8" s="1"/>
  <c r="P49" i="8"/>
  <c r="Q49" i="8" s="1"/>
  <c r="N49" i="8"/>
  <c r="W49" i="8" s="1"/>
  <c r="S49" i="8" s="1"/>
  <c r="P48" i="8"/>
  <c r="Q48" i="8" s="1"/>
  <c r="N48" i="8"/>
  <c r="W48" i="8" s="1"/>
  <c r="S48" i="8" s="1"/>
  <c r="P47" i="8"/>
  <c r="Q47" i="8" s="1"/>
  <c r="N47" i="8"/>
  <c r="W47" i="8" s="1"/>
  <c r="S47" i="8" s="1"/>
  <c r="Q46" i="8"/>
  <c r="N46" i="8"/>
  <c r="W46" i="8" s="1"/>
  <c r="E46" i="8"/>
  <c r="F46" i="8" s="1"/>
  <c r="P45" i="8"/>
  <c r="Q45" i="8" s="1"/>
  <c r="N45" i="8"/>
  <c r="W45" i="8" s="1"/>
  <c r="S45" i="8" s="1"/>
  <c r="P44" i="8"/>
  <c r="Q44" i="8" s="1"/>
  <c r="N44" i="8"/>
  <c r="W44" i="8" s="1"/>
  <c r="S44" i="8" s="1"/>
  <c r="P43" i="8"/>
  <c r="Q43" i="8" s="1"/>
  <c r="N43" i="8"/>
  <c r="W43" i="8" s="1"/>
  <c r="S43" i="8" s="1"/>
  <c r="P42" i="8"/>
  <c r="Q42" i="8" s="1"/>
  <c r="N42" i="8"/>
  <c r="W42" i="8" s="1"/>
  <c r="E42" i="8"/>
  <c r="F42" i="8" s="1"/>
  <c r="P41" i="8"/>
  <c r="Q41" i="8" s="1"/>
  <c r="N41" i="8"/>
  <c r="W41" i="8" s="1"/>
  <c r="S41" i="8" s="1"/>
  <c r="P40" i="8"/>
  <c r="Q40" i="8" s="1"/>
  <c r="N40" i="8"/>
  <c r="W40" i="8" s="1"/>
  <c r="S40" i="8" s="1"/>
  <c r="P39" i="8"/>
  <c r="Q39" i="8" s="1"/>
  <c r="N39" i="8"/>
  <c r="W39" i="8" s="1"/>
  <c r="S39" i="8" s="1"/>
  <c r="P38" i="8"/>
  <c r="Q38" i="8" s="1"/>
  <c r="N38" i="8"/>
  <c r="W38" i="8" s="1"/>
  <c r="E38" i="8"/>
  <c r="F38" i="8" s="1"/>
  <c r="P37" i="8"/>
  <c r="Q37" i="8" s="1"/>
  <c r="N37" i="8"/>
  <c r="W37" i="8" s="1"/>
  <c r="S37" i="8" s="1"/>
  <c r="P36" i="8"/>
  <c r="Q36" i="8" s="1"/>
  <c r="N36" i="8"/>
  <c r="W36" i="8" s="1"/>
  <c r="S36" i="8" s="1"/>
  <c r="P35" i="8"/>
  <c r="Q35" i="8" s="1"/>
  <c r="N35" i="8"/>
  <c r="W35" i="8" s="1"/>
  <c r="S35" i="8" s="1"/>
  <c r="P34" i="8"/>
  <c r="Q34" i="8" s="1"/>
  <c r="N34" i="8"/>
  <c r="W34" i="8" s="1"/>
  <c r="E34" i="8"/>
  <c r="F34" i="8" s="1"/>
  <c r="P33" i="8"/>
  <c r="Q33" i="8" s="1"/>
  <c r="N33" i="8"/>
  <c r="W33" i="8" s="1"/>
  <c r="S33" i="8" s="1"/>
  <c r="P32" i="8"/>
  <c r="Q32" i="8" s="1"/>
  <c r="N32" i="8"/>
  <c r="W32" i="8" s="1"/>
  <c r="S32" i="8" s="1"/>
  <c r="P31" i="8"/>
  <c r="Q31" i="8" s="1"/>
  <c r="N31" i="8"/>
  <c r="W31" i="8" s="1"/>
  <c r="S31" i="8" s="1"/>
  <c r="P30" i="8"/>
  <c r="Q30" i="8" s="1"/>
  <c r="N30" i="8"/>
  <c r="W30" i="8" s="1"/>
  <c r="E30" i="8"/>
  <c r="F30" i="8" s="1"/>
  <c r="P29" i="8"/>
  <c r="Q29" i="8" s="1"/>
  <c r="N29" i="8"/>
  <c r="W29" i="8" s="1"/>
  <c r="S29" i="8" s="1"/>
  <c r="P28" i="8"/>
  <c r="Q28" i="8" s="1"/>
  <c r="N28" i="8"/>
  <c r="W28" i="8" s="1"/>
  <c r="S28" i="8" s="1"/>
  <c r="P27" i="8"/>
  <c r="Q27" i="8" s="1"/>
  <c r="N27" i="8"/>
  <c r="W27" i="8" s="1"/>
  <c r="S27" i="8" s="1"/>
  <c r="P26" i="8"/>
  <c r="Q26" i="8" s="1"/>
  <c r="N26" i="8"/>
  <c r="W26" i="8" s="1"/>
  <c r="E26" i="8"/>
  <c r="F26" i="8" s="1"/>
  <c r="P25" i="8"/>
  <c r="Q25" i="8" s="1"/>
  <c r="N25" i="8"/>
  <c r="W25" i="8" s="1"/>
  <c r="S25" i="8" s="1"/>
  <c r="P24" i="8"/>
  <c r="Q24" i="8" s="1"/>
  <c r="N24" i="8"/>
  <c r="W24" i="8" s="1"/>
  <c r="S24" i="8" s="1"/>
  <c r="P23" i="8"/>
  <c r="Q23" i="8" s="1"/>
  <c r="N23" i="8"/>
  <c r="W23" i="8" s="1"/>
  <c r="S23" i="8" s="1"/>
  <c r="P22" i="8"/>
  <c r="Q22" i="8" s="1"/>
  <c r="N22" i="8"/>
  <c r="W22" i="8" s="1"/>
  <c r="E22" i="8"/>
  <c r="F22" i="8" s="1"/>
  <c r="P21" i="8"/>
  <c r="Q21" i="8" s="1"/>
  <c r="N21" i="8"/>
  <c r="W21" i="8" s="1"/>
  <c r="S21" i="8" s="1"/>
  <c r="P20" i="8"/>
  <c r="Q20" i="8" s="1"/>
  <c r="N20" i="8"/>
  <c r="W20" i="8" s="1"/>
  <c r="S20" i="8" s="1"/>
  <c r="P19" i="8"/>
  <c r="Q19" i="8" s="1"/>
  <c r="N19" i="8"/>
  <c r="W19" i="8" s="1"/>
  <c r="S19" i="8" s="1"/>
  <c r="P18" i="8"/>
  <c r="Q18" i="8" s="1"/>
  <c r="N18" i="8"/>
  <c r="W18" i="8" s="1"/>
  <c r="E18" i="8"/>
  <c r="F18" i="8" s="1"/>
  <c r="P17" i="8"/>
  <c r="Q17" i="8" s="1"/>
  <c r="N17" i="8"/>
  <c r="W17" i="8" s="1"/>
  <c r="S17" i="8" s="1"/>
  <c r="P16" i="8"/>
  <c r="Q16" i="8" s="1"/>
  <c r="N16" i="8"/>
  <c r="W16" i="8" s="1"/>
  <c r="S16" i="8" s="1"/>
  <c r="P15" i="8"/>
  <c r="Q15" i="8" s="1"/>
  <c r="N15" i="8"/>
  <c r="W15" i="8" s="1"/>
  <c r="P14" i="8"/>
  <c r="Q14" i="8" s="1"/>
  <c r="N14" i="8"/>
  <c r="W14" i="8" s="1"/>
  <c r="S14" i="8" s="1"/>
  <c r="E14" i="8"/>
  <c r="F14" i="8" s="1"/>
  <c r="P13" i="8"/>
  <c r="Q13" i="8" s="1"/>
  <c r="N13" i="8"/>
  <c r="W13" i="8" s="1"/>
  <c r="S13" i="8" s="1"/>
  <c r="P12" i="8"/>
  <c r="Q12" i="8" s="1"/>
  <c r="N12" i="8"/>
  <c r="W12" i="8" s="1"/>
  <c r="S12" i="8" s="1"/>
  <c r="P11" i="8"/>
  <c r="Q11" i="8" s="1"/>
  <c r="N11" i="8"/>
  <c r="W11" i="8" s="1"/>
  <c r="S11" i="8" s="1"/>
  <c r="P10" i="8"/>
  <c r="Q10" i="8" s="1"/>
  <c r="N10" i="8"/>
  <c r="W10" i="8" s="1"/>
  <c r="E10" i="8"/>
  <c r="F10" i="8" s="1"/>
  <c r="P9" i="8"/>
  <c r="Q9" i="8" s="1"/>
  <c r="N9" i="8"/>
  <c r="W9" i="8" s="1"/>
  <c r="S9" i="8" s="1"/>
  <c r="P8" i="8"/>
  <c r="Q8" i="8" s="1"/>
  <c r="N8" i="8"/>
  <c r="W8" i="8" s="1"/>
  <c r="S8" i="8" s="1"/>
  <c r="P7" i="8"/>
  <c r="Q7" i="8" s="1"/>
  <c r="N7" i="8"/>
  <c r="W7" i="8" s="1"/>
  <c r="S7" i="8" s="1"/>
  <c r="P6" i="8"/>
  <c r="Q6" i="8" s="1"/>
  <c r="N6" i="8"/>
  <c r="W6" i="8" s="1"/>
  <c r="E6" i="8"/>
  <c r="F6" i="8" s="1"/>
  <c r="S30" i="8" l="1"/>
  <c r="X30" i="8"/>
  <c r="Y30" i="8" s="1"/>
  <c r="Z30" i="8" s="1"/>
  <c r="S26" i="8"/>
  <c r="X26" i="8"/>
  <c r="Y26" i="8" s="1"/>
  <c r="Z26" i="8" s="1"/>
  <c r="AA26" i="8" s="1"/>
  <c r="AA30" i="8"/>
  <c r="S50" i="8"/>
  <c r="X50" i="8"/>
  <c r="Y50" i="8" s="1"/>
  <c r="Z50" i="8" s="1"/>
  <c r="AA50" i="8" s="1"/>
  <c r="S38" i="8"/>
  <c r="X38" i="8"/>
  <c r="Y38" i="8" s="1"/>
  <c r="Z38" i="8" s="1"/>
  <c r="AA38" i="8" s="1"/>
  <c r="S42" i="8"/>
  <c r="X42" i="8"/>
  <c r="Y42" i="8" s="1"/>
  <c r="Z42" i="8" s="1"/>
  <c r="AA42" i="8" s="1"/>
  <c r="S10" i="8"/>
  <c r="X10" i="8" s="1"/>
  <c r="Y10" i="8" s="1"/>
  <c r="Z10" i="8" s="1"/>
  <c r="AA10" i="8" s="1"/>
  <c r="S34" i="8"/>
  <c r="X34" i="8"/>
  <c r="Y34" i="8" s="1"/>
  <c r="Z34" i="8" s="1"/>
  <c r="S18" i="8"/>
  <c r="X18" i="8"/>
  <c r="Y18" i="8" s="1"/>
  <c r="Z18" i="8" s="1"/>
  <c r="AA18" i="8" s="1"/>
  <c r="S22" i="8"/>
  <c r="X22" i="8" s="1"/>
  <c r="Y22" i="8" s="1"/>
  <c r="S46" i="8"/>
  <c r="X46" i="8"/>
  <c r="Y46" i="8" s="1"/>
  <c r="Z46" i="8" s="1"/>
  <c r="AA46" i="8" s="1"/>
  <c r="S15" i="8"/>
  <c r="X14" i="8"/>
  <c r="Y14" i="8" s="1"/>
  <c r="Z14" i="8" s="1"/>
  <c r="AA14" i="8" s="1"/>
  <c r="AA34" i="8"/>
  <c r="S6" i="8"/>
  <c r="X6" i="8" s="1"/>
  <c r="Y6" i="8"/>
  <c r="Z6" i="8" s="1"/>
  <c r="AA6" i="8" s="1"/>
  <c r="D13" i="18" a="1"/>
  <c r="D6" i="18" a="1"/>
  <c r="D8" i="18" a="1"/>
  <c r="D3" i="18" a="1"/>
  <c r="D12" i="18" a="1"/>
  <c r="D4" i="18" a="1"/>
  <c r="D5" i="18" a="1"/>
  <c r="D9" i="18" a="1"/>
  <c r="D11" i="18" a="1"/>
  <c r="D10" i="18" a="1"/>
  <c r="D14" i="18" a="1"/>
  <c r="D4" i="18" l="1"/>
  <c r="D6" i="18"/>
  <c r="D12" i="18"/>
  <c r="D3" i="18"/>
  <c r="D10" i="18"/>
  <c r="D5" i="18"/>
  <c r="D9" i="18"/>
  <c r="D8" i="18"/>
  <c r="D13" i="18"/>
  <c r="D14" i="18"/>
  <c r="D11" i="18"/>
  <c r="Z22" i="8"/>
  <c r="AA22" i="8" s="1"/>
  <c r="H4" i="11"/>
  <c r="H3" i="11"/>
  <c r="D7" i="18" a="1"/>
  <c r="D7" i="18" l="1"/>
  <c r="P2" i="8"/>
  <c r="F2" i="8"/>
  <c r="N3" i="8" l="1"/>
  <c r="W3" i="8" s="1"/>
  <c r="S3" i="8" s="1"/>
  <c r="N4" i="8"/>
  <c r="W4" i="8" s="1"/>
  <c r="S4" i="8" s="1"/>
  <c r="N5" i="8"/>
  <c r="W5" i="8" s="1"/>
  <c r="S5" i="8" s="1"/>
  <c r="P3" i="8"/>
  <c r="Q3" i="8" s="1"/>
  <c r="P4" i="8"/>
  <c r="Q4" i="8" s="1"/>
  <c r="P5" i="8"/>
  <c r="Q5" i="8" s="1"/>
  <c r="N2" i="8"/>
  <c r="W2" i="8" l="1"/>
  <c r="S2" i="8" s="1"/>
  <c r="Y2" i="8"/>
  <c r="Q2" i="8"/>
  <c r="Z2" i="8" l="1"/>
  <c r="AA2" i="8" s="1"/>
  <c r="E10" i="12"/>
  <c r="K5" i="17" s="1"/>
  <c r="E11" i="12"/>
  <c r="K6" i="17" s="1"/>
  <c r="E12" i="12"/>
  <c r="K7" i="17" s="1"/>
  <c r="E13" i="12"/>
  <c r="K8" i="17" s="1"/>
  <c r="E14" i="12"/>
  <c r="E15" i="12"/>
  <c r="K10" i="17" s="1"/>
  <c r="E16" i="12"/>
  <c r="K11" i="17" s="1"/>
  <c r="E17" i="12"/>
  <c r="E18" i="12"/>
  <c r="K13" i="17" s="1"/>
  <c r="E20" i="12"/>
  <c r="E21" i="12"/>
  <c r="K16" i="17" s="1"/>
  <c r="E9" i="12"/>
  <c r="J11" i="14"/>
  <c r="J12" i="14"/>
  <c r="J13" i="14"/>
  <c r="J14" i="14"/>
  <c r="J15" i="14"/>
  <c r="J16" i="14"/>
  <c r="J17" i="14"/>
  <c r="J18" i="14"/>
  <c r="J19" i="14"/>
  <c r="J20" i="14"/>
  <c r="J21" i="14"/>
  <c r="J10" i="14"/>
  <c r="J9" i="14"/>
  <c r="I8" i="13"/>
  <c r="I20" i="13"/>
  <c r="I18" i="13"/>
  <c r="I16" i="13"/>
  <c r="I14" i="13"/>
  <c r="I12" i="13"/>
  <c r="H67" i="11"/>
  <c r="H66" i="11"/>
  <c r="H65" i="11"/>
  <c r="H64" i="11"/>
  <c r="H63" i="11"/>
  <c r="H62" i="11"/>
  <c r="H61" i="11"/>
  <c r="H60" i="11"/>
  <c r="H59" i="11"/>
  <c r="H58" i="11"/>
  <c r="H57" i="11"/>
  <c r="H56" i="11"/>
  <c r="H55" i="11"/>
  <c r="H54" i="11"/>
  <c r="H53" i="11"/>
  <c r="H52" i="11"/>
  <c r="H51" i="11"/>
  <c r="H50" i="11"/>
  <c r="H49" i="11"/>
  <c r="K48" i="11" s="1"/>
  <c r="M48" i="11" s="1"/>
  <c r="J13" i="17" s="1"/>
  <c r="H48" i="11"/>
  <c r="H47" i="11"/>
  <c r="H46" i="11"/>
  <c r="H45" i="11"/>
  <c r="H44" i="11"/>
  <c r="H43" i="11"/>
  <c r="H42" i="11"/>
  <c r="H41" i="11"/>
  <c r="H40" i="11"/>
  <c r="H39" i="11"/>
  <c r="H38" i="11"/>
  <c r="H37" i="11"/>
  <c r="H36" i="11"/>
  <c r="H35" i="11"/>
  <c r="H34" i="11"/>
  <c r="H33" i="11"/>
  <c r="K33" i="11" s="1"/>
  <c r="M33" i="11" s="1"/>
  <c r="J10" i="17" s="1"/>
  <c r="H32" i="11"/>
  <c r="H31" i="11"/>
  <c r="H30" i="11"/>
  <c r="H29" i="11"/>
  <c r="H27" i="11"/>
  <c r="H26" i="11"/>
  <c r="H25" i="11"/>
  <c r="H24" i="11"/>
  <c r="H23" i="11"/>
  <c r="K23" i="11" s="1"/>
  <c r="M23" i="11" s="1"/>
  <c r="J8" i="17" s="1"/>
  <c r="H22" i="11"/>
  <c r="H21" i="11"/>
  <c r="H20" i="11"/>
  <c r="H19" i="11"/>
  <c r="H18" i="11"/>
  <c r="H17" i="11"/>
  <c r="H16" i="11"/>
  <c r="H15" i="11"/>
  <c r="H14" i="11"/>
  <c r="H13" i="11"/>
  <c r="H12" i="11"/>
  <c r="H11" i="11"/>
  <c r="H10" i="11"/>
  <c r="H9" i="11"/>
  <c r="H8" i="11"/>
  <c r="H7" i="11"/>
  <c r="H6" i="11"/>
  <c r="H5" i="11"/>
  <c r="D2" i="18" a="1"/>
  <c r="D2" i="18" l="1"/>
  <c r="K63" i="11"/>
  <c r="M3" i="11"/>
  <c r="H3" i="10"/>
  <c r="H7" i="10"/>
  <c r="H6" i="10"/>
  <c r="H5" i="10"/>
  <c r="H4" i="10"/>
  <c r="K3" i="10" l="1"/>
  <c r="M3" i="10" l="1"/>
  <c r="D4" i="17" l="1"/>
  <c r="D5" i="17" l="1"/>
  <c r="D11" i="17"/>
  <c r="D13" i="17"/>
  <c r="D16" i="17" l="1"/>
  <c r="D15" i="17"/>
  <c r="D14" i="17"/>
  <c r="D12" i="17"/>
  <c r="D10" i="17"/>
  <c r="D9" i="17"/>
  <c r="D8" i="17"/>
  <c r="D7" i="17"/>
  <c r="D6" i="17"/>
  <c r="B14" i="17" l="1"/>
  <c r="B19" i="12"/>
  <c r="B15" i="12"/>
  <c r="B10" i="17"/>
  <c r="B11" i="12"/>
  <c r="B6" i="17"/>
  <c r="B18" i="12"/>
  <c r="B13" i="17"/>
  <c r="B10" i="12"/>
  <c r="B5" i="17"/>
  <c r="B21" i="12"/>
  <c r="B16" i="17"/>
  <c r="B9" i="17"/>
  <c r="B14" i="12"/>
  <c r="B16" i="12"/>
  <c r="B11" i="17"/>
  <c r="B17" i="12"/>
  <c r="B12" i="17"/>
  <c r="B20" i="12"/>
  <c r="B15" i="17"/>
  <c r="B4" i="17"/>
  <c r="B9" i="12"/>
  <c r="B8" i="17"/>
  <c r="B13" i="12"/>
  <c r="B12" i="12"/>
  <c r="B7" i="17"/>
  <c r="C12" i="17"/>
  <c r="G12" i="17" s="1"/>
  <c r="C11" i="17"/>
  <c r="G11" i="17" s="1"/>
  <c r="E9" i="18" s="1"/>
  <c r="F9" i="18" s="1"/>
  <c r="C6" i="17"/>
  <c r="G6" i="17" s="1"/>
  <c r="E4" i="18" s="1"/>
  <c r="F4" i="18" s="1"/>
  <c r="C14" i="17"/>
  <c r="G14" i="17" s="1"/>
  <c r="E12" i="18" s="1"/>
  <c r="F12" i="18" s="1"/>
  <c r="C8" i="17"/>
  <c r="G8" i="17" s="1"/>
  <c r="E6" i="18" s="1"/>
  <c r="F6" i="18" s="1"/>
  <c r="C13" i="17"/>
  <c r="G13" i="17" s="1"/>
  <c r="E11" i="18" s="1"/>
  <c r="F11" i="18" s="1"/>
  <c r="C15" i="17"/>
  <c r="G15" i="17" s="1"/>
  <c r="C7" i="17"/>
  <c r="G7" i="17" s="1"/>
  <c r="E5" i="18" s="1"/>
  <c r="F5" i="18" s="1"/>
  <c r="C9" i="17"/>
  <c r="C5" i="17"/>
  <c r="G5" i="17" s="1"/>
  <c r="E3" i="18" s="1"/>
  <c r="F3" i="18" s="1"/>
  <c r="C10" i="17"/>
  <c r="G10" i="17" s="1"/>
  <c r="E8" i="18" s="1"/>
  <c r="F8" i="18" s="1"/>
  <c r="B13" i="11" a="1"/>
  <c r="B38" i="8" a="1"/>
  <c r="B2" i="8" a="1"/>
  <c r="B18" i="11" a="1"/>
  <c r="B18" i="8" a="1"/>
  <c r="B67" i="10" a="1"/>
  <c r="B30" i="8" a="1"/>
  <c r="B22" i="8" a="1"/>
  <c r="B43" i="11" a="1"/>
  <c r="B23" i="10" a="1"/>
  <c r="B10" i="8" a="1"/>
  <c r="B23" i="11" a="1"/>
  <c r="B42" i="10" a="1"/>
  <c r="B42" i="8" a="1"/>
  <c r="B6" i="8" a="1"/>
  <c r="B28" i="10" a="1"/>
  <c r="B3" i="11" a="1"/>
  <c r="B28" i="11" a="1"/>
  <c r="B53" i="11" a="1"/>
  <c r="B26" i="8" a="1"/>
  <c r="B14" i="8" a="1"/>
  <c r="B48" i="11" a="1"/>
  <c r="B63" i="11" a="1"/>
  <c r="B50" i="8" a="1"/>
  <c r="B38" i="11" a="1"/>
  <c r="B8" i="10" a="1"/>
  <c r="B52" i="10" a="1"/>
  <c r="B33" i="10" a="1"/>
  <c r="B46" i="8" a="1"/>
  <c r="B13" i="10" a="1"/>
  <c r="B58" i="11" a="1"/>
  <c r="B8" i="11" a="1"/>
  <c r="B47" i="10" a="1"/>
  <c r="B3" i="10" a="1"/>
  <c r="B18" i="10" a="1"/>
  <c r="B57" i="10" a="1"/>
  <c r="B62" i="10" a="1"/>
  <c r="B33" i="11" a="1"/>
  <c r="B34" i="8" a="1"/>
  <c r="M15" i="17" l="1"/>
  <c r="N15" i="17"/>
  <c r="K15" i="17"/>
  <c r="L15" i="17"/>
  <c r="I15" i="17"/>
  <c r="J15" i="17"/>
  <c r="E13" i="18"/>
  <c r="F13" i="18" s="1"/>
  <c r="H15" i="17"/>
  <c r="M12" i="17"/>
  <c r="N12" i="17"/>
  <c r="K12" i="17"/>
  <c r="L12" i="17"/>
  <c r="I12" i="17"/>
  <c r="J12" i="17"/>
  <c r="E10" i="18"/>
  <c r="F10" i="18" s="1"/>
  <c r="H12" i="17"/>
  <c r="G9" i="17"/>
  <c r="B28" i="10"/>
  <c r="B28" i="11"/>
  <c r="B22" i="8"/>
  <c r="B50" i="8"/>
  <c r="B63" i="11"/>
  <c r="B67" i="10"/>
  <c r="B14" i="8"/>
  <c r="C14" i="8" s="1"/>
  <c r="B18" i="10"/>
  <c r="B18" i="11"/>
  <c r="B38" i="11"/>
  <c r="B42" i="10"/>
  <c r="B30" i="8"/>
  <c r="B8" i="10"/>
  <c r="B8" i="11"/>
  <c r="B6" i="8"/>
  <c r="C6" i="8" s="1"/>
  <c r="B38" i="8"/>
  <c r="C38" i="8" s="1"/>
  <c r="B48" i="11"/>
  <c r="B52" i="10"/>
  <c r="B23" i="10"/>
  <c r="B23" i="11"/>
  <c r="B18" i="8"/>
  <c r="B13" i="11"/>
  <c r="B13" i="10"/>
  <c r="B10" i="8"/>
  <c r="C10" i="8" s="1"/>
  <c r="B3" i="11"/>
  <c r="B3" i="10"/>
  <c r="B2" i="8"/>
  <c r="B62" i="10"/>
  <c r="B58" i="11"/>
  <c r="B46" i="8"/>
  <c r="C46" i="8" s="1"/>
  <c r="B33" i="11"/>
  <c r="B33" i="10"/>
  <c r="B26" i="8"/>
  <c r="B34" i="8"/>
  <c r="B43" i="11"/>
  <c r="B47" i="10"/>
  <c r="B42" i="8"/>
  <c r="B57" i="10"/>
  <c r="B53" i="11"/>
  <c r="B13" i="15"/>
  <c r="B7" i="18"/>
  <c r="G7" i="18" s="1"/>
  <c r="B20" i="15"/>
  <c r="B21" i="14" s="1"/>
  <c r="B20" i="13" s="1"/>
  <c r="B14" i="18"/>
  <c r="G14" i="18" s="1"/>
  <c r="B11" i="15"/>
  <c r="B5" i="18"/>
  <c r="G5" i="18" s="1"/>
  <c r="B9" i="18"/>
  <c r="G9" i="18" s="1"/>
  <c r="B15" i="15"/>
  <c r="B16" i="14" s="1"/>
  <c r="B3" i="18"/>
  <c r="G3" i="18" s="1"/>
  <c r="B9" i="15"/>
  <c r="B17" i="15"/>
  <c r="B11" i="18"/>
  <c r="G11" i="18" s="1"/>
  <c r="B6" i="18"/>
  <c r="G6" i="18" s="1"/>
  <c r="B12" i="15"/>
  <c r="B10" i="15"/>
  <c r="B4" i="18"/>
  <c r="G4" i="18" s="1"/>
  <c r="B2" i="18"/>
  <c r="G2" i="18" s="1"/>
  <c r="B8" i="15"/>
  <c r="B9" i="14" s="1"/>
  <c r="B8" i="13" s="1"/>
  <c r="B13" i="18"/>
  <c r="G13" i="18" s="1"/>
  <c r="B19" i="15"/>
  <c r="B8" i="18"/>
  <c r="G8" i="18" s="1"/>
  <c r="B14" i="15"/>
  <c r="B15" i="14" s="1"/>
  <c r="B14" i="13" s="1"/>
  <c r="B10" i="18"/>
  <c r="G10" i="18" s="1"/>
  <c r="B16" i="15"/>
  <c r="B17" i="14" s="1"/>
  <c r="B16" i="13" s="1"/>
  <c r="B12" i="18"/>
  <c r="G12" i="18" s="1"/>
  <c r="B18" i="15"/>
  <c r="B19" i="14" s="1"/>
  <c r="B18" i="13" s="1"/>
  <c r="C16" i="17"/>
  <c r="G16" i="17" s="1"/>
  <c r="E14" i="18" s="1"/>
  <c r="F14" i="18" s="1"/>
  <c r="E7" i="18" l="1"/>
  <c r="F7" i="18" s="1"/>
  <c r="N9" i="17"/>
  <c r="I9" i="17"/>
  <c r="H9" i="17"/>
  <c r="L9" i="17"/>
  <c r="J9" i="17"/>
  <c r="K9" i="17"/>
  <c r="M9" i="17"/>
  <c r="H6" i="17"/>
  <c r="AB10" i="8" s="1"/>
  <c r="AB22" i="8"/>
  <c r="H16" i="17"/>
  <c r="O16" i="17" s="1"/>
  <c r="H14" i="17"/>
  <c r="O14" i="17" s="1"/>
  <c r="H5" i="17"/>
  <c r="AB6" i="8" s="1"/>
  <c r="O12" i="17"/>
  <c r="H10" i="17"/>
  <c r="O10" i="17" s="1"/>
  <c r="H7" i="17"/>
  <c r="AB14" i="8" s="1"/>
  <c r="B12" i="14"/>
  <c r="C11" i="15"/>
  <c r="G11" i="15" s="1"/>
  <c r="N7" i="17" s="1"/>
  <c r="B11" i="14"/>
  <c r="C10" i="15"/>
  <c r="G10" i="15" s="1"/>
  <c r="N6" i="17" s="1"/>
  <c r="H8" i="17"/>
  <c r="AB18" i="8" s="1"/>
  <c r="B13" i="14"/>
  <c r="B12" i="13" s="1"/>
  <c r="C12" i="15"/>
  <c r="G12" i="15" s="1"/>
  <c r="N8" i="17" s="1"/>
  <c r="C2" i="8"/>
  <c r="B14" i="14"/>
  <c r="C13" i="15"/>
  <c r="G13" i="15" s="1"/>
  <c r="B18" i="14"/>
  <c r="C17" i="15"/>
  <c r="G17" i="15" s="1"/>
  <c r="N13" i="17" s="1"/>
  <c r="H13" i="17"/>
  <c r="C50" i="8"/>
  <c r="C9" i="15"/>
  <c r="G9" i="15" s="1"/>
  <c r="N5" i="17" s="1"/>
  <c r="B10" i="14"/>
  <c r="AB46" i="8"/>
  <c r="B20" i="14"/>
  <c r="C19" i="15"/>
  <c r="G19" i="15" s="1"/>
  <c r="H11" i="17"/>
  <c r="AB34" i="8"/>
  <c r="B15" i="13"/>
  <c r="C15" i="13" s="1"/>
  <c r="I15" i="13" s="1"/>
  <c r="L11" i="17" s="1"/>
  <c r="C16" i="14"/>
  <c r="C26" i="8"/>
  <c r="AB50" i="8" l="1"/>
  <c r="AB38" i="8"/>
  <c r="AB26" i="8"/>
  <c r="AB42" i="8"/>
  <c r="C14" i="14"/>
  <c r="B13" i="13"/>
  <c r="C13" i="13" s="1"/>
  <c r="I13" i="13" s="1"/>
  <c r="O9" i="17" s="1"/>
  <c r="O11" i="17"/>
  <c r="B19" i="13"/>
  <c r="C19" i="13" s="1"/>
  <c r="I19" i="13" s="1"/>
  <c r="O15" i="17" s="1"/>
  <c r="C20" i="14"/>
  <c r="O8" i="17"/>
  <c r="C18" i="14"/>
  <c r="B17" i="13"/>
  <c r="C17" i="13" s="1"/>
  <c r="I17" i="13" s="1"/>
  <c r="L13" i="17" s="1"/>
  <c r="O13" i="17" s="1"/>
  <c r="B9" i="13"/>
  <c r="C9" i="13" s="1"/>
  <c r="I9" i="13" s="1"/>
  <c r="L5" i="17" s="1"/>
  <c r="O5" i="17" s="1"/>
  <c r="C10" i="14"/>
  <c r="B10" i="13"/>
  <c r="C10" i="13" s="1"/>
  <c r="I10" i="13" s="1"/>
  <c r="L6" i="17" s="1"/>
  <c r="O6" i="17" s="1"/>
  <c r="C11" i="14"/>
  <c r="AB30" i="8"/>
  <c r="B11" i="13"/>
  <c r="C11" i="13" s="1"/>
  <c r="I11" i="13" s="1"/>
  <c r="L7" i="17" s="1"/>
  <c r="O7" i="17" s="1"/>
  <c r="C12" i="14"/>
  <c r="C4" i="17" l="1"/>
  <c r="G4" i="17" s="1"/>
  <c r="H4" i="17" s="1"/>
  <c r="N4" i="17" l="1"/>
  <c r="L4" i="17"/>
  <c r="M4" i="17"/>
  <c r="J4" i="17"/>
  <c r="I4" i="17"/>
  <c r="E2" i="18"/>
  <c r="F2" i="18" s="1"/>
  <c r="K4" i="17"/>
  <c r="O4" i="17" l="1"/>
  <c r="AB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Velasco</author>
  </authors>
  <commentList>
    <comment ref="J1" authorId="0" shapeId="0" xr:uid="{A454416E-B11D-4C12-8370-A98449FBB1AB}">
      <text>
        <r>
          <rPr>
            <b/>
            <sz val="9"/>
            <color indexed="81"/>
            <rFont val="Tahoma"/>
            <family val="2"/>
          </rPr>
          <t xml:space="preserve">
Pag 43
5.1.1. PUNTAJE POR EXPERIENCIA ADICIONAL DEL PROPONENTE (32.50 PUNTOS)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Camilo Velasco</author>
  </authors>
  <commentList>
    <comment ref="K1" authorId="0" shapeId="0" xr:uid="{4E4ADCEB-7275-4869-BBAD-DF2DC3679DE2}">
      <text>
        <r>
          <rPr>
            <b/>
            <sz val="9"/>
            <color indexed="81"/>
            <rFont val="Tahoma"/>
            <family val="2"/>
          </rPr>
          <t>Pagina 47
5.1.2. EXPERIENCIA ESPECÍFICA ADICIONAL DEL DIRECTOR DE INTERVENTORÍA (23
PUNTOS)</t>
        </r>
        <r>
          <rPr>
            <sz val="9"/>
            <color indexed="81"/>
            <rFont val="Tahoma"/>
            <family val="2"/>
          </rPr>
          <t xml:space="preserve">
</t>
        </r>
      </text>
    </comment>
    <comment ref="C18" authorId="0" shapeId="0" xr:uid="{8DD4CDE6-B687-484B-81B2-E48A325B00F8}">
      <text>
        <r>
          <rPr>
            <sz val="9"/>
            <color indexed="81"/>
            <rFont val="Tahoma"/>
            <family val="2"/>
          </rPr>
          <t xml:space="preserve">
Retirado del 20/01/2014
</t>
        </r>
      </text>
    </comment>
    <comment ref="C28" authorId="0" shapeId="0" xr:uid="{03CC2CDC-A378-4312-AFD2-72E40EEF66CC}">
      <text>
        <r>
          <rPr>
            <b/>
            <sz val="9"/>
            <color indexed="81"/>
            <rFont val="Tahoma"/>
            <family val="2"/>
          </rPr>
          <t xml:space="preserve">Contador  público: 25/01/2007 
</t>
        </r>
        <r>
          <rPr>
            <sz val="9"/>
            <color indexed="81"/>
            <rFont val="Tahoma"/>
            <family val="2"/>
          </rPr>
          <t xml:space="preserve">
</t>
        </r>
      </text>
    </comment>
    <comment ref="C33" authorId="0" shapeId="0" xr:uid="{336E8C25-1D3B-42EA-B7FE-DAF0CDEF8871}">
      <text>
        <r>
          <rPr>
            <b/>
            <sz val="9"/>
            <color indexed="81"/>
            <rFont val="Tahoma"/>
            <family val="2"/>
          </rPr>
          <t>Retirado 01/12/1996</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Camilo Velasco</author>
  </authors>
  <commentList>
    <comment ref="K1" authorId="0" shapeId="0" xr:uid="{87154523-863E-4FD3-B846-91121D46697B}">
      <text>
        <r>
          <rPr>
            <b/>
            <sz val="9"/>
            <color indexed="81"/>
            <rFont val="Tahoma"/>
            <family val="2"/>
          </rPr>
          <t>Pag: 48
5.1.3. EXPERIENCIA ESPECÍFICA ADICIONAL DEL COORDINADOR OPERATIVO (23
PUNTOS)</t>
        </r>
        <r>
          <rPr>
            <sz val="9"/>
            <color indexed="81"/>
            <rFont val="Tahoma"/>
            <family val="2"/>
          </rPr>
          <t xml:space="preserve">
</t>
        </r>
      </text>
    </comment>
    <comment ref="C18" authorId="0" shapeId="0" xr:uid="{0BC02F1E-EE66-4BAC-8FAA-967A5E5F5D68}">
      <text>
        <r>
          <rPr>
            <sz val="9"/>
            <color indexed="81"/>
            <rFont val="Tahoma"/>
            <family val="2"/>
          </rPr>
          <t xml:space="preserve">Retirado 12/06/2008
</t>
        </r>
      </text>
    </comment>
    <comment ref="C28" authorId="0" shapeId="0" xr:uid="{DC08FBB5-DF60-468D-B596-1C2F9AAB9B7C}">
      <text>
        <r>
          <rPr>
            <b/>
            <sz val="9"/>
            <color indexed="81"/>
            <rFont val="Tahoma"/>
            <family val="2"/>
          </rPr>
          <t>Retiro 01/12/1988</t>
        </r>
        <r>
          <rPr>
            <sz val="9"/>
            <color indexed="81"/>
            <rFont val="Tahoma"/>
            <family val="2"/>
          </rPr>
          <t xml:space="preserve">
</t>
        </r>
      </text>
    </comment>
    <comment ref="C33" authorId="0" shapeId="0" xr:uid="{4F1BB3DB-EB68-4636-B500-4B1E80CAD09E}">
      <text>
        <r>
          <rPr>
            <b/>
            <sz val="9"/>
            <color indexed="81"/>
            <rFont val="Tahoma"/>
            <family val="2"/>
          </rPr>
          <t>retirado 11/04/2014</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tc={D8253315-C7BB-4ED2-A958-E55A456EEC4B}</author>
  </authors>
  <commentList>
    <comment ref="F7" authorId="0" shapeId="0" xr:uid="{D8253315-C7BB-4ED2-A958-E55A456EEC4B}">
      <text>
        <t>[Comentario encadenado]
Su versión de Excel le permite leer este comentario encadenado; sin embargo, las ediciones que se apliquen se quitarán si el archivo se abre en una versión más reciente de Excel. Más información: https://go.microsoft.com/fwlink/?linkid=870924
Comentario:
    Vigencia máximo de seis meses</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tc={C938BC6D-A141-49B3-A271-3457DBFC3FA7}</author>
  </authors>
  <commentList>
    <comment ref="H3" authorId="0" shapeId="0" xr:uid="{C938BC6D-A141-49B3-A271-3457DBFC3FA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FORMULA TRM </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<sst xmlns="http://schemas.openxmlformats.org/spreadsheetml/2006/main" count="639" uniqueCount="255">
  <si>
    <t>Listado de certificaciones</t>
  </si>
  <si>
    <t>INCLUIDA</t>
  </si>
  <si>
    <t>CUMPLE</t>
  </si>
  <si>
    <t>CODIGOS UNSP</t>
  </si>
  <si>
    <t>Valor presupuesto</t>
  </si>
  <si>
    <t>Fecha de cierre</t>
  </si>
  <si>
    <t>año</t>
  </si>
  <si>
    <t>SMMLV</t>
  </si>
  <si>
    <t>NO INCLUIDA</t>
  </si>
  <si>
    <t>NO CUMPLE</t>
  </si>
  <si>
    <t>NO APARCE CODIGO</t>
  </si>
  <si>
    <t>NO COINCIDE SALARIO</t>
  </si>
  <si>
    <t>NO COINCIDE CODIGO</t>
  </si>
  <si>
    <t>NO DIPONIBLE</t>
  </si>
  <si>
    <t>No. PROPONENTE</t>
  </si>
  <si>
    <t>NOMBRE DEL PROPONENTE</t>
  </si>
  <si>
    <t>INTEGRANTES DEL PROPONENTE SI ES UT, CONSORCIO O UNICO PROPONENTE</t>
  </si>
  <si>
    <t>% DE PARTICIPACIÓN</t>
  </si>
  <si>
    <t>60% PRESUPUESTO OFICIAL</t>
  </si>
  <si>
    <t>EXPERIENCIA REQUERIDA POR PROPONENTE EXPRESADA EN SMMLV 2024</t>
  </si>
  <si>
    <t>CERTIFICACIÓN 
NÚMERO</t>
  </si>
  <si>
    <t>ENTIDAD CONTRATANTE</t>
  </si>
  <si>
    <t>EMPRESA QUE APORTA LA EXPERIENCIA (Nombre y Nit)</t>
  </si>
  <si>
    <t>OBJETO SIMILAR RELACIONADAS CON SUPERVISIÓN INTEGRAL O INTERVENTORÍA INTEGRAL O AUDITORÍA INTEGRAL</t>
  </si>
  <si>
    <t>% PARTICIPACION DEL CONTRATO ACREDITADO</t>
  </si>
  <si>
    <t xml:space="preserve">FECHA INICIO </t>
  </si>
  <si>
    <t xml:space="preserve">FECHA FINAL </t>
  </si>
  <si>
    <t>Certificación  de contrato finalizado antes de la fecha de cierre del presente proceso de selección</t>
  </si>
  <si>
    <t>VALOR DEL CONTRATO EN PESOS COLOMBIANOS</t>
  </si>
  <si>
    <t>VALOR A TENER EN CUENTA PESOS COLOMBIANOS % PARTICIPACIÓN</t>
  </si>
  <si>
    <t>SMMLV (A LA FECHA DE TERMINACION DEL CONTRATO)</t>
  </si>
  <si>
    <t>SMMLV RUP</t>
  </si>
  <si>
    <t>VALOR ACTUALIZADO CON SMMMLV (2024)</t>
  </si>
  <si>
    <t>VERIFICACIÓN DEL CODIGO  UNSP</t>
  </si>
  <si>
    <t>CONSECUTIVO RUP</t>
  </si>
  <si>
    <t>OBSERVACIONES INDIVIDUALES EXPERIENCIA</t>
  </si>
  <si>
    <t>VALIDACIÓN CERTIFICACIÓN INDIVIDUAL</t>
  </si>
  <si>
    <t xml:space="preserve">TOTAL EXPERIENCIA ADICIONAL APORTADA </t>
  </si>
  <si>
    <t>TOTAL EXPERIENCIA ADICIONAL APORTADA SUPERIOR AL 60%</t>
  </si>
  <si>
    <t>SUMATORIA SMMLV VALIDOS</t>
  </si>
  <si>
    <t>PROMEDIO SMML VALIDOS</t>
  </si>
  <si>
    <t>FORMULA TRM APLICADA AL DIA</t>
  </si>
  <si>
    <t>OBSERVACIONES GENERALES</t>
  </si>
  <si>
    <t>No aportó tanto el formato 13 denominado EXPERIENCIA ADICIONAL DEL PROPONENTE ni las certificaciones adicionales expedidas por las entidades contratantes según lo indicado en el Pliego de Condiciones definitivo</t>
  </si>
  <si>
    <t xml:space="preserve">DEPARTAMENTO DE NARIÑO: interventoría técnica, administrativa, financiera, contable y jurídica al contrato para la implementación del programa de alimentación escolar en los 57 municipios no certificados del departamento de Nariño, conforme a los lineamientos técnicos administrativos, estándares y condiciones mínimas expedidas por el ministerio de educación nacional y/o unidad administrativa especial para la alimentación escolar alimentos para aprender </t>
  </si>
  <si>
    <t>GERMAN MONTENEGRO FAJARDO AUDITORES &amp; ASESORES S.A.S. BIC 900.335.334-8</t>
  </si>
  <si>
    <r>
      <rPr>
        <b/>
        <sz val="8"/>
        <color rgb="FF000000"/>
        <rFont val="Century Gothic"/>
        <family val="2"/>
      </rPr>
      <t>DEPARTAMENTO DE NARIÑO:</t>
    </r>
    <r>
      <rPr>
        <sz val="8"/>
        <color rgb="FF000000"/>
        <rFont val="Century Gothic"/>
        <family val="2"/>
      </rPr>
      <t xml:space="preserve"> INTERVENTORÍA TÉCNICA,
ADMINISTRATIVA, FINANCIERA, CONTABLE Y APOYO AL COMPONENTE JURÍDICO AL CONTRATO PARA LA IMPLEMENTACIÓN DEL PROGRAMA DE ALIMENTACIÓN ESCOLAR EN LOS 57 MUNICIPIOS NO CERTIFICADOS DEL DEPARTAMENTO DE NARIÑO, CONFORME A LOS LINEAMIENTOS TÉCNICOS ADMINISTRATIVOS, ESTÁNDARES Y CONDICIONES MÍNIMAS EXPEDIDAS POR MINISTERIO DE EDUCACIÓN NACIONAL Y/O UNIDAD ADMINISTRATIVA ESPECIAL PARA LA ALIMENTACIÓN ESCOLAR ALIMENTOS PARA APRENDER</t>
    </r>
  </si>
  <si>
    <r>
      <rPr>
        <b/>
        <sz val="8"/>
        <color theme="1"/>
        <rFont val="Century Gothic"/>
        <family val="2"/>
      </rPr>
      <t>MUNICIPIO DE PASTO - SECRETARIA DE EDUCACIÓN</t>
    </r>
    <r>
      <rPr>
        <sz val="8"/>
        <color theme="1"/>
        <rFont val="Century Gothic"/>
        <family val="2"/>
      </rPr>
      <t xml:space="preserve">: El Contratista se compromete para con el Municipio de Pasto – Secretaría de Educación, a realizar la Interventoría Integral conforme a los lineamientos Técnico administrativos, estándares y condiciones mínimas de la Resolución No. 16432 de 2015 y Decreto 1075 de 2015 sobre el Contrato de operación del PAE – 2021. A. ESPECIFICACIONES DE CONTROL Y SEGUIMIENTO ADMINISTRATIVO. B. ESPECIFICACIONES FINANCIERAS. C. OBLIGACIONES JURÍDICAS. C. ESPECIFICACIONES TÉCNICAS. </t>
    </r>
  </si>
  <si>
    <r>
      <rPr>
        <b/>
        <sz val="8"/>
        <color rgb="FF000000"/>
        <rFont val="Century Gothic"/>
        <family val="2"/>
      </rPr>
      <t>FONDO UNICO DE TECNOLOGIAS DE LA INFORMACION Y LAS COMUNICACIONES:</t>
    </r>
    <r>
      <rPr>
        <sz val="8"/>
        <color rgb="FF000000"/>
        <rFont val="Century Gothic"/>
        <family val="2"/>
      </rPr>
      <t xml:space="preserve"> REALIZAR LA INTERVENTORIA INTEGRAL PARA LLEVAR A CABO EL SEGUIMIENTO Y VERIFICACION DE LAS OBLIGACIONES TECNICAS, JURIDICAS, FINANCIERAS Y ADMINISTRATIVAS</t>
    </r>
  </si>
  <si>
    <t>JFS CONSULTORES S.A.S. -BIC 901.542.814-2</t>
  </si>
  <si>
    <t>El proponente en el término de traslado, presentó documento aclaratorio frente a los porcentajes de participación en los proponentes plurales objeto de las certificaciones de experiencia ponderable, en este sentido, el comité acepta su observación y procede con el ajuste en la evaluación definitiva.</t>
  </si>
  <si>
    <r>
      <t xml:space="preserve">SECRETARIA DISTRITAL DE SEGURIDAD DE BOGOTA: </t>
    </r>
    <r>
      <rPr>
        <sz val="8"/>
        <color theme="1"/>
        <rFont val="Century Gothic"/>
        <family val="2"/>
      </rPr>
      <t>INTERVENTORIA ADMINISTRATIVA FINANCIERA TECNICA, CONTABLE, JURIDICA Y AMBIENTAL PARA EL SISTEMA DE VIDEO DE VIGILANCIA DE BOGOTA</t>
    </r>
  </si>
  <si>
    <r>
      <t xml:space="preserve">CENTRO DE SERVICIO EMPRESARIAL LTDA: </t>
    </r>
    <r>
      <rPr>
        <sz val="8"/>
        <color theme="1"/>
        <rFont val="Century Gothic"/>
        <family val="2"/>
      </rPr>
      <t>INTERVENTORIA LEGAL CONTABLE, FINANCIERA, ADMINISTRATIVA, OPERATIVA DE SISTEMAS Y TECNICA, DE TODOS LOS CONTRATOS DE PRESTACION DE SERVICIOS DE LA EMPRESA</t>
    </r>
  </si>
  <si>
    <r>
      <rPr>
        <b/>
        <sz val="8"/>
        <color theme="1"/>
        <rFont val="Century Gothic"/>
        <family val="2"/>
      </rPr>
      <t>Secretaria de Educación del Distrito:</t>
    </r>
    <r>
      <rPr>
        <sz val="8"/>
        <color theme="1"/>
        <rFont val="Century Gothic"/>
        <family val="2"/>
      </rPr>
      <t xml:space="preserve"> Realizar la interventoría técnica, administrativa, jurídica, financiera y operativa a los contratos de prestación de servicios de vigilancia y seguridad privada de la Secretaría de Educación del Distrito Capital. Contrato CO1.PCCNTR.2651929 - del 15-07-2021</t>
    </r>
  </si>
  <si>
    <t>SCAIPROYEKTA S.A.S. BIC: NIT 901.476.977-1</t>
  </si>
  <si>
    <r>
      <rPr>
        <b/>
        <sz val="8"/>
        <color theme="1"/>
        <rFont val="Century Gothic"/>
        <family val="2"/>
      </rPr>
      <t xml:space="preserve">Secretaria de Educación del Distrito: </t>
    </r>
    <r>
      <rPr>
        <sz val="8"/>
        <color theme="1"/>
        <rFont val="Century Gothic"/>
        <family val="2"/>
      </rPr>
      <t>Contratar la interventoría técnica, administrativa, jurídica, financiera y contable del contrato de prestación de servicio del operador logístico, para la planeación, organización, administración, producción, ejecución y demás acciones logísticas necesarias para la realización de los eventos programados por las dependencias de la secretaría de educación del distrito y aquellos eventos nacionales y/o internacionales en los que participe. Contrato de interventoría No 1891 del 24 mayo de 2017.</t>
    </r>
  </si>
  <si>
    <r>
      <rPr>
        <b/>
        <sz val="8"/>
        <color theme="1"/>
        <rFont val="Century Gothic"/>
        <family val="2"/>
      </rPr>
      <t>Secretaria de Educación del Distrito</t>
    </r>
    <r>
      <rPr>
        <sz val="8"/>
        <color theme="1"/>
        <rFont val="Century Gothic"/>
        <family val="2"/>
      </rPr>
      <t>: Contratar la interventoría técnica, administrativa, jurídica y financiera del contrato de prestación de servicios del operador logístico, para la planeación, organización, administración, producción, ejecución y demás acciones logísticas necesarias para la realización de los eventos programados por las dependencias de la Secretaría de Educación del Distrito. CO1.PCCNTR.943513 del 10 de mayo de 2019, resultado del proceso No. SED-CM-A-DSA032-2019</t>
    </r>
  </si>
  <si>
    <t>INTERNOVAC GROUP S.A.S – BIC, NIT 901.719.021-0</t>
  </si>
  <si>
    <r>
      <t xml:space="preserve">MINISTERIO DE EDUCACIÓN NACIONAL: </t>
    </r>
    <r>
      <rPr>
        <sz val="8"/>
        <color theme="1"/>
        <rFont val="Century Gothic"/>
        <family val="2"/>
      </rPr>
      <t>Realizar interventoría integral en los componentes técnico-pedagógico, administrativo, jurídico, y financiero de los convenios interadministrativos y contratos suscritos por el Ministerio de Educación Nacional (MEN) en el marco del programa nacional de alfabetización y educación de adultos (PNAEA).</t>
    </r>
  </si>
  <si>
    <t>GRUPO EMPRESARIAL DE CONSULTORES E INTERVENTORES S.A.S BIC, NIT 901548.063-5</t>
  </si>
  <si>
    <t>SGA CONSULTORES S.A.S: NIT 901.549.833-4</t>
  </si>
  <si>
    <r>
      <rPr>
        <b/>
        <sz val="8"/>
        <color theme="1"/>
        <rFont val="Century Gothic"/>
        <family val="2"/>
      </rPr>
      <t>FONDO FINANCIERO DISTRITAL DE SALUD :</t>
    </r>
    <r>
      <rPr>
        <sz val="8"/>
        <color theme="1"/>
        <rFont val="Century Gothic"/>
        <family val="2"/>
      </rPr>
      <t xml:space="preserve"> El objeto del presente contrato es la contratación de servicios especializados para, apoyar a la SECRETARIA DISTRITAL DE SALUD en la  interventoría técnica, administrativa financiera y contable sobre los contratos de compraventa de servicios de salud suscritos entre el Fondo Financiero Distrital de Salud y/o la Secretaría Distrital de Salud y un grupo de Instituciones Prestadoras de Servicios de Salud -IPS- de la Red No Adscrita a la SECRETARIA DISTRITAL DE SALUD, así como en la realización de la auditoria médica y revisión de las cuentas por atención de urgencias a pacientes vinculados sin capacidad de pago atendidos en instituciones con las cuales el Fondo Financiero Distrital de Salud y/o la Secretaría Distrital de Salud no haya suscrito contrato". Contrato No 1303-1997, suscrito el 15 de diciembre 1997.</t>
    </r>
  </si>
  <si>
    <r>
      <rPr>
        <b/>
        <sz val="8"/>
        <color theme="1"/>
        <rFont val="Century Gothic"/>
        <family val="2"/>
      </rPr>
      <t xml:space="preserve">SECRETARÍA DE EDUCACIÓN DEL DISTRITO: </t>
    </r>
    <r>
      <rPr>
        <sz val="8"/>
        <color theme="1"/>
        <rFont val="Century Gothic"/>
        <family val="2"/>
      </rPr>
      <t>Realizar la interventoría técnica, administrativa, jurídica, financiera y operativa a los contratos de prestación de servicios de vigilancia y seguridad privada de la Secretaría de Educación del Distrito Capital. CO1.PCCNTR. 2651929 del 15 de julio de 2021 respecto al proceso SED-CM-ADSA-018-2021.</t>
    </r>
  </si>
  <si>
    <t>SMARTY COLOMBIA SAS BIC: NIT 900249549-6</t>
  </si>
  <si>
    <r>
      <rPr>
        <b/>
        <sz val="8"/>
        <color theme="1"/>
        <rFont val="Century Gothic"/>
        <family val="2"/>
      </rPr>
      <t>SECRETARÍA DISTRITAL DE DESARROLLO ECONÓMICO :</t>
    </r>
    <r>
      <rPr>
        <sz val="8"/>
        <color theme="1"/>
        <rFont val="Century Gothic"/>
        <family val="2"/>
      </rPr>
      <t xml:space="preserve"> Realizar la interventoría técnica, administrativa y financiera a la ejecución de los convenios y contratos suscritos y que se suscriban para el desarrollo de los programas del Fondo de Innovación, Tecnología e Industrias Creativas- FITIC. Contrato No 672-2020</t>
    </r>
  </si>
  <si>
    <t>TOOL SS SAS</t>
  </si>
  <si>
    <r>
      <t xml:space="preserve">ALCALDIA MAYOR DE BOGOTA D.C. SECRETARIA DE EDUCACION: </t>
    </r>
    <r>
      <rPr>
        <sz val="8"/>
        <color theme="1"/>
        <rFont val="Century Gothic"/>
        <family val="2"/>
      </rPr>
      <t xml:space="preserve">REALIZAR LA INTERVENTORIA TECNICA, ADMINISTRATIVA, JURIDICA, FINANCIERA Y CONTABLE A LOS CONTRATOS DE PRESTACION DE SERVICIOS DE VIGILANCIA Y SEGURIDAD PRIVADA DE LA SECRETARIA DE EDUCACION DEL DISTRITO CAPITAL
</t>
    </r>
  </si>
  <si>
    <t>TOOL CONSULTING SAS</t>
  </si>
  <si>
    <t>ITECO CONSULTORES SAS BIC- NIT 800.181.867</t>
  </si>
  <si>
    <r>
      <rPr>
        <b/>
        <sz val="8"/>
        <color theme="1"/>
        <rFont val="Century Gothic"/>
        <family val="2"/>
      </rPr>
      <t>AGENCIA NACIONAL DE HIDROCARBUROS:</t>
    </r>
    <r>
      <rPr>
        <sz val="8"/>
        <color theme="1"/>
        <rFont val="Century Gothic"/>
        <family val="2"/>
      </rPr>
      <t xml:space="preserve"> EL CONTRATISTA SE OBLIGA PARA CON LA ANH A REALIZAR LAS INTERVENTORIAS ADMINISTRATIVA, TÉCNICA, FINANCIERA, JURIDICA Y HSE AL CONTRATO DE MUESTREO DEL SUBSUELO EN LA CUENCA SINU-SAN JACINTO.</t>
    </r>
  </si>
  <si>
    <t>STRATUSS SAS NIT 901.417.647</t>
  </si>
  <si>
    <r>
      <rPr>
        <b/>
        <sz val="8"/>
        <color theme="1"/>
        <rFont val="Century Gothic"/>
        <family val="2"/>
      </rPr>
      <t>GOBERNACIÓN DEL VALLE DEL CAUCA:</t>
    </r>
    <r>
      <rPr>
        <sz val="8"/>
        <color theme="1"/>
        <rFont val="Century Gothic"/>
        <family val="2"/>
      </rPr>
      <t xml:space="preserve">  CONTRATAR 
LA INTERVENTORÍA TÉCNICA, ADMINISTRATIVA, FINANCIERA Y JURÍDICA AL CONTRATO QUE RESULTE DEL PROCESO DE SELECCIÓN No. LP SCSC 002 2018 CUYO OBJETO ES SERVICIOS DE SUMINISTRO, INGENIERÍA DE DETALLE, INSTALACIÓN, PUESTA EN OPERACIÓN, PREVENTIVO MANTENIMIENTO Y CORRECTIVO Y SERVICIOS DE TELECOMUNICACIONES DE CIRCUITO CERRADO DE TELEVISIÓN PARA VIGILANCIA EN EL MARCO DEL PROYECTO DE INVERSIÓN BPIN </t>
    </r>
  </si>
  <si>
    <r>
      <rPr>
        <b/>
        <sz val="8"/>
        <color theme="1"/>
        <rFont val="Century Gothic"/>
        <family val="2"/>
      </rPr>
      <t>MINISTERIO DE EDUCACION NACIONAL:</t>
    </r>
    <r>
      <rPr>
        <sz val="8"/>
        <color theme="1"/>
        <rFont val="Century Gothic"/>
        <family val="2"/>
      </rPr>
      <t xml:space="preserve"> interventoría integral</t>
    </r>
  </si>
  <si>
    <t>Consultora Central S.A.S BIC</t>
  </si>
  <si>
    <t>INGEPLAN.CO SAS EMPRESA DE BENEFICIO E INTERES COLECTIVO BIC NIT 800169622-1</t>
  </si>
  <si>
    <r>
      <rPr>
        <b/>
        <sz val="8"/>
        <color theme="1"/>
        <rFont val="Century Gothic"/>
        <family val="2"/>
      </rPr>
      <t>MINISTERIO DE AGRICULTURA Y DESARROLLO RURAL</t>
    </r>
    <r>
      <rPr>
        <sz val="8"/>
        <color theme="1"/>
        <rFont val="Century Gothic"/>
        <family val="2"/>
      </rPr>
      <t>- Realizar la interventoría técnica, administrativa, jurídica, ambiental, contable y financiera a los convenios suscritos por el Ministerio de Agricultura y Desarrollo Rural en el marco del Fondo de Fomento Agropecuario con las entidades territoriales u organizaciones correspondientes a las regiones centro oriente- centro sur y eje cafetero</t>
    </r>
  </si>
  <si>
    <t>WLG GROUP CONSULTORES LTDA NIT 824001886-2</t>
  </si>
  <si>
    <r>
      <rPr>
        <b/>
        <sz val="8"/>
        <color theme="1"/>
        <rFont val="Century Gothic"/>
        <family val="2"/>
      </rPr>
      <t xml:space="preserve">MINISTERIO DE EDUCACIÓN NACIONAL: </t>
    </r>
    <r>
      <rPr>
        <sz val="8"/>
        <color theme="1"/>
        <rFont val="Century Gothic"/>
        <family val="2"/>
      </rPr>
      <t>Realizar la interventoría técnica, administrativa, contable, financiera, jurídica al contrato de auditoria cuyo objeto es "realizar auditoria a la información reportada en el Sistema Integrado de Matrícula - SIMAT y el Sistema Nacional de Información de la educación Superior - SNIES del Ministerio de Educación Nacional</t>
    </r>
  </si>
  <si>
    <r>
      <rPr>
        <b/>
        <sz val="8"/>
        <color rgb="FF000000"/>
        <rFont val="Century Gothic"/>
        <family val="2"/>
      </rPr>
      <t xml:space="preserve">ECOPETROL S.A.: </t>
    </r>
    <r>
      <rPr>
        <sz val="8"/>
        <color rgb="FF000000"/>
        <rFont val="Century Gothic"/>
        <family val="2"/>
      </rPr>
      <t xml:space="preserve">INTERVENTORÍA TÉCNICA, ADMINISTRATIVA FINANCIERA Y JURIDICA DE LOS CONTRATOS DE LA REGIONAL CENTRAL DE ADMINISTRACIÓN DE SERVICIOS DE ECOPETROL S.A. A DESARROLLAR DURANTE LAS VIGENCIAS 2005 Y 2006. Contrato Marco No 5201524 </t>
    </r>
  </si>
  <si>
    <t>Tryon Energía: NIT 901.466.510-3</t>
  </si>
  <si>
    <r>
      <t xml:space="preserve">FONTIC INTERVENTORIA INTEGRAL:  </t>
    </r>
    <r>
      <rPr>
        <sz val="8"/>
        <color theme="1"/>
        <rFont val="Century Gothic"/>
        <family val="2"/>
      </rPr>
      <t>INTERVENTORÍA INTEGRAL AL PROYECTO KIOSCOS VIVE DIGITAL FASE 11 EN LAS REGIONES 3, 4 Y 6, INCLUYENDO LOS ASPECTOS TÉCNICOS, JURÍDICOS, FINANCIEROS, CONTABLES, ADMINISTRATIVOS, AMBIENTALES Y SOCIALES</t>
    </r>
  </si>
  <si>
    <t>ALIANZA INTEGRAL DE PROYECTOS SAS BIC 
NIT 901.506.750-7</t>
  </si>
  <si>
    <r>
      <t xml:space="preserve">VINCI CCOACTING SA: </t>
    </r>
    <r>
      <rPr>
        <sz val="8"/>
        <color theme="1"/>
        <rFont val="Century Gothic"/>
        <family val="2"/>
      </rPr>
      <t>INTERVENTORIA TECNICA, ADMINISTRATIVA, FINANCIERA Y JURIDICA A LA EJECUCIÓN DE ACTIVIDADES RELACIONADAS A CONTINUACION: * PRESTACIÓN DE SERVICIOS DE INTERVENTORÍA A PROYECTOS TIC.* IMPLEMENTACION DE SISTEMAS DE MONITOREO Y CAMARAS DE SEGURIDAD (VIDEOVIGILANCIA)* IMPLANTAR, PROVEER, MANTENER O SOPORTAR SERVICIOS DE CONECTIVIDAD (WAN Y/O INTERNET).* IMPLANTAR, PROVEER, MANTENER O SOPORTAR SERVICIOS DE TELEFONÍA IP Y/O MÓVILES* IMPLANTAR, MANTENER O SOPORTAR REDES LAN, WLAN Y CABLEADO ESTRUCTURADO.* IMPLANTAR, MANTENER O SOPORTAR LA SEGURIDAD Y CONECTIVIDAD WAN* IMPLANTAR, MANTENER O SOPORTAR SERVICIOS DE CENTROS DE DATOS.* IMPLANTAR, PROVEER, MANTENER O SOPORTAR SERVICIOS DE ENERGÍA ELÉCTRICA REGULADA* IMPLANTAR, PROVEER, MANTENER O SOPORTAR SERVICIOS DE MESA DE AYUDA.* IMPLANTAR, PROVEER, MANTENER O SOPORTAR SERVICIOS DE VIDEO CONFERENCIA</t>
    </r>
  </si>
  <si>
    <r>
      <t xml:space="preserve">VINCI CCOACTING SA: </t>
    </r>
    <r>
      <rPr>
        <sz val="8"/>
        <color theme="1"/>
        <rFont val="Century Gothic"/>
        <family val="2"/>
      </rPr>
      <t>INTERVENTORIA TECNICA, ADMINISTRATIVA, FINANCIERA Y JURIDICA A LA EJECUCIÓN DE ACTIVIDADES RELACIONADAS A CONTINUACION: • SUPERVISION Y SEGUIMIENTO DE CONTRATOS. • APOYO A LA GESTION Y EL DESARROLLO DE LAS ACTIVIDADES ADMINISTRATIVAS, FINANCIERAS, JURIDICAS Y TECNICAS EN LA PRESTACION DE LOS SERVICIOS. • APOYO EN LA GESTION DEL FORTALECIMIENTO EMPRESARIAL.• PROMOCION Y PREVENCION EN SALUD.</t>
    </r>
  </si>
  <si>
    <r>
      <t xml:space="preserve">EMPRESA DE ACUEDUCTO DE BOGOTA: </t>
    </r>
    <r>
      <rPr>
        <sz val="8"/>
        <color theme="1"/>
        <rFont val="Century Gothic"/>
        <family val="2"/>
      </rPr>
      <t>INTERVENTORÍA A LA CONSULTORÍA PARA LA ELABORACIÓN DEL PLAN DE COMUNICACIONES DE LA EAAB - ESP, DEFINICIÓN DE UNA O VARIAS SOLUCIONES DE COMUNICACIÓN, INCLUYENDO LOS ESTUDIOS TÉCNICOS, ECONÓMICOS, FINANCIEROS, ELABORACIÓN DE LAS ESPECIFICACIONES TÉCNICAS DE LA SOLACIÓN DE PARÁMETROS DE LAS BANDAS DE FRECUENCIA PARA EL USO ACTUAL Y FUTURO EN LA EAAB - ESP</t>
    </r>
  </si>
  <si>
    <t>N°. DE PROPONENTE</t>
  </si>
  <si>
    <t>NOMBRE DIRECTOR DEL PROYECTO PROPUESTO</t>
  </si>
  <si>
    <t>NUMERO DE DOCUMENTO DE IDENTIDAD</t>
  </si>
  <si>
    <t>EMPRESA CONTRATANTE</t>
  </si>
  <si>
    <t>Experiencia</t>
  </si>
  <si>
    <t>MESES CERTIFICADOS</t>
  </si>
  <si>
    <t>CUMPLE / NO CUMPLE CON LA EXPERIENCIA CERTIFICADA</t>
  </si>
  <si>
    <t>Observaciones a certificaciones individuales</t>
  </si>
  <si>
    <t>Total  Experiencia adicional (menor a 36 meses=10 puntos) o (mayor a 36 meses =23 puntos):</t>
  </si>
  <si>
    <t>EXPERIENCIA ESPECÍFICA ADICIONAL DIRECTOR DE INTERVENTORÍA</t>
  </si>
  <si>
    <t>Fecha Inicio</t>
  </si>
  <si>
    <t>Fecha Fin</t>
  </si>
  <si>
    <t>FORMATO 14  FIRMADO (SI - NO)</t>
  </si>
  <si>
    <t>PUNTAJE</t>
  </si>
  <si>
    <t>OBSERVACIÓN GENERAL</t>
  </si>
  <si>
    <t>GUSTAVO ENRIQUE ROSALES ESCOBAR</t>
  </si>
  <si>
    <t>SI</t>
  </si>
  <si>
    <t>El proponente no aportó los soportes tanto académicos como de experiencia adicional exigidos para los requisitos ponderables según el numeral 5.1.2. EXPERIENCIA ESPECÍFICA ADICIONAL DEL DIRECTOR DE INTERVENTORÍA (23 PUNTOS) del pliego de condiciones.</t>
  </si>
  <si>
    <t>JUAN GABRIEL ACOSTA TOVAR</t>
  </si>
  <si>
    <t xml:space="preserve"> 7.733.030 </t>
  </si>
  <si>
    <t xml:space="preserve">LAOS SEGURIDAD LTDA </t>
  </si>
  <si>
    <t>El proponente en el término de traslado, presentó documento aclaratorio frente a la acreditación y conteo de la experiencia, indicando que a pesar de que sea una misma certificación de experiencia, se debe contabilizar de manera separa tanto para el requisito habilitante como para el ponderable, en este sentido, el comité acepta su observación y procede con el ajuste en la evaluación definitiva.</t>
  </si>
  <si>
    <t>JORGE OLIVER VARGAS BELTRAN</t>
  </si>
  <si>
    <t>CELTAS VIGILANCIA</t>
  </si>
  <si>
    <t>SECURITAS COLOMBIA SA</t>
  </si>
  <si>
    <t>HECTOR GIOVANNI GALEANO GUAVITA</t>
  </si>
  <si>
    <t>ORGANIZACIÓN GDC GESTION DESARROLLO Y CRECIMIENTO EMPRESARIAL</t>
  </si>
  <si>
    <t>El proponente en el término de traslado, presentó documento aclaratorio frente a la acreditación y conteo de la experiencia, indicando que a pesar de que sea una misma certificación de experiencia, se debe contabilizar de manera separa tanto para el requisito habilitante como para el ponderable, en este sentido, el comité acepta su observación y procede con el ajuste en la evaluación definitiva.
La fecha de inicio para esta certificación, se cuenta a partir del día siguiente de  la fecha de finalización (10/02/2021) de la experiencia necesaria habilitante.</t>
  </si>
  <si>
    <t>El proponente en el término de traslado, presentó documento aclaratorio frente a la acreditación y conteo de la experiencia, indicando que a pesar de que sea una misma certificación de experiencia, se debe contabilizar de manera separa tanto para el requisito habilitante como para el ponderable, en este sentido, el comité acepta su observación y procede con el ajuste en la evaluación definitiva</t>
  </si>
  <si>
    <t>Seguridad Fénix de Colombia LTDA</t>
  </si>
  <si>
    <t>Seguridad El Progreso</t>
  </si>
  <si>
    <t>Consorcio Seguridad S2</t>
  </si>
  <si>
    <t>La certificación presenta simultaneidad con la certificación anterior ya que esta inicia el 01/12/2022, por lo cual se inicia a contar su experiencia desde el 01/02/2023, es preciso señalar lo indicado en la NOTA 5 respecto a la simultaneidad del numeral 4.5.4 Exigencias mínimas de experiencia y formación académica del equipo de trabajo.</t>
  </si>
  <si>
    <t>RONALD GREGORIO GALVIS QUINTERO</t>
  </si>
  <si>
    <t>EMPRESA ATALAYA 1 SECURITY GROUP LTDA</t>
  </si>
  <si>
    <t>El Comité evaluador de conformidad con la interpretación adoptada frente al conteo de la experiencia tanto habilitante y ponderable se permite ajustar la evaluación en el sentido de tomar el tiempo requerido para el habilitante y el excedente para el ponderable por principio de igualdad en la evaluación de los proponentes.</t>
  </si>
  <si>
    <t xml:space="preserve">ARNULFO BARBOSA PINZÓN </t>
  </si>
  <si>
    <t>Protevis LTDA</t>
  </si>
  <si>
    <t>El proponente en el término de traslado, presentó documento aclaratorio frente a la acreditación y conteo de la experiencia, indicando que a pesar de que sea una misma certificación de experiencia, se debe contabilizar de manera separa tanto para el requisito habilitante como para el ponderable, en este sentido, el comité acepta su observación y procede con el ajuste en la evaluación definitiva.
El proponente en el término de traslado, presentó documento aclaratorio frente a la experiencia profesional requerida para el Director de la interventoría, aclarando que la certificación del sr Arnulfo Barbosa Pinzón, ejerció actividades tanto como gerente financiero como gerente general de la empresa PROTEVIS LTDA (PROTECCIÓN VIGILANCIA Y SEGURIDAD)</t>
  </si>
  <si>
    <t>JULIAN ANDRES PUENTES BECERRA</t>
  </si>
  <si>
    <t>LA ORGANIZACIÓN GDC</t>
  </si>
  <si>
    <t>La certificación presenta simultaneidad con la certificación anterior ya que esta inicia el 15/10/2018, por lo cual se inicia a contar su experiencia desde el 17/04/2019</t>
  </si>
  <si>
    <t>La certificación presenta simultaneidad con la certificación anterior, por lo cual no le suma experiencia</t>
  </si>
  <si>
    <t>CONSORCIO SEGURIDAD S2</t>
  </si>
  <si>
    <t>SMARTY COLOMBIA SAS BIC</t>
  </si>
  <si>
    <t xml:space="preserve">JHON FREDY TELLEZ AMAYA </t>
  </si>
  <si>
    <t>79.855.660</t>
  </si>
  <si>
    <t xml:space="preserve">SEGURIDAD NAPOLES </t>
  </si>
  <si>
    <t xml:space="preserve">SEGURIDAD MONSERRATE </t>
  </si>
  <si>
    <t>LEONEL FONSECA HOYOS</t>
  </si>
  <si>
    <t xml:space="preserve">FRESENIUS MEDICAL </t>
  </si>
  <si>
    <t xml:space="preserve">VIGILANCIA Y SEGURIDAD PRIVADA ANTARES LTDA </t>
  </si>
  <si>
    <t>VIGILANCIA SANTAFEREÑA Y CIA LTDA</t>
  </si>
  <si>
    <t>LUIS MIGUEL PINEDA HERNÁNDEZ</t>
  </si>
  <si>
    <t>79.040.453</t>
  </si>
  <si>
    <t>vigilancia costa Ltda.</t>
  </si>
  <si>
    <t>JORGE ENRIQUE BOHORQUEZ CUBILLOS</t>
  </si>
  <si>
    <t>COSINTE LTDA</t>
  </si>
  <si>
    <t>El proponente el término de traslado de la evaluación preliminar, presentó documento aclaratorio frente al conteo de la experiencia toda vez que se trata de dos (2) certificaciones con la misma empresa, por lo tanto, desde el comité evaluador se procede con la revisión y ajuste en la evaluación definitiva.</t>
  </si>
  <si>
    <t>GULLERMO JAVIER SOLORZANO JULIO</t>
  </si>
  <si>
    <t>NO</t>
  </si>
  <si>
    <t>No se evidenció el formato 14 denominado EXPERIENCIA ADICIONAL DEL PERSONAL MINIMO EVALUABLE  establecido en el numeral 5.1.2. EXPERIENCIA ESPECÍFICA ADICIONAL DEL DIRECTOR DE INTERVENTORÍA (23 PUNTOS) del pliego de condiciones.</t>
  </si>
  <si>
    <t>JUAN CARLOS ACELA ZAMBRANO</t>
  </si>
  <si>
    <t>79.486.204</t>
  </si>
  <si>
    <t>SISTEMA INTELIGENTE DE MONITOREO SATELITAL SIMS LTDA</t>
  </si>
  <si>
    <t>UNIVERSAL DE SEGURIDAD LTDA</t>
  </si>
  <si>
    <t>NOMBRE COORDINADOR OPERATIVO PROPUESTO</t>
  </si>
  <si>
    <t>Total  Experiencia adicional (menor a 24 meses=10 puntos) o (mayor a 24 meses =23 puntos):</t>
  </si>
  <si>
    <t>EXPERIENCIA ESPECÍFICA ADICIONAL DEL COORDINADOR OPERATIVO</t>
  </si>
  <si>
    <t>JULIO CESAR GONZALES RODRIGUEZ</t>
  </si>
  <si>
    <t>ND</t>
  </si>
  <si>
    <t>El proponente no aportó los soportes tanto académicos como de experiencia adicional exigidos para los requisitos ponderables según el numeral 4.5.4 Exigencias mínimas de experiencia y formación académica del equipo de trabajo del pliego de Condiciones Definitivo.</t>
  </si>
  <si>
    <t>OSCAR GERMAN BERNAL</t>
  </si>
  <si>
    <t>79.275.058</t>
  </si>
  <si>
    <t>LAO’S SEGURIDAD LTDA</t>
  </si>
  <si>
    <t>MANUEL GUILLERMO MARTINEZ VELASQUEZ</t>
  </si>
  <si>
    <t>BRIGHSTAR COLOMBIA SAS</t>
  </si>
  <si>
    <t>NESTOR ORLANDO RUBIANO MUÑOZ</t>
  </si>
  <si>
    <t>SEGURIDAD ONCOR LTDA</t>
  </si>
  <si>
    <t>El proponente en el término de traslado de la evaluación preliminar, adjunto documento que soporta la inclusión del acta de liquidación del contrato suscrito con la empresa seguridad ONCOR LTDA, donde no se establecen las actividades desarrolladas por el  coordinador de la UIC, en este sentido, acabe aclarar al proponente que las certificaciones incluidas para los criterios de ponderación no son subsanables de acuerdo con el numeral 5.1.1. nota 7 del pliego de condiciones, que al tenor establece: "Nota 7: Estas certificaciones deberán presentarse con las mismas condiciones, requisitos y criterios establecidos en. CONDICIONES DE EXPERIENCIA DEL PROPONENTE y REGLAS PARA LA VALORACIÓN DE LA EXPERIENCIA, incluida la previsión de corresponder a contratos inscritos en el RUP, hasta el tercer nivel, en alguno de los códigos UNSPSC descritos en dicho numeral. Sin embargo, por tratarse de un requisito de calificación que otorga puntaje, no operará criterio o regla alguna de subsanabilidad.  por lo tanto, el comité evaluador se mantiene en no otorga puntaje. 
No obstante el proponente cumple con la experiencia adicional mayor a 24 meses, para un puntaje de 23.</t>
  </si>
  <si>
    <t xml:space="preserve">JOSE HOMERO JIMENEZ BARRERA </t>
  </si>
  <si>
    <t>MAURICIO EDUARDO BARRAGÁN GONZÁLES</t>
  </si>
  <si>
    <t>Petrominerales Colombia LTD</t>
  </si>
  <si>
    <r>
      <t xml:space="preserve">El proponente en el término de traslado, presentó documento aclaratorio (cancelación de matricula) frente a la fecha de finalización de la certificación allegada por  la empresa contratante PETROMINERALES COLOMBIA LTDA, en este sentido y una vez revisado el documento por el comite evaluador se puede evidenciar que dicho documento no corresponde a una certificación por parte de la empresa contratante, sino a una manifestación por parte del proponente, por lo tanto, no podra tenerse en cuenta ya que el documento no proviene de la persona juridica habiliatada para dar este tipo de certificaciones.
El proponente en el término de traslado, presentó documento aclaratorio (cancelación de matricula) para el requisito habilitante frente a la fecha de finalización de la certificación allegada por  la empresa contratante PETROMINERALES COLOMBIA LTD. acabe aclarar al proponente que las certificaciones incluidas para los criterios de ponderación no son subsanables de acuerdo con el numeral 5.1.1. nota 7 del pliego de condiciones, que al tenor establece: </t>
    </r>
    <r>
      <rPr>
        <i/>
        <sz val="8"/>
        <color theme="1"/>
        <rFont val="Century Gothic"/>
        <family val="2"/>
      </rPr>
      <t>"Nota 7: Estas certificaciones deberán presentarse con las mismas condiciones, requisitos y criterios establecidos en. CONDICIONES DE EXPERIENCIA DEL PROPONENTE y REGLAS PARA LA VALORACIÓN DE LA EXPERIENCIA, incluida la previsión de corresponder a contratos inscritos en el RUP, hasta el tercer nivel, en alguno de los códigos UNSPSC descritos en dicho numeral. Sin embargo, por tratarse de un requisito de calificación que otorga puntaje, no operará criterio o regla alguna de subsanabilidad"</t>
    </r>
    <r>
      <rPr>
        <sz val="8"/>
        <color theme="1"/>
        <rFont val="Century Gothic"/>
        <family val="2"/>
      </rPr>
      <t>;  por lo tanto, el comité evaluador se mantiene en no otorgar puntaje</t>
    </r>
  </si>
  <si>
    <r>
      <t xml:space="preserve">El proponente en el término de traslado, presentó documento aclaratorio (cancelación de matricula) frente a la fecha de finalización de la certificación allegada por  la empresa contratante PETROMINERALES COLOMBIA LTDA, en este sentido y una vez revisado el documento por el comite evaluador se puede evidenciar que dicho documento no corresponde a una certificación por parte de la empresa contratante, sino a una manifestación por parte del proponente, por lo tanto, no podra tenerse en cuenta ya que el documento no proviene de la persona juridica habiliatada para dar este tipo de certificaciones.
El proponente en el término de traslado, presentó documento aclaratorio (cancelación de matricula) para el requisito habilitante frente a la fecha de finalización de la certificación allegada por  la empresa contratante PETROMINERALES COLOMBIA LTD. acabe aclarar al proponente que las certificaciones incluidas para los criterios de ponderación no son subsanables de acuerdo con el numeral 5.1.1. nota 7 del pliego de condiciones, que al tenor establece: </t>
    </r>
    <r>
      <rPr>
        <i/>
        <sz val="8"/>
        <rFont val="Century Gothic"/>
        <family val="2"/>
      </rPr>
      <t>"Nota 7: Estas certificaciones deberán presentarse con las mismas condiciones, requisitos y criterios establecidos en. CONDICIONES DE EXPERIENCIA DEL PROPONENTE y REGLAS PARA LA VALORACIÓN DE LA EXPERIENCIA, incluida la previsión de corresponder a contratos inscritos en el RUP, hasta el tercer nivel, en alguno de los códigos UNSPSC descritos en dicho numeral. Sin embargo, por tratarse de un requisito de calificación que otorga puntaje, no operará criterio o regla alguna de subsanabilidad"</t>
    </r>
    <r>
      <rPr>
        <sz val="8"/>
        <rFont val="Century Gothic"/>
        <family val="2"/>
      </rPr>
      <t>;  por lo tanto, el comité evaluador se mantiene en no otorgar puntaje</t>
    </r>
  </si>
  <si>
    <t>HELMAN AYMAR SAAVEDRA MORALES</t>
  </si>
  <si>
    <t>JOHN JAIRO MONTEALEGRE BRI—EZ</t>
  </si>
  <si>
    <t>79.749.157</t>
  </si>
  <si>
    <t>MISION SECURITY SEGURIDAD</t>
  </si>
  <si>
    <t>IVAN DARIO QUIROGA BELTRAN</t>
  </si>
  <si>
    <t>BRINKS</t>
  </si>
  <si>
    <t>El proponente no adjunto certificación adicional diferente a la experiencia habilitantes de acuerdo con el numeral 5.1.3 del pliego de condiciones que al tenor establece "La experiencia específica de los profesionales a puntuar debe ser adicional y diferente a la mínima habilitante requerida en el presente concurso de méritos."</t>
  </si>
  <si>
    <t xml:space="preserve">SEGURIDAD ONCOR LTDA </t>
  </si>
  <si>
    <t>LUIS EDUARDO LEÓN LÓPEZ</t>
  </si>
  <si>
    <t>ANTARES LTDA</t>
  </si>
  <si>
    <t>CONSORCIO INTERSERVIG</t>
  </si>
  <si>
    <t xml:space="preserve">VIGILANCIA ACOSTA LTDA </t>
  </si>
  <si>
    <t>El proponente el término de traslado de la evaluación preliminar, presentó documento aclaratorio frente al conteo de la experiencia  por lo tanto, desde el comité evaluador se procede con la revisión y ajuste en la evaluación definitiva.</t>
  </si>
  <si>
    <t>GIOVANNI WILSON SANDOVAL DÍAZ</t>
  </si>
  <si>
    <t>ISVI LTDA</t>
  </si>
  <si>
    <t>La certificación allegada no cumple con la experiencia profesional requerida para el coordinador operativo, toda vez que no cumple con las actividades establecidas en el anexo técnico: 1. Administración de proyectos relacionados con temas de seguridad y vigilancia. 2. Coordinación de proyectos; relacionados con temas de seguridad y vigilancia. 3. Coordinación operativa en empresas dedicadas a la prestación de los servicios de vigilancia y seguridad privada.</t>
  </si>
  <si>
    <t>No se evidenció el formato 14 denominado EXPERIENCIA ADICIONAL DEL PERSONAL MINIMO EVALUABLE  establecido en el numeral 5.1.3. EXPERIENCIA ESPECÍFICA ADICIONAL DEL COORDINADOR OPERATIVO (23 PUNTOS) del pliego de condiciones.</t>
  </si>
  <si>
    <t>FLOREZ CARDENAS CARLOS ALBERTO</t>
  </si>
  <si>
    <t>75.034.952</t>
  </si>
  <si>
    <t>SERVIENTREGA</t>
  </si>
  <si>
    <t>Promoción de Servicios Nacionales o con Trato Nacional</t>
  </si>
  <si>
    <t>Incorporación de componente nacional en servicios
extranjeros</t>
  </si>
  <si>
    <t>No Presenta</t>
  </si>
  <si>
    <t>ANEXO APOYO A LA INDUSTRIA NACIONAL</t>
  </si>
  <si>
    <t>PUNTAJE APOYO A LA INDUSTRIA NACIONAL</t>
  </si>
  <si>
    <t>APOYO A LA INDUSTRIA NACIONAL – CALIFICACIÓN DE ORIGEN DE LOS SERVICIOS DE
ACUERDO CON LA LEY 816 DE 2003 Y DECRETO 680 DE 2021 (20 PUNTOS)</t>
  </si>
  <si>
    <t>FORMATO 15 A /15 B FIRMADO (SI - NO)</t>
  </si>
  <si>
    <t>5.1.7 PUNTAJE POR TRABAJADORES CON DISCAPACIDAD (1 PUNTO)</t>
  </si>
  <si>
    <t>EMPRESA QUE APORTA LA CERTIFICACIÒN (IGUAL O MAYOR AL 40% DE PARTICIPACIÓN</t>
  </si>
  <si>
    <t>CANTIDAD DE TRABAJADORES EN DISCAPACIDAD EXIGIDO</t>
  </si>
  <si>
    <t>FORMATO 16 REPRESENTANTE LEGAL O REVISOR FISCAL (SEGÚN CORRESPONDA)</t>
  </si>
  <si>
    <t>¿APORTA CERTIFICADO DEL MINTRABAJO VIGENTE?</t>
  </si>
  <si>
    <t>FIRMADO POR EL COMPETENTE  (REVISOR FISCAL Y/O REPRESENTANTE LEGAL SEGUN APLIQUE)</t>
  </si>
  <si>
    <t>OBSERVACIÓN</t>
  </si>
  <si>
    <t>PUNTAJE TRABAJADORES CON DISCAPACIDAD</t>
  </si>
  <si>
    <t>NA</t>
  </si>
  <si>
    <t>NO ANEXA</t>
  </si>
  <si>
    <t>No aportó</t>
  </si>
  <si>
    <t>INTERNOVAC GROUP SAS BIC NIT 901.719.021-0</t>
  </si>
  <si>
    <t xml:space="preserve">ITECO CONSULTORES SAS BIC </t>
  </si>
  <si>
    <t>INGEPLAN.CO</t>
  </si>
  <si>
    <t>ALIANZA INTEGRAL DE PROYECTOS SAS BIC</t>
  </si>
  <si>
    <t>FORMATO 16 A</t>
  </si>
  <si>
    <t>FORMATO 16 B</t>
  </si>
  <si>
    <t>FORMATO 16 C</t>
  </si>
  <si>
    <t>PUNTAJE POR PARTICIPACIÓN EMPRENDIMIENTOS Y EMPRESAS DE MUJERES (0,25 PUNTOS).</t>
  </si>
  <si>
    <t>EMPRESA QUE APORTA LA CERTIFICACIÒN (IGUAL O MAYOR AL 10% DE PARTICIPACIÓN</t>
  </si>
  <si>
    <t>FORMATO No. 16 A -
PARTICIPACIÓN DE EMPRENDIMIENTO Y EMPRESAS DE MUJERES</t>
  </si>
  <si>
    <t>OPCIÓN 1 ACCIONISTAS
MAS DEL 50% DE ACCIONES</t>
  </si>
  <si>
    <t>OPCIÓN 2 NIVELES DIRECTIVO
POR LO MENOS EL 50% DE EMPLEOS DE NIVEL DIRECTIVOS</t>
  </si>
  <si>
    <t>CUMPLE/ NO CUMPLE</t>
  </si>
  <si>
    <t xml:space="preserve">PUNTAJE </t>
  </si>
  <si>
    <t>SI/NO</t>
  </si>
  <si>
    <t xml:space="preserve">INTERNOVAC GROUP 
S.A.S – BIC </t>
  </si>
  <si>
    <t>ITECO CONSULTORES SAS BIC</t>
  </si>
  <si>
    <t>INGEPLAN.CO S.A.S BIC</t>
  </si>
  <si>
    <t>FORMATO 17 A</t>
  </si>
  <si>
    <t>FORMATO 17 B</t>
  </si>
  <si>
    <t>CALIDAD DE MIPYME (0,25 PUNTOS)</t>
  </si>
  <si>
    <t>EMPRESA QUE APORTA LA CERTIFICACIÒN (IGUAL O MAYOR AL 10% DE PARTICIPACIÓN)</t>
  </si>
  <si>
    <t>FORMATO No. 17, A o B  PARTICIPACIÓN DE LA MIPYME</t>
  </si>
  <si>
    <t>No oportó formato No. 17 diligenciado ni firmado</t>
  </si>
  <si>
    <t xml:space="preserve"> TOOL S.S. S.A.S.</t>
  </si>
  <si>
    <t xml:space="preserve">WLG GROUP .CONSULTORES LTDA </t>
  </si>
  <si>
    <t xml:space="preserve">ALIANZA INTEGRAL DE PROYECTOS SAS BIC </t>
  </si>
  <si>
    <t>COMPONENTE TÉCNICO</t>
  </si>
  <si>
    <t>COMPONENTE ECONÓMICO</t>
  </si>
  <si>
    <t>COMPONENTE JURÍDICO</t>
  </si>
  <si>
    <t>COMPONENTE FINACIERO</t>
  </si>
  <si>
    <t>HABILITADO GENERAL</t>
  </si>
  <si>
    <t>1. EXPERIENCIA ESPECIFICA ADICIONAL DEL PROPONENTE</t>
  </si>
  <si>
    <t>2. EXPERIENCIA ESPECIFICA ADICIONAL DEL DIRECTOR DE INTERVENTORIA</t>
  </si>
  <si>
    <t>3. EXPERIENCIA ESPECIFICA ADICIONAL DEL COORDINADOR OPERATIVO</t>
  </si>
  <si>
    <t>4 PUNTAJE APOYO A LA INDUSTRIA NACIONAL</t>
  </si>
  <si>
    <t>6. PUNTAJE PERSONAL EN DISCAPACIDAD</t>
  </si>
  <si>
    <t xml:space="preserve">7. PUNTAJE POR PARTICIPACIÓN EMPRENDIMIENTOS Y EMPRESAS DE MUJERES </t>
  </si>
  <si>
    <t xml:space="preserve">8. CALIDAD DE MIPYME </t>
  </si>
  <si>
    <t>TOTAL PUNTOS</t>
  </si>
  <si>
    <t>NO HABILITADO</t>
  </si>
  <si>
    <t>HABILITADO</t>
  </si>
  <si>
    <t>N°</t>
  </si>
  <si>
    <t>NUMERO DE PROPUESTA</t>
  </si>
  <si>
    <t>PROMEDIO SMMLV CONTRATOS APORTADOS</t>
  </si>
  <si>
    <t>PUNTAJE POR LA EXPERIENCIA ADICIONAL DEL PROPONENTE</t>
  </si>
  <si>
    <t>El proponente en el término de traslado, presentó documento aclaratorio frente al conteo de la experiencia adicional, la cual es independiente de la experiencia habilitante.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</si>
</sst>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yyyy\-mm\-dd;@"/>
    <numFmt numFmtId="165" formatCode="&quot;$&quot;#,##0"/>
    <numFmt numFmtId="166" formatCode="0.0"/>
    <numFmt numFmtId="167" formatCode="[$$-240A]\ #,##0"/>
    <numFmt numFmtId="168" formatCode="_-&quot;$&quot;\ * #,##0_-;\-&quot;$&quot;\ * #,##0_-;_-&quot;$&quot;\ * &quot;-&quot;??_-;_-@_-"/>
    <numFmt numFmtId="169" formatCode="&quot;$&quot;\ #,##0.00"/>
    <numFmt numFmtId="170" formatCode="&quot;$&quot;\ #,##0"/>
    <numFmt numFmtId="171" formatCode="0.000000"/>
    <numFmt numFmtId="172" formatCode="0.0000000"/>
  </numFmts>
  <fonts count="34" x14ac:knownFonts="1">
    <font>
      <sz val="11"/>
      <color theme="1"/>
      <name val="Aptos Narrow"/>
      <family val="2"/>
      <scheme val="minor"/>
    </font>
    <font>
      <sz val="11"/>
      <color theme="1"/>
      <name val="Aptos Narrow"/>
      <family val="2"/>
      <scheme val="minor"/>
    </font>
    <font>
      <b/>
      <sz val="11"/>
      <color theme="1"/>
      <name val="Aptos Narrow"/>
      <family val="2"/>
      <scheme val="minor"/>
    </font>
    <font>
      <sz val="8"/>
      <color theme="1"/>
      <name val="Century Gothic"/>
      <family val="2"/>
    </font>
    <font>
      <sz val="8"/>
      <color theme="1"/>
      <name val="Aptos Narrow"/>
      <family val="2"/>
      <scheme val="minor"/>
    </font>
    <font>
      <b/>
      <sz val="8"/>
      <color theme="1"/>
      <name val="Century Gothic"/>
      <family val="2"/>
    </font>
    <font>
      <sz val="8"/>
      <color rgb="FF000000"/>
      <name val="Century Gothic"/>
      <family val="2"/>
    </font>
    <font>
      <sz val="8"/>
      <name val="Century Gothic"/>
      <family val="2"/>
    </font>
    <font>
      <sz val="10"/>
      <color theme="1"/>
      <name val="Arial"/>
      <family val="2"/>
    </font>
    <font>
      <b/>
      <sz val="10"/>
      <color theme="1"/>
      <name val="Arial"/>
      <family val="2"/>
    </font>
    <font>
      <b/>
      <sz val="12"/>
      <name val="Arial"/>
      <family val="2"/>
    </font>
    <font>
      <sz val="10"/>
      <color rgb="FF000000"/>
      <name val="Arial"/>
      <family val="2"/>
    </font>
    <font>
      <b/>
      <sz val="10"/>
      <color rgb="FF000000"/>
      <name val="Arial"/>
      <family val="2"/>
    </font>
    <font>
      <b/>
      <sz val="8"/>
      <color rgb="FF000000"/>
      <name val="Century Gothic"/>
      <family val="2"/>
    </font>
    <font>
      <b/>
      <sz val="9"/>
      <color rgb="FF000000"/>
      <name val="Century Gothic"/>
      <family val="2"/>
    </font>
    <font>
      <sz val="8"/>
      <color rgb="FF000000"/>
      <name val="Arial"/>
      <family val="2"/>
    </font>
    <font>
      <b/>
      <sz val="12"/>
      <color theme="1"/>
      <name val="Arial"/>
      <family val="2"/>
    </font>
    <font>
      <b/>
      <sz val="8"/>
      <color rgb="FF000000"/>
      <name val="Arial"/>
      <family val="2"/>
    </font>
    <font>
      <b/>
      <sz val="11"/>
      <color rgb="FF000000"/>
      <name val="Arial"/>
      <family val="2"/>
    </font>
    <font>
      <sz val="11"/>
      <color rgb="FF000000"/>
      <name val="Arial"/>
      <family val="2"/>
    </font>
    <font>
      <sz val="12"/>
      <color theme="1"/>
      <name val="Arial"/>
      <family val="2"/>
    </font>
    <font>
      <sz val="14"/>
      <color rgb="FF000000"/>
      <name val="Arial"/>
      <family val="2"/>
    </font>
    <font>
      <sz val="10"/>
      <color theme="1"/>
      <name val="Century Gothic"/>
      <family val="2"/>
    </font>
    <font>
      <b/>
      <sz val="8"/>
      <color theme="1"/>
      <name val="Aptos Narrow"/>
      <family val="2"/>
      <scheme val="minor"/>
    </font>
    <font>
      <sz val="9"/>
      <color indexed="81"/>
      <name val="Tahoma"/>
      <family val="2"/>
    </font>
    <font>
      <b/>
      <sz val="9"/>
      <color indexed="81"/>
      <name val="Tahoma"/>
      <family val="2"/>
    </font>
    <font>
      <b/>
      <sz val="8"/>
      <name val="Century Gothic"/>
      <family val="2"/>
    </font>
    <font>
      <sz val="11"/>
      <color rgb="FF242424"/>
      <name val="Aptos Narrow"/>
      <family val="2"/>
    </font>
    <font>
      <b/>
      <sz val="10"/>
      <color rgb="FFC00000"/>
      <name val="Century Gothic"/>
      <family val="2"/>
    </font>
    <font>
      <sz val="10"/>
      <color rgb="FF000000"/>
      <name val="Century Gothic"/>
      <family val="2"/>
    </font>
    <font>
      <b/>
      <sz val="10"/>
      <color theme="1"/>
      <name val="Century Gothic"/>
      <family val="2"/>
    </font>
    <font>
      <b/>
      <sz val="14"/>
      <color rgb="FF000000"/>
      <name val="Arial"/>
      <family val="2"/>
    </font>
    <font>
      <i/>
      <sz val="8"/>
      <color theme="1"/>
      <name val="Century Gothic"/>
      <family val="2"/>
    </font>
    <font>
      <i/>
      <sz val="8"/>
      <name val="Century Gothic"/>
      <family val="2"/>
    </font>
  </fonts>
  <fills count="12">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FFFFFF"/>
        <bgColor rgb="FF000000"/>
      </patternFill>
    </fill>
    <fill>
      <patternFill patternType="solid">
        <fgColor rgb="FFFFFFFF"/>
        <bgColor indexed="64"/>
      </patternFill>
    </fill>
    <fill>
      <patternFill patternType="solid">
        <fgColor theme="6" tint="0.79998168889431442"/>
        <bgColor indexed="64"/>
      </patternFill>
    </fill>
    <fill>
      <patternFill patternType="solid">
        <fgColor rgb="FFFFFF00"/>
        <bgColor indexed="64"/>
      </patternFill>
    </fill>
  </fills>
  <borders count="42">
    <border>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style="thin">
        <color indexed="64"/>
      </top>
      <bottom/>
      <diagonal/>
    </border>
    <border>
      <left style="thin">
        <color indexed="64"/>
      </left>
      <right style="thin">
        <color rgb="FF000000"/>
      </right>
      <top/>
      <bottom/>
      <diagonal/>
    </border>
    <border>
      <left style="thin">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bottom/>
      <diagonal/>
    </border>
    <border>
      <left style="thin">
        <color rgb="FF000000"/>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rgb="FF000000"/>
      </left>
      <right style="medium">
        <color indexed="64"/>
      </right>
      <top style="thin">
        <color rgb="FF000000"/>
      </top>
      <bottom/>
      <diagonal/>
    </border>
    <border>
      <left style="thin">
        <color rgb="FF000000"/>
      </left>
      <right/>
      <top/>
      <bottom/>
      <diagonal/>
    </border>
    <border>
      <left style="thin">
        <color rgb="FF000000"/>
      </left>
      <right/>
      <top style="medium">
        <color indexed="64"/>
      </top>
      <bottom/>
      <diagonal/>
    </border>
    <border>
      <left style="thin">
        <color rgb="FF000000"/>
      </left>
      <right/>
      <top/>
      <bottom style="medium">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293">
    <xf numFmtId="0" fontId="0" fillId="0" borderId="0" xfId="0"/>
    <xf numFmtId="0" fontId="3" fillId="0" borderId="0" xfId="0" applyFont="1" applyAlignment="1" applyProtection="1">
      <alignment horizontal="center" vertical="center" wrapText="1"/>
      <protection locked="0"/>
    </xf>
    <xf numFmtId="0" fontId="0" fillId="0" borderId="0" xfId="0" applyAlignment="1">
      <alignment horizontal="center"/>
    </xf>
    <xf numFmtId="0" fontId="5" fillId="2" borderId="1" xfId="0" applyFont="1" applyFill="1" applyBorder="1" applyAlignment="1" applyProtection="1">
      <alignment horizontal="center" vertical="center" wrapText="1"/>
      <protection locked="0"/>
    </xf>
    <xf numFmtId="164" fontId="5" fillId="2" borderId="1" xfId="0" applyNumberFormat="1" applyFont="1" applyFill="1" applyBorder="1" applyAlignment="1" applyProtection="1">
      <alignment horizontal="center" vertical="center" wrapText="1"/>
      <protection locked="0"/>
    </xf>
    <xf numFmtId="9" fontId="3" fillId="0" borderId="3" xfId="0" applyNumberFormat="1"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165" fontId="3" fillId="0" borderId="3" xfId="0" applyNumberFormat="1"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9" fontId="3" fillId="0" borderId="4" xfId="0" applyNumberFormat="1" applyFont="1" applyBorder="1" applyAlignment="1" applyProtection="1">
      <alignment horizontal="center" vertical="center" wrapText="1"/>
      <protection locked="0"/>
    </xf>
    <xf numFmtId="165" fontId="3" fillId="0" borderId="4" xfId="0" applyNumberFormat="1" applyFont="1" applyBorder="1" applyAlignment="1" applyProtection="1">
      <alignment horizontal="center" vertical="center" wrapText="1"/>
      <protection locked="0"/>
    </xf>
    <xf numFmtId="0" fontId="2" fillId="4" borderId="4" xfId="0" applyFont="1" applyFill="1" applyBorder="1" applyAlignment="1">
      <alignment horizontal="center" vertical="center"/>
    </xf>
    <xf numFmtId="0" fontId="12" fillId="2" borderId="4"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8" fillId="3" borderId="4" xfId="0" applyFont="1" applyFill="1" applyBorder="1" applyAlignment="1" applyProtection="1">
      <alignment horizontal="center" vertical="center" wrapText="1"/>
      <protection locked="0"/>
    </xf>
    <xf numFmtId="0" fontId="13" fillId="2" borderId="4" xfId="0" applyFont="1" applyFill="1" applyBorder="1" applyAlignment="1" applyProtection="1">
      <alignment horizontal="center" vertical="center" wrapText="1"/>
      <protection locked="0"/>
    </xf>
    <xf numFmtId="0" fontId="13" fillId="2" borderId="0" xfId="0" applyFont="1" applyFill="1" applyAlignment="1" applyProtection="1">
      <alignment horizontal="center" vertical="center" wrapText="1"/>
      <protection locked="0"/>
    </xf>
    <xf numFmtId="0" fontId="14" fillId="2" borderId="4"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wrapText="1"/>
      <protection locked="0"/>
    </xf>
    <xf numFmtId="2" fontId="11" fillId="0" borderId="4" xfId="0" applyNumberFormat="1" applyFont="1" applyBorder="1" applyAlignment="1">
      <alignment horizontal="center" vertical="center" wrapText="1"/>
    </xf>
    <xf numFmtId="0" fontId="17" fillId="2" borderId="12" xfId="0" applyFont="1" applyFill="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8" fillId="2" borderId="4" xfId="0" applyFont="1" applyFill="1" applyBorder="1" applyAlignment="1" applyProtection="1">
      <alignment horizontal="center" vertical="center" wrapText="1"/>
      <protection locked="0"/>
    </xf>
    <xf numFmtId="0" fontId="20" fillId="3" borderId="4" xfId="0" applyFont="1" applyFill="1" applyBorder="1" applyAlignment="1" applyProtection="1">
      <alignment horizontal="center" vertical="center" wrapText="1"/>
      <protection locked="0"/>
    </xf>
    <xf numFmtId="0" fontId="20" fillId="0" borderId="4" xfId="0" applyFont="1" applyBorder="1" applyAlignment="1" applyProtection="1">
      <alignment horizontal="center" vertical="center" wrapText="1"/>
      <protection locked="0"/>
    </xf>
    <xf numFmtId="14" fontId="0" fillId="0" borderId="0" xfId="0" applyNumberFormat="1"/>
    <xf numFmtId="0" fontId="22" fillId="3" borderId="0" xfId="0" applyFont="1" applyFill="1" applyAlignment="1">
      <alignment horizontal="center"/>
    </xf>
    <xf numFmtId="167" fontId="22" fillId="3" borderId="0" xfId="0" applyNumberFormat="1" applyFont="1" applyFill="1"/>
    <xf numFmtId="0" fontId="5" fillId="10" borderId="1" xfId="0" applyFont="1" applyFill="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9" fontId="3" fillId="0" borderId="10" xfId="0" applyNumberFormat="1" applyFont="1" applyBorder="1" applyAlignment="1" applyProtection="1">
      <alignment horizontal="center" vertical="center" wrapText="1"/>
      <protection locked="0"/>
    </xf>
    <xf numFmtId="165" fontId="3" fillId="0" borderId="10" xfId="0" applyNumberFormat="1" applyFont="1" applyBorder="1" applyAlignment="1" applyProtection="1">
      <alignment horizontal="center" vertical="center" wrapText="1"/>
      <protection locked="0"/>
    </xf>
    <xf numFmtId="14" fontId="7" fillId="0" borderId="3" xfId="0" applyNumberFormat="1" applyFont="1" applyBorder="1" applyAlignment="1" applyProtection="1">
      <alignment horizontal="center" vertical="center" wrapText="1"/>
      <protection locked="0"/>
    </xf>
    <xf numFmtId="14" fontId="7" fillId="0" borderId="4" xfId="0" applyNumberFormat="1" applyFont="1" applyBorder="1" applyAlignment="1" applyProtection="1">
      <alignment horizontal="center" vertical="center" wrapText="1"/>
      <protection locked="0"/>
    </xf>
    <xf numFmtId="14" fontId="7" fillId="0" borderId="10" xfId="0" applyNumberFormat="1" applyFont="1" applyBorder="1" applyAlignment="1" applyProtection="1">
      <alignment horizontal="center" vertical="center" wrapText="1"/>
      <protection locked="0"/>
    </xf>
    <xf numFmtId="0" fontId="5" fillId="11" borderId="1" xfId="0" applyFont="1" applyFill="1" applyBorder="1" applyAlignment="1" applyProtection="1">
      <alignment horizontal="center" vertical="center" wrapText="1"/>
      <protection locked="0"/>
    </xf>
    <xf numFmtId="0" fontId="4" fillId="0" borderId="3"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2"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center" vertical="center"/>
      <protection locked="0"/>
    </xf>
    <xf numFmtId="0" fontId="4" fillId="0" borderId="3" xfId="0" applyFont="1" applyBorder="1" applyAlignment="1" applyProtection="1">
      <alignment horizontal="left" vertical="center" wrapText="1"/>
      <protection locked="0"/>
    </xf>
    <xf numFmtId="0" fontId="4" fillId="0" borderId="0" xfId="0" applyFont="1" applyProtection="1">
      <protection locked="0"/>
    </xf>
    <xf numFmtId="2" fontId="4" fillId="0" borderId="4" xfId="0" applyNumberFormat="1" applyFont="1" applyBorder="1" applyAlignment="1" applyProtection="1">
      <alignment horizontal="center" vertical="center"/>
      <protection locked="0"/>
    </xf>
    <xf numFmtId="1" fontId="4" fillId="0" borderId="4" xfId="0" applyNumberFormat="1" applyFont="1" applyBorder="1" applyAlignment="1" applyProtection="1">
      <alignment horizontal="center" vertical="center"/>
      <protection locked="0"/>
    </xf>
    <xf numFmtId="9" fontId="4" fillId="0" borderId="4" xfId="1"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9" fontId="4" fillId="0" borderId="10" xfId="1" applyFont="1" applyBorder="1" applyAlignment="1" applyProtection="1">
      <alignment horizontal="center" vertical="center"/>
      <protection locked="0"/>
    </xf>
    <xf numFmtId="2" fontId="4" fillId="0" borderId="10" xfId="0" applyNumberFormat="1" applyFont="1" applyBorder="1" applyAlignment="1" applyProtection="1">
      <alignment horizontal="center" vertical="center"/>
      <protection locked="0"/>
    </xf>
    <xf numFmtId="1" fontId="4" fillId="0" borderId="10" xfId="0" applyNumberFormat="1" applyFont="1" applyBorder="1" applyAlignment="1" applyProtection="1">
      <alignment horizontal="center" vertical="center"/>
      <protection locked="0"/>
    </xf>
    <xf numFmtId="168" fontId="0" fillId="0" borderId="0" xfId="2" applyNumberFormat="1" applyFont="1"/>
    <xf numFmtId="0" fontId="4" fillId="0" borderId="0" xfId="0" applyFont="1" applyAlignment="1" applyProtection="1">
      <alignment horizontal="center"/>
      <protection locked="0"/>
    </xf>
    <xf numFmtId="0" fontId="6" fillId="0" borderId="5"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0" xfId="0" applyFont="1" applyBorder="1" applyAlignment="1">
      <alignment horizontal="center" vertical="center"/>
    </xf>
    <xf numFmtId="165" fontId="3" fillId="0" borderId="3" xfId="0" applyNumberFormat="1" applyFont="1" applyBorder="1" applyAlignment="1">
      <alignment horizontal="center" vertical="center" wrapText="1"/>
    </xf>
    <xf numFmtId="2" fontId="4" fillId="0" borderId="3" xfId="0" applyNumberFormat="1" applyFont="1" applyBorder="1" applyAlignment="1">
      <alignment horizontal="center" vertical="center"/>
    </xf>
    <xf numFmtId="165" fontId="3" fillId="0" borderId="4" xfId="0" applyNumberFormat="1" applyFont="1" applyBorder="1" applyAlignment="1">
      <alignment horizontal="center" vertical="center" wrapText="1"/>
    </xf>
    <xf numFmtId="2" fontId="4" fillId="0" borderId="4" xfId="0" applyNumberFormat="1" applyFont="1" applyBorder="1" applyAlignment="1">
      <alignment horizontal="center" vertical="center"/>
    </xf>
    <xf numFmtId="165" fontId="3" fillId="0" borderId="10" xfId="0" applyNumberFormat="1" applyFont="1" applyBorder="1" applyAlignment="1">
      <alignment horizontal="center" vertical="center" wrapText="1"/>
    </xf>
    <xf numFmtId="2" fontId="4" fillId="0" borderId="10" xfId="0" applyNumberFormat="1" applyFont="1" applyBorder="1" applyAlignment="1">
      <alignment horizontal="center" vertical="center"/>
    </xf>
    <xf numFmtId="44" fontId="4" fillId="0" borderId="3" xfId="2" applyFont="1" applyBorder="1" applyAlignment="1" applyProtection="1">
      <alignment horizontal="center" vertical="center"/>
    </xf>
    <xf numFmtId="44" fontId="4" fillId="0" borderId="4" xfId="2" applyFont="1" applyBorder="1" applyAlignment="1" applyProtection="1">
      <alignment horizontal="center" vertical="center"/>
    </xf>
    <xf numFmtId="44" fontId="4" fillId="0" borderId="10" xfId="2" applyFont="1" applyBorder="1" applyAlignment="1" applyProtection="1">
      <alignment horizontal="center" vertical="center"/>
    </xf>
    <xf numFmtId="14" fontId="3" fillId="0" borderId="3" xfId="0" applyNumberFormat="1" applyFont="1" applyBorder="1" applyAlignment="1" applyProtection="1">
      <alignment horizontal="center" vertical="center"/>
      <protection locked="0"/>
    </xf>
    <xf numFmtId="14" fontId="3" fillId="0" borderId="4" xfId="0" applyNumberFormat="1" applyFont="1" applyBorder="1" applyAlignment="1" applyProtection="1">
      <alignment horizontal="center" vertical="center"/>
      <protection locked="0"/>
    </xf>
    <xf numFmtId="14" fontId="3" fillId="0" borderId="10" xfId="0" applyNumberFormat="1" applyFont="1" applyBorder="1" applyAlignment="1" applyProtection="1">
      <alignment horizontal="center" vertical="center"/>
      <protection locked="0"/>
    </xf>
    <xf numFmtId="0" fontId="3" fillId="0" borderId="0" xfId="0" applyFont="1" applyProtection="1">
      <protection locked="0"/>
    </xf>
    <xf numFmtId="0" fontId="5" fillId="5" borderId="1" xfId="0" applyFont="1" applyFill="1" applyBorder="1" applyAlignment="1" applyProtection="1">
      <alignment horizontal="center" vertical="center" wrapText="1"/>
      <protection locked="0"/>
    </xf>
    <xf numFmtId="0" fontId="26" fillId="7" borderId="1" xfId="0" applyFont="1" applyFill="1" applyBorder="1" applyAlignment="1" applyProtection="1">
      <alignment horizontal="center" vertical="center" wrapText="1"/>
      <protection locked="0"/>
    </xf>
    <xf numFmtId="0" fontId="26" fillId="7" borderId="37" xfId="0" applyFont="1" applyFill="1" applyBorder="1" applyAlignment="1" applyProtection="1">
      <alignment horizontal="center" vertical="center" wrapText="1"/>
      <protection locked="0"/>
    </xf>
    <xf numFmtId="0" fontId="26" fillId="7" borderId="38" xfId="0" applyFont="1" applyFill="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166" fontId="3" fillId="0" borderId="11" xfId="0" applyNumberFormat="1" applyFont="1" applyBorder="1" applyAlignment="1">
      <alignment horizontal="center" vertical="center" wrapText="1"/>
    </xf>
    <xf numFmtId="166" fontId="3" fillId="0" borderId="3" xfId="0" applyNumberFormat="1" applyFont="1" applyBorder="1" applyAlignment="1" applyProtection="1">
      <alignment horizontal="center" vertical="center" wrapText="1"/>
      <protection locked="0"/>
    </xf>
    <xf numFmtId="166" fontId="3" fillId="0" borderId="3" xfId="0" applyNumberFormat="1" applyFont="1" applyBorder="1" applyAlignment="1" applyProtection="1">
      <alignment horizontal="left" vertical="center" wrapText="1"/>
      <protection locked="0"/>
    </xf>
    <xf numFmtId="0" fontId="3" fillId="0" borderId="12" xfId="0" applyFont="1" applyBorder="1" applyAlignment="1" applyProtection="1">
      <alignment horizontal="center" vertical="center" wrapText="1"/>
      <protection locked="0"/>
    </xf>
    <xf numFmtId="166" fontId="3" fillId="0" borderId="12" xfId="0" applyNumberFormat="1" applyFont="1" applyBorder="1" applyAlignment="1">
      <alignment horizontal="center" vertical="center" wrapText="1"/>
    </xf>
    <xf numFmtId="166" fontId="3" fillId="0" borderId="4" xfId="0" applyNumberFormat="1" applyFont="1" applyBorder="1" applyAlignment="1" applyProtection="1">
      <alignment horizontal="center" vertical="center" wrapText="1"/>
      <protection locked="0"/>
    </xf>
    <xf numFmtId="166" fontId="3" fillId="0" borderId="4" xfId="0" applyNumberFormat="1" applyFont="1" applyBorder="1" applyAlignment="1" applyProtection="1">
      <alignment horizontal="left" vertical="center" wrapText="1"/>
      <protection locked="0"/>
    </xf>
    <xf numFmtId="0" fontId="3" fillId="0" borderId="16" xfId="0" applyFont="1" applyBorder="1" applyAlignment="1" applyProtection="1">
      <alignment horizontal="center" vertical="center" wrapText="1"/>
      <protection locked="0"/>
    </xf>
    <xf numFmtId="166" fontId="3" fillId="0" borderId="16" xfId="0" applyNumberFormat="1" applyFont="1" applyBorder="1" applyAlignment="1">
      <alignment horizontal="center" vertical="center" wrapText="1"/>
    </xf>
    <xf numFmtId="166" fontId="3" fillId="0" borderId="10" xfId="0" applyNumberFormat="1" applyFont="1" applyBorder="1" applyAlignment="1" applyProtection="1">
      <alignment horizontal="center" vertical="center" wrapText="1"/>
      <protection locked="0"/>
    </xf>
    <xf numFmtId="166" fontId="3" fillId="0" borderId="10" xfId="0" applyNumberFormat="1" applyFont="1" applyBorder="1" applyAlignment="1" applyProtection="1">
      <alignment horizontal="left" vertical="center" wrapText="1"/>
      <protection locked="0"/>
    </xf>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3" fillId="0" borderId="0" xfId="0" applyFont="1" applyAlignment="1" applyProtection="1">
      <alignment horizontal="center" vertical="center"/>
      <protection locked="0"/>
    </xf>
    <xf numFmtId="0" fontId="3" fillId="0" borderId="0" xfId="0" applyFont="1"/>
    <xf numFmtId="0" fontId="5" fillId="5" borderId="10" xfId="0" applyFont="1" applyFill="1" applyBorder="1" applyAlignment="1">
      <alignment horizontal="center" vertical="center" wrapText="1"/>
    </xf>
    <xf numFmtId="0" fontId="26" fillId="7" borderId="10" xfId="0" applyFont="1" applyFill="1" applyBorder="1" applyAlignment="1" applyProtection="1">
      <alignment horizontal="center" vertical="center" wrapText="1"/>
      <protection locked="0"/>
    </xf>
    <xf numFmtId="0" fontId="26" fillId="7" borderId="16" xfId="0" applyFont="1" applyFill="1" applyBorder="1" applyAlignment="1" applyProtection="1">
      <alignment horizontal="center" vertical="center" wrapText="1"/>
      <protection locked="0"/>
    </xf>
    <xf numFmtId="0" fontId="26" fillId="7" borderId="35" xfId="0" applyFont="1" applyFill="1" applyBorder="1" applyAlignment="1" applyProtection="1">
      <alignment horizontal="center" vertical="center" wrapText="1"/>
      <protection locked="0"/>
    </xf>
    <xf numFmtId="0" fontId="3" fillId="0" borderId="31" xfId="0" applyFont="1" applyBorder="1" applyAlignment="1" applyProtection="1">
      <alignment horizontal="center" vertical="center" wrapText="1"/>
      <protection locked="0"/>
    </xf>
    <xf numFmtId="166" fontId="3" fillId="0" borderId="13" xfId="0" applyNumberFormat="1" applyFont="1" applyBorder="1" applyAlignment="1" applyProtection="1">
      <alignment horizontal="center" vertical="center" wrapText="1"/>
      <protection locked="0"/>
    </xf>
    <xf numFmtId="166" fontId="3" fillId="0" borderId="17" xfId="0" applyNumberFormat="1" applyFont="1" applyBorder="1" applyAlignment="1" applyProtection="1">
      <alignment horizontal="center" vertical="center" wrapText="1"/>
      <protection locked="0"/>
    </xf>
    <xf numFmtId="0" fontId="3" fillId="0" borderId="0" xfId="0" applyFont="1" applyAlignment="1">
      <alignment horizontal="left"/>
    </xf>
    <xf numFmtId="0" fontId="3" fillId="0" borderId="0" xfId="0" applyFont="1" applyAlignment="1">
      <alignment horizontal="center"/>
    </xf>
    <xf numFmtId="0" fontId="3" fillId="0" borderId="0" xfId="0" applyFont="1" applyAlignment="1">
      <alignment horizontal="center" vertical="center"/>
    </xf>
    <xf numFmtId="0" fontId="26" fillId="7" borderId="4"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7" fillId="0" borderId="4" xfId="0" applyFont="1" applyBorder="1" applyAlignment="1" applyProtection="1">
      <alignment horizontal="center" vertical="center"/>
      <protection locked="0"/>
    </xf>
    <xf numFmtId="14" fontId="3" fillId="0" borderId="13" xfId="0" applyNumberFormat="1" applyFont="1" applyBorder="1" applyAlignment="1" applyProtection="1">
      <alignment horizontal="center" vertical="center"/>
      <protection locked="0"/>
    </xf>
    <xf numFmtId="166" fontId="3" fillId="0" borderId="31" xfId="0" applyNumberFormat="1" applyFont="1" applyBorder="1" applyAlignment="1">
      <alignment horizontal="center" vertical="center" wrapText="1"/>
    </xf>
    <xf numFmtId="166" fontId="3" fillId="0" borderId="37" xfId="0" applyNumberFormat="1" applyFont="1" applyBorder="1" applyAlignment="1">
      <alignment horizontal="center" vertical="center" wrapText="1"/>
    </xf>
    <xf numFmtId="166" fontId="3" fillId="0" borderId="4" xfId="0" applyNumberFormat="1" applyFont="1" applyBorder="1" applyAlignment="1">
      <alignment horizontal="center" vertical="center" wrapText="1"/>
    </xf>
    <xf numFmtId="0" fontId="3" fillId="0" borderId="37" xfId="0" applyFont="1" applyBorder="1" applyAlignment="1" applyProtection="1">
      <alignment horizontal="center" vertical="center" wrapText="1"/>
      <protection locked="0"/>
    </xf>
    <xf numFmtId="14" fontId="3" fillId="0" borderId="1" xfId="0" applyNumberFormat="1" applyFont="1" applyBorder="1" applyAlignment="1" applyProtection="1">
      <alignment horizontal="center" vertical="center"/>
      <protection locked="0"/>
    </xf>
    <xf numFmtId="166" fontId="3" fillId="0" borderId="1" xfId="0" applyNumberFormat="1" applyFont="1" applyBorder="1" applyAlignment="1" applyProtection="1">
      <alignment horizontal="center" vertical="center" wrapText="1"/>
      <protection locked="0"/>
    </xf>
    <xf numFmtId="166" fontId="3" fillId="0" borderId="3" xfId="0" applyNumberFormat="1" applyFont="1" applyBorder="1" applyAlignment="1">
      <alignment horizontal="center" vertical="center" wrapText="1"/>
    </xf>
    <xf numFmtId="0" fontId="3" fillId="0" borderId="26" xfId="0" applyFont="1" applyBorder="1" applyAlignment="1" applyProtection="1">
      <alignment horizontal="center" vertical="center" wrapText="1"/>
      <protection locked="0"/>
    </xf>
    <xf numFmtId="14" fontId="3" fillId="0" borderId="17" xfId="0" applyNumberFormat="1" applyFont="1" applyBorder="1" applyAlignment="1" applyProtection="1">
      <alignment horizontal="center" vertical="center"/>
      <protection locked="0"/>
    </xf>
    <xf numFmtId="166" fontId="3" fillId="0" borderId="10" xfId="0" applyNumberFormat="1" applyFont="1" applyBorder="1" applyAlignment="1">
      <alignment horizontal="center" vertical="center" wrapText="1"/>
    </xf>
    <xf numFmtId="164" fontId="6" fillId="8" borderId="13" xfId="0" applyNumberFormat="1" applyFont="1" applyFill="1" applyBorder="1" applyAlignment="1" applyProtection="1">
      <alignment horizontal="center" vertical="center" wrapText="1"/>
      <protection locked="0"/>
    </xf>
    <xf numFmtId="164" fontId="6" fillId="8" borderId="4" xfId="0" applyNumberFormat="1" applyFont="1" applyFill="1" applyBorder="1" applyAlignment="1" applyProtection="1">
      <alignment horizontal="center" vertical="center" wrapText="1"/>
      <protection locked="0"/>
    </xf>
    <xf numFmtId="164" fontId="6" fillId="8" borderId="10" xfId="0" applyNumberFormat="1" applyFont="1" applyFill="1" applyBorder="1" applyAlignment="1" applyProtection="1">
      <alignment horizontal="center" vertical="center" wrapText="1"/>
      <protection locked="0"/>
    </xf>
    <xf numFmtId="164" fontId="6" fillId="8" borderId="3" xfId="0" applyNumberFormat="1" applyFont="1" applyFill="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0" fillId="0" borderId="0" xfId="0" applyProtection="1">
      <protection locked="0"/>
    </xf>
    <xf numFmtId="0" fontId="18" fillId="2" borderId="4" xfId="0" applyFont="1" applyFill="1" applyBorder="1" applyAlignment="1">
      <alignment horizontal="center" vertical="center" wrapText="1"/>
    </xf>
    <xf numFmtId="0" fontId="20" fillId="3" borderId="4" xfId="0" applyFont="1" applyFill="1" applyBorder="1" applyAlignment="1">
      <alignment vertical="center" wrapText="1"/>
    </xf>
    <xf numFmtId="0" fontId="16" fillId="3" borderId="4" xfId="0" applyFont="1" applyFill="1" applyBorder="1" applyAlignment="1">
      <alignment horizontal="center" vertical="center" wrapText="1"/>
    </xf>
    <xf numFmtId="2" fontId="21" fillId="0" borderId="4" xfId="0" applyNumberFormat="1" applyFont="1" applyBorder="1" applyAlignment="1">
      <alignment horizontal="center" vertical="center" wrapText="1"/>
    </xf>
    <xf numFmtId="2" fontId="21" fillId="9" borderId="4" xfId="0" applyNumberFormat="1" applyFont="1" applyFill="1" applyBorder="1" applyAlignment="1">
      <alignment horizontal="center" vertical="center" wrapText="1"/>
    </xf>
    <xf numFmtId="0" fontId="3" fillId="0" borderId="0" xfId="0" applyFont="1" applyAlignment="1" applyProtection="1">
      <alignment vertical="center"/>
      <protection locked="0"/>
    </xf>
    <xf numFmtId="0" fontId="6" fillId="0" borderId="4" xfId="0" applyFont="1" applyBorder="1" applyAlignment="1" applyProtection="1">
      <alignment vertical="center" wrapText="1"/>
      <protection locked="0"/>
    </xf>
    <xf numFmtId="0" fontId="7" fillId="0" borderId="4" xfId="0" applyFont="1" applyBorder="1" applyAlignment="1" applyProtection="1">
      <alignment vertical="center"/>
      <protection locked="0"/>
    </xf>
    <xf numFmtId="0" fontId="26" fillId="7" borderId="4" xfId="0" applyFont="1" applyFill="1" applyBorder="1" applyAlignment="1">
      <alignment horizontal="center" vertical="center" wrapText="1"/>
    </xf>
    <xf numFmtId="1" fontId="6" fillId="0" borderId="4" xfId="0" applyNumberFormat="1" applyFont="1" applyBorder="1" applyAlignment="1">
      <alignment horizontal="center" vertical="center" wrapText="1"/>
    </xf>
    <xf numFmtId="0" fontId="3" fillId="3" borderId="4" xfId="0" applyFont="1" applyFill="1" applyBorder="1" applyAlignment="1">
      <alignment vertical="center" wrapText="1"/>
    </xf>
    <xf numFmtId="0" fontId="8" fillId="0" borderId="0" xfId="0" applyFont="1" applyAlignment="1" applyProtection="1">
      <alignment vertical="center"/>
      <protection locked="0"/>
    </xf>
    <xf numFmtId="0" fontId="8" fillId="0" borderId="0" xfId="0" applyFont="1" applyAlignment="1" applyProtection="1">
      <alignment horizontal="center" vertical="center"/>
      <protection locked="0"/>
    </xf>
    <xf numFmtId="0" fontId="6" fillId="0" borderId="0" xfId="0" applyFont="1" applyAlignment="1" applyProtection="1">
      <alignment vertical="center" wrapText="1"/>
      <protection locked="0"/>
    </xf>
    <xf numFmtId="0" fontId="11" fillId="0" borderId="4" xfId="0" applyFont="1" applyBorder="1" applyAlignment="1" applyProtection="1">
      <alignment horizontal="left" vertical="center" wrapText="1"/>
      <protection locked="0"/>
    </xf>
    <xf numFmtId="0" fontId="11" fillId="0" borderId="4" xfId="0" applyFont="1" applyBorder="1" applyAlignment="1" applyProtection="1">
      <alignment horizontal="center" vertical="center" wrapText="1"/>
      <protection locked="0"/>
    </xf>
    <xf numFmtId="0" fontId="8" fillId="3" borderId="4" xfId="0" applyFont="1" applyFill="1" applyBorder="1" applyAlignment="1">
      <alignment horizontal="left" vertical="center" wrapText="1"/>
    </xf>
    <xf numFmtId="0" fontId="14" fillId="2" borderId="4" xfId="0" applyFont="1" applyFill="1" applyBorder="1" applyAlignment="1">
      <alignment horizontal="center" vertical="center" wrapText="1"/>
    </xf>
    <xf numFmtId="1" fontId="11" fillId="0" borderId="4" xfId="0" applyNumberFormat="1" applyFont="1" applyBorder="1" applyAlignment="1">
      <alignment horizontal="center" vertical="center" wrapText="1"/>
    </xf>
    <xf numFmtId="0" fontId="8" fillId="0" borderId="4" xfId="0" applyFont="1" applyBorder="1" applyAlignment="1" applyProtection="1">
      <alignment horizontal="left" vertical="center" wrapText="1"/>
      <protection locked="0"/>
    </xf>
    <xf numFmtId="0" fontId="15" fillId="0" borderId="4" xfId="0" applyFont="1" applyBorder="1" applyAlignment="1" applyProtection="1">
      <alignment horizontal="center" vertical="center" wrapText="1"/>
      <protection locked="0"/>
    </xf>
    <xf numFmtId="0" fontId="8" fillId="3" borderId="4" xfId="0" applyFont="1" applyFill="1" applyBorder="1" applyAlignment="1">
      <alignment vertical="center" wrapText="1"/>
    </xf>
    <xf numFmtId="0" fontId="8" fillId="0" borderId="0" xfId="0" applyFont="1" applyAlignment="1" applyProtection="1">
      <alignment horizontal="left" vertical="center"/>
      <protection locked="0"/>
    </xf>
    <xf numFmtId="0" fontId="3" fillId="0" borderId="3" xfId="0" applyFont="1" applyBorder="1" applyAlignment="1" applyProtection="1">
      <alignment horizontal="left" vertical="center" wrapText="1"/>
      <protection locked="0"/>
    </xf>
    <xf numFmtId="0" fontId="6" fillId="0" borderId="3" xfId="0" applyFont="1" applyBorder="1" applyAlignment="1" applyProtection="1">
      <alignment horizontal="center" vertical="center" wrapText="1"/>
      <protection locked="0"/>
    </xf>
    <xf numFmtId="14" fontId="3" fillId="0" borderId="5" xfId="0" applyNumberFormat="1" applyFont="1" applyBorder="1" applyAlignment="1" applyProtection="1">
      <alignment horizontal="center" vertical="center"/>
      <protection locked="0"/>
    </xf>
    <xf numFmtId="164" fontId="6" fillId="8" borderId="1" xfId="0" applyNumberFormat="1" applyFont="1" applyFill="1" applyBorder="1" applyAlignment="1" applyProtection="1">
      <alignment horizontal="center" vertical="center" wrapText="1"/>
      <protection locked="0"/>
    </xf>
    <xf numFmtId="166" fontId="3" fillId="0" borderId="1" xfId="0" applyNumberFormat="1" applyFont="1" applyBorder="1" applyAlignment="1" applyProtection="1">
      <alignment horizontal="left" vertical="center" wrapText="1"/>
      <protection locked="0"/>
    </xf>
    <xf numFmtId="14" fontId="3" fillId="0" borderId="7" xfId="0" applyNumberFormat="1" applyFont="1" applyBorder="1" applyAlignment="1" applyProtection="1">
      <alignment horizontal="center" vertical="center"/>
      <protection locked="0"/>
    </xf>
    <xf numFmtId="0" fontId="3" fillId="0" borderId="4" xfId="0" applyFont="1" applyBorder="1" applyAlignment="1" applyProtection="1">
      <alignment horizontal="left" vertical="center" wrapText="1"/>
      <protection locked="0"/>
    </xf>
    <xf numFmtId="0" fontId="27" fillId="0" borderId="5" xfId="0" applyFont="1" applyBorder="1" applyAlignment="1" applyProtection="1">
      <alignment horizontal="center" vertical="center" wrapText="1"/>
      <protection locked="0"/>
    </xf>
    <xf numFmtId="0" fontId="27" fillId="0" borderId="4" xfId="0" applyFont="1" applyBorder="1" applyAlignment="1" applyProtection="1">
      <alignment horizontal="center" vertical="center" wrapText="1"/>
      <protection locked="0"/>
    </xf>
    <xf numFmtId="0" fontId="8" fillId="3" borderId="4" xfId="0" applyFont="1" applyFill="1" applyBorder="1" applyAlignment="1" applyProtection="1">
      <alignment vertical="center" wrapText="1"/>
      <protection locked="0"/>
    </xf>
    <xf numFmtId="0" fontId="8" fillId="0" borderId="4" xfId="0" applyFont="1" applyBorder="1" applyAlignment="1" applyProtection="1">
      <alignment horizontal="center" vertical="center" wrapText="1"/>
      <protection locked="0"/>
    </xf>
    <xf numFmtId="2" fontId="0" fillId="0" borderId="0" xfId="0" applyNumberFormat="1" applyProtection="1">
      <protection locked="0"/>
    </xf>
    <xf numFmtId="2" fontId="0" fillId="0" borderId="0" xfId="0" applyNumberFormat="1"/>
    <xf numFmtId="0" fontId="22" fillId="3" borderId="4" xfId="0" applyFont="1" applyFill="1" applyBorder="1" applyAlignment="1">
      <alignment horizontal="center" vertical="center"/>
    </xf>
    <xf numFmtId="0" fontId="29" fillId="8" borderId="4" xfId="0" applyFont="1" applyFill="1" applyBorder="1" applyAlignment="1">
      <alignment horizontal="center" vertical="center"/>
    </xf>
    <xf numFmtId="4" fontId="29" fillId="0" borderId="4" xfId="0" applyNumberFormat="1" applyFont="1" applyBorder="1" applyAlignment="1">
      <alignment horizontal="center" vertical="center" wrapText="1"/>
    </xf>
    <xf numFmtId="0" fontId="30" fillId="3" borderId="4" xfId="0" applyFont="1" applyFill="1" applyBorder="1" applyAlignment="1">
      <alignment horizontal="center" vertical="center" wrapText="1"/>
    </xf>
    <xf numFmtId="0" fontId="28" fillId="4" borderId="4" xfId="0" applyFont="1" applyFill="1" applyBorder="1" applyAlignment="1">
      <alignment horizontal="center" vertical="center" wrapText="1"/>
    </xf>
    <xf numFmtId="166" fontId="3" fillId="0" borderId="13" xfId="0" applyNumberFormat="1" applyFont="1" applyBorder="1" applyAlignment="1" applyProtection="1">
      <alignment horizontal="left" vertical="center" wrapText="1"/>
      <protection locked="0"/>
    </xf>
    <xf numFmtId="0" fontId="5" fillId="0" borderId="4"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3"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5" fillId="0" borderId="10" xfId="0" applyFont="1" applyBorder="1" applyAlignment="1" applyProtection="1">
      <alignment horizontal="left" vertical="center" wrapText="1"/>
      <protection locked="0"/>
    </xf>
    <xf numFmtId="2" fontId="31" fillId="0" borderId="4" xfId="0" applyNumberFormat="1" applyFont="1" applyBorder="1" applyAlignment="1">
      <alignment horizontal="center" vertical="center" wrapText="1"/>
    </xf>
    <xf numFmtId="0" fontId="29" fillId="8" borderId="4" xfId="0" applyFont="1" applyFill="1" applyBorder="1" applyAlignment="1">
      <alignment horizontal="left" vertical="center" wrapText="1"/>
    </xf>
    <xf numFmtId="0" fontId="0" fillId="0" borderId="4" xfId="0" applyBorder="1" applyAlignment="1">
      <alignment horizontal="center"/>
    </xf>
    <xf numFmtId="171" fontId="21" fillId="0" borderId="4" xfId="0" applyNumberFormat="1" applyFont="1" applyBorder="1" applyAlignment="1">
      <alignment horizontal="center" vertical="center" wrapText="1"/>
    </xf>
    <xf numFmtId="172" fontId="0" fillId="0" borderId="4" xfId="0" applyNumberFormat="1" applyBorder="1" applyAlignment="1">
      <alignment horizontal="center"/>
    </xf>
    <xf numFmtId="14" fontId="6" fillId="8" borderId="3" xfId="0" applyNumberFormat="1" applyFont="1" applyFill="1" applyBorder="1" applyAlignment="1" applyProtection="1">
      <alignment horizontal="center" vertical="center" wrapText="1"/>
      <protection locked="0"/>
    </xf>
    <xf numFmtId="14" fontId="6" fillId="8" borderId="4" xfId="0" applyNumberFormat="1" applyFont="1" applyFill="1" applyBorder="1" applyAlignment="1" applyProtection="1">
      <alignment horizontal="center" vertical="center" wrapText="1"/>
      <protection locked="0"/>
    </xf>
    <xf numFmtId="166" fontId="3" fillId="0" borderId="3" xfId="0" applyNumberFormat="1" applyFont="1" applyBorder="1" applyAlignment="1" applyProtection="1">
      <alignment horizontal="justify" vertical="center" wrapText="1"/>
      <protection locked="0"/>
    </xf>
    <xf numFmtId="0" fontId="16" fillId="6" borderId="4" xfId="0" applyFont="1" applyFill="1" applyBorder="1" applyAlignment="1">
      <alignment horizontal="center" vertical="center" wrapText="1"/>
    </xf>
    <xf numFmtId="14" fontId="6" fillId="0" borderId="3" xfId="0" applyNumberFormat="1" applyFont="1" applyBorder="1" applyAlignment="1" applyProtection="1">
      <alignment horizontal="center" vertical="center" wrapText="1"/>
      <protection locked="0"/>
    </xf>
    <xf numFmtId="14" fontId="6" fillId="0" borderId="4" xfId="0" applyNumberFormat="1" applyFont="1" applyBorder="1" applyAlignment="1" applyProtection="1">
      <alignment horizontal="center" vertical="center" wrapText="1"/>
      <protection locked="0"/>
    </xf>
    <xf numFmtId="0" fontId="4" fillId="0" borderId="8" xfId="0" applyFont="1" applyBorder="1" applyAlignment="1" applyProtection="1">
      <alignment horizontal="left" vertical="center" wrapText="1"/>
      <protection locked="0"/>
    </xf>
    <xf numFmtId="0" fontId="4" fillId="0" borderId="9" xfId="0" applyFont="1" applyBorder="1" applyAlignment="1" applyProtection="1">
      <alignment horizontal="left" vertical="center" wrapText="1"/>
      <protection locked="0"/>
    </xf>
    <xf numFmtId="0" fontId="4" fillId="0" borderId="30"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29" xfId="0" applyFont="1" applyBorder="1" applyAlignment="1" applyProtection="1">
      <alignment horizontal="center" vertical="center"/>
      <protection locked="0"/>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170" fontId="3" fillId="0" borderId="5" xfId="0" applyNumberFormat="1" applyFont="1" applyBorder="1" applyAlignment="1">
      <alignment horizontal="center" vertical="center" wrapText="1"/>
    </xf>
    <xf numFmtId="170" fontId="3" fillId="0" borderId="7" xfId="0" applyNumberFormat="1" applyFont="1" applyBorder="1" applyAlignment="1">
      <alignment horizontal="center" vertical="center" wrapText="1"/>
    </xf>
    <xf numFmtId="170" fontId="3" fillId="0" borderId="17" xfId="0" applyNumberFormat="1" applyFont="1" applyBorder="1" applyAlignment="1">
      <alignment horizontal="center" vertical="center" wrapText="1"/>
    </xf>
    <xf numFmtId="2" fontId="3" fillId="0" borderId="5" xfId="0" applyNumberFormat="1" applyFont="1" applyBorder="1" applyAlignment="1">
      <alignment horizontal="center" vertical="center" wrapText="1"/>
    </xf>
    <xf numFmtId="2" fontId="3" fillId="0" borderId="7" xfId="0" applyNumberFormat="1" applyFont="1" applyBorder="1" applyAlignment="1">
      <alignment horizontal="center" vertical="center" wrapText="1"/>
    </xf>
    <xf numFmtId="2" fontId="3" fillId="0" borderId="17" xfId="0" applyNumberFormat="1" applyFont="1" applyBorder="1" applyAlignment="1">
      <alignment horizontal="center" vertical="center" wrapText="1"/>
    </xf>
    <xf numFmtId="169" fontId="4" fillId="0" borderId="5" xfId="0" applyNumberFormat="1" applyFont="1" applyBorder="1" applyAlignment="1">
      <alignment horizontal="center" vertical="center" wrapText="1"/>
    </xf>
    <xf numFmtId="169" fontId="4" fillId="0" borderId="7" xfId="0" applyNumberFormat="1" applyFont="1" applyBorder="1" applyAlignment="1">
      <alignment horizontal="center" vertical="center" wrapText="1"/>
    </xf>
    <xf numFmtId="169" fontId="4" fillId="0" borderId="17" xfId="0" applyNumberFormat="1" applyFont="1" applyBorder="1" applyAlignment="1">
      <alignment horizontal="center" vertical="center" wrapText="1"/>
    </xf>
    <xf numFmtId="2" fontId="23" fillId="0" borderId="3" xfId="0" applyNumberFormat="1" applyFont="1" applyBorder="1" applyAlignment="1">
      <alignment horizontal="center" vertical="center"/>
    </xf>
    <xf numFmtId="2" fontId="23" fillId="0" borderId="4" xfId="0" applyNumberFormat="1" applyFont="1" applyBorder="1" applyAlignment="1">
      <alignment horizontal="center" vertical="center"/>
    </xf>
    <xf numFmtId="2" fontId="23" fillId="0" borderId="10" xfId="0" applyNumberFormat="1" applyFont="1" applyBorder="1" applyAlignment="1">
      <alignment horizontal="center" vertical="center"/>
    </xf>
    <xf numFmtId="0" fontId="23" fillId="0" borderId="4" xfId="0" applyFont="1" applyBorder="1" applyAlignment="1">
      <alignment horizontal="center" vertical="center"/>
    </xf>
    <xf numFmtId="0" fontId="23" fillId="0" borderId="10" xfId="0" applyFont="1" applyBorder="1" applyAlignment="1">
      <alignment horizontal="center" vertical="center"/>
    </xf>
    <xf numFmtId="171" fontId="4" fillId="0" borderId="3" xfId="0" applyNumberFormat="1" applyFont="1" applyBorder="1" applyAlignment="1" applyProtection="1">
      <alignment horizontal="center" vertical="center"/>
      <protection locked="0"/>
    </xf>
    <xf numFmtId="171" fontId="4" fillId="0" borderId="4" xfId="0" applyNumberFormat="1" applyFont="1" applyBorder="1" applyAlignment="1" applyProtection="1">
      <alignment horizontal="center" vertical="center"/>
      <protection locked="0"/>
    </xf>
    <xf numFmtId="171" fontId="4" fillId="0" borderId="10" xfId="0" applyNumberFormat="1"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30" xfId="0" applyFont="1" applyBorder="1" applyAlignment="1" applyProtection="1">
      <alignment horizontal="center" vertical="center"/>
      <protection locked="0"/>
    </xf>
    <xf numFmtId="0" fontId="3" fillId="3" borderId="18" xfId="0" applyFont="1" applyFill="1" applyBorder="1" applyAlignment="1" applyProtection="1">
      <alignment horizontal="center" vertical="center" wrapText="1"/>
      <protection locked="0"/>
    </xf>
    <xf numFmtId="0" fontId="3" fillId="3" borderId="23" xfId="0" applyFont="1" applyFill="1" applyBorder="1" applyAlignment="1" applyProtection="1">
      <alignment horizontal="center" vertical="center" wrapText="1"/>
      <protection locked="0"/>
    </xf>
    <xf numFmtId="0" fontId="3" fillId="3" borderId="25" xfId="0" applyFont="1" applyFill="1" applyBorder="1" applyAlignment="1" applyProtection="1">
      <alignment horizontal="center" vertical="center" wrapText="1"/>
      <protection locked="0"/>
    </xf>
    <xf numFmtId="0" fontId="3" fillId="3" borderId="5"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5"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3" fillId="3" borderId="17" xfId="0" applyFont="1" applyFill="1" applyBorder="1" applyAlignment="1" applyProtection="1">
      <alignment horizontal="center" vertical="center" wrapText="1"/>
      <protection locked="0"/>
    </xf>
    <xf numFmtId="3" fontId="3" fillId="3" borderId="14" xfId="0" applyNumberFormat="1" applyFont="1" applyFill="1" applyBorder="1" applyAlignment="1" applyProtection="1">
      <alignment horizontal="center" vertical="center" wrapText="1"/>
      <protection locked="0"/>
    </xf>
    <xf numFmtId="0" fontId="3" fillId="3" borderId="15" xfId="0" applyFont="1" applyFill="1" applyBorder="1" applyAlignment="1" applyProtection="1">
      <alignment horizontal="center" vertical="center" wrapText="1"/>
      <protection locked="0"/>
    </xf>
    <xf numFmtId="0" fontId="3" fillId="3" borderId="26" xfId="0" applyFont="1" applyFill="1" applyBorder="1" applyAlignment="1" applyProtection="1">
      <alignment horizontal="center" vertical="center" wrapText="1"/>
      <protection locked="0"/>
    </xf>
    <xf numFmtId="1" fontId="3" fillId="0" borderId="5"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17" xfId="0" applyNumberFormat="1" applyFont="1" applyBorder="1" applyAlignment="1">
      <alignment horizontal="center" vertical="center" wrapText="1"/>
    </xf>
    <xf numFmtId="0" fontId="7" fillId="0" borderId="5"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17" xfId="0" applyFont="1" applyBorder="1" applyAlignment="1" applyProtection="1">
      <alignment horizontal="center" vertical="center"/>
      <protection locked="0"/>
    </xf>
    <xf numFmtId="0" fontId="7" fillId="0" borderId="21" xfId="0" applyFont="1" applyBorder="1" applyAlignment="1">
      <alignment horizontal="center" vertical="center"/>
    </xf>
    <xf numFmtId="0" fontId="7" fillId="0" borderId="20" xfId="0" applyFont="1" applyBorder="1" applyAlignment="1">
      <alignment horizontal="center" vertical="center"/>
    </xf>
    <xf numFmtId="0" fontId="7" fillId="0" borderId="27" xfId="0" applyFont="1" applyBorder="1" applyAlignment="1">
      <alignment horizontal="center" vertical="center"/>
    </xf>
    <xf numFmtId="0" fontId="7" fillId="0" borderId="22" xfId="0" applyFont="1" applyBorder="1" applyAlignment="1" applyProtection="1">
      <alignment horizontal="center" vertical="center" wrapText="1"/>
      <protection locked="0"/>
    </xf>
    <xf numFmtId="0" fontId="7" fillId="0" borderId="24" xfId="0" applyFont="1" applyBorder="1" applyAlignment="1" applyProtection="1">
      <alignment horizontal="center" vertical="center"/>
      <protection locked="0"/>
    </xf>
    <xf numFmtId="0" fontId="7" fillId="0" borderId="28" xfId="0" applyFont="1" applyBorder="1" applyAlignment="1" applyProtection="1">
      <alignment horizontal="center" vertical="center"/>
      <protection locked="0"/>
    </xf>
    <xf numFmtId="0" fontId="7" fillId="0" borderId="22" xfId="0" applyFont="1" applyBorder="1" applyAlignment="1" applyProtection="1">
      <alignment horizontal="center" vertical="center"/>
      <protection locked="0"/>
    </xf>
    <xf numFmtId="3" fontId="3" fillId="3" borderId="15" xfId="0" applyNumberFormat="1" applyFont="1" applyFill="1" applyBorder="1" applyAlignment="1" applyProtection="1">
      <alignment horizontal="center" vertical="center" wrapText="1"/>
      <protection locked="0"/>
    </xf>
    <xf numFmtId="3" fontId="3" fillId="3" borderId="26" xfId="0" applyNumberFormat="1" applyFont="1" applyFill="1" applyBorder="1" applyAlignment="1" applyProtection="1">
      <alignment horizontal="center" vertical="center" wrapText="1"/>
      <protection locked="0"/>
    </xf>
    <xf numFmtId="0" fontId="7" fillId="0" borderId="22" xfId="0" applyFont="1" applyBorder="1" applyAlignment="1" applyProtection="1">
      <alignment horizontal="left" vertical="center" wrapText="1"/>
      <protection locked="0"/>
    </xf>
    <xf numFmtId="0" fontId="7" fillId="0" borderId="24" xfId="0" applyFont="1" applyBorder="1" applyAlignment="1" applyProtection="1">
      <alignment horizontal="left" vertical="center"/>
      <protection locked="0"/>
    </xf>
    <xf numFmtId="0" fontId="7" fillId="0" borderId="28" xfId="0" applyFont="1" applyBorder="1" applyAlignment="1" applyProtection="1">
      <alignment horizontal="left" vertical="center"/>
      <protection locked="0"/>
    </xf>
    <xf numFmtId="0" fontId="7" fillId="0" borderId="24" xfId="0" applyFont="1" applyBorder="1" applyAlignment="1" applyProtection="1">
      <alignment horizontal="left" vertical="center" wrapText="1"/>
      <protection locked="0"/>
    </xf>
    <xf numFmtId="0" fontId="7" fillId="0" borderId="28" xfId="0" applyFont="1" applyBorder="1" applyAlignment="1" applyProtection="1">
      <alignment horizontal="left" vertical="center" wrapText="1"/>
      <protection locked="0"/>
    </xf>
    <xf numFmtId="0" fontId="5" fillId="5" borderId="5" xfId="0" applyFont="1" applyFill="1" applyBorder="1" applyAlignment="1" applyProtection="1">
      <alignment horizontal="center" vertical="center" wrapText="1"/>
      <protection locked="0"/>
    </xf>
    <xf numFmtId="0" fontId="5" fillId="5" borderId="7" xfId="0" applyFont="1" applyFill="1" applyBorder="1" applyAlignment="1" applyProtection="1">
      <alignment horizontal="center" vertical="center" wrapText="1"/>
      <protection locked="0"/>
    </xf>
    <xf numFmtId="0" fontId="5" fillId="5" borderId="3" xfId="0"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wrapText="1"/>
      <protection locked="0"/>
    </xf>
    <xf numFmtId="0" fontId="26" fillId="6" borderId="14" xfId="0" applyFont="1" applyFill="1" applyBorder="1" applyAlignment="1" applyProtection="1">
      <alignment horizontal="center" vertical="center" wrapText="1"/>
      <protection locked="0"/>
    </xf>
    <xf numFmtId="0" fontId="26" fillId="6" borderId="33" xfId="0" applyFont="1" applyFill="1" applyBorder="1" applyAlignment="1" applyProtection="1">
      <alignment horizontal="center" vertical="center" wrapText="1"/>
      <protection locked="0"/>
    </xf>
    <xf numFmtId="0" fontId="26" fillId="6" borderId="34" xfId="0" applyFont="1" applyFill="1" applyBorder="1" applyAlignment="1" applyProtection="1">
      <alignment horizontal="center" vertical="center" wrapText="1"/>
      <protection locked="0"/>
    </xf>
    <xf numFmtId="0" fontId="5" fillId="5" borderId="2" xfId="0" applyFont="1" applyFill="1" applyBorder="1" applyAlignment="1" applyProtection="1">
      <alignment horizontal="center" vertical="center" wrapText="1"/>
      <protection locked="0"/>
    </xf>
    <xf numFmtId="0" fontId="5" fillId="5" borderId="36" xfId="0" applyFont="1" applyFill="1" applyBorder="1" applyAlignment="1" applyProtection="1">
      <alignment horizontal="center" vertical="center" wrapText="1"/>
      <protection locked="0"/>
    </xf>
    <xf numFmtId="0" fontId="5" fillId="5" borderId="11" xfId="0" applyFont="1" applyFill="1" applyBorder="1" applyAlignment="1" applyProtection="1">
      <alignment horizontal="center" vertical="center" wrapText="1"/>
      <protection locked="0"/>
    </xf>
    <xf numFmtId="0" fontId="5" fillId="5" borderId="32" xfId="0" applyFont="1" applyFill="1" applyBorder="1" applyAlignment="1" applyProtection="1">
      <alignment horizontal="center" vertical="center" wrapText="1"/>
      <protection locked="0"/>
    </xf>
    <xf numFmtId="1" fontId="3" fillId="0" borderId="5" xfId="0" applyNumberFormat="1" applyFont="1" applyBorder="1" applyAlignment="1" applyProtection="1">
      <alignment horizontal="center" vertical="center" wrapText="1"/>
      <protection locked="0"/>
    </xf>
    <xf numFmtId="1" fontId="3" fillId="0" borderId="7" xfId="0" applyNumberFormat="1" applyFont="1" applyBorder="1" applyAlignment="1" applyProtection="1">
      <alignment horizontal="center" vertical="center" wrapText="1"/>
      <protection locked="0"/>
    </xf>
    <xf numFmtId="1" fontId="3" fillId="0" borderId="17" xfId="0" applyNumberFormat="1" applyFont="1" applyBorder="1" applyAlignment="1" applyProtection="1">
      <alignment horizontal="center" vertical="center" wrapText="1"/>
      <protection locked="0"/>
    </xf>
    <xf numFmtId="0" fontId="7" fillId="0" borderId="24" xfId="0" applyFont="1" applyBorder="1" applyAlignment="1" applyProtection="1">
      <alignment horizontal="center" vertical="center" wrapText="1"/>
      <protection locked="0"/>
    </xf>
    <xf numFmtId="0" fontId="7" fillId="0" borderId="28" xfId="0" applyFont="1" applyBorder="1" applyAlignment="1" applyProtection="1">
      <alignment horizontal="center" vertical="center" wrapText="1"/>
      <protection locked="0"/>
    </xf>
    <xf numFmtId="0" fontId="3" fillId="3" borderId="14" xfId="0" applyFont="1" applyFill="1" applyBorder="1" applyAlignment="1" applyProtection="1">
      <alignment horizontal="center" vertical="center" wrapText="1"/>
      <protection locked="0"/>
    </xf>
    <xf numFmtId="3" fontId="3" fillId="3" borderId="40" xfId="0" applyNumberFormat="1" applyFont="1" applyFill="1" applyBorder="1" applyAlignment="1" applyProtection="1">
      <alignment horizontal="center" vertical="center" wrapText="1"/>
      <protection locked="0"/>
    </xf>
    <xf numFmtId="0" fontId="3" fillId="3" borderId="39" xfId="0" applyFont="1" applyFill="1" applyBorder="1" applyAlignment="1" applyProtection="1">
      <alignment horizontal="center" vertical="center" wrapText="1"/>
      <protection locked="0"/>
    </xf>
    <xf numFmtId="0" fontId="3" fillId="3" borderId="41" xfId="0" applyFont="1" applyFill="1" applyBorder="1" applyAlignment="1" applyProtection="1">
      <alignment horizontal="center" vertical="center" wrapText="1"/>
      <protection locked="0"/>
    </xf>
    <xf numFmtId="0" fontId="7" fillId="0" borderId="22" xfId="0" applyFont="1" applyBorder="1" applyAlignment="1" applyProtection="1">
      <alignment horizontal="justify" vertical="center" wrapText="1"/>
      <protection locked="0"/>
    </xf>
    <xf numFmtId="0" fontId="7" fillId="0" borderId="24" xfId="0" applyFont="1" applyBorder="1" applyAlignment="1" applyProtection="1">
      <alignment horizontal="justify" vertical="center"/>
      <protection locked="0"/>
    </xf>
    <xf numFmtId="0" fontId="7" fillId="0" borderId="28" xfId="0" applyFont="1" applyBorder="1" applyAlignment="1" applyProtection="1">
      <alignment horizontal="justify" vertical="center"/>
      <protection locked="0"/>
    </xf>
    <xf numFmtId="0" fontId="5" fillId="5" borderId="3"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32"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29" xfId="0" applyFont="1" applyFill="1" applyBorder="1" applyAlignment="1">
      <alignment horizontal="center" vertical="center" wrapText="1"/>
    </xf>
    <xf numFmtId="0" fontId="5" fillId="5" borderId="4" xfId="0" applyFont="1" applyFill="1" applyBorder="1" applyAlignment="1" applyProtection="1">
      <alignment horizontal="center" vertical="center" wrapText="1"/>
      <protection locked="0"/>
    </xf>
    <xf numFmtId="0" fontId="5" fillId="5" borderId="4" xfId="0" applyFont="1" applyFill="1" applyBorder="1" applyAlignment="1">
      <alignment horizontal="center" vertical="center"/>
    </xf>
    <xf numFmtId="0" fontId="26" fillId="6" borderId="4" xfId="0" applyFont="1" applyFill="1" applyBorder="1" applyAlignment="1" applyProtection="1">
      <alignment horizontal="center" vertical="center" wrapText="1"/>
      <protection locked="0"/>
    </xf>
    <xf numFmtId="0" fontId="26" fillId="6" borderId="4" xfId="0" applyFont="1" applyFill="1" applyBorder="1" applyAlignment="1" applyProtection="1">
      <alignment horizontal="center" vertical="center"/>
      <protection locked="0"/>
    </xf>
    <xf numFmtId="0" fontId="9" fillId="5" borderId="4" xfId="0" applyFont="1" applyFill="1" applyBorder="1" applyAlignment="1" applyProtection="1">
      <alignment horizontal="center" vertical="center" wrapText="1"/>
      <protection locked="0"/>
    </xf>
    <xf numFmtId="0" fontId="9" fillId="5" borderId="4" xfId="0" applyFont="1" applyFill="1" applyBorder="1" applyAlignment="1">
      <alignment horizontal="center" vertical="center" wrapText="1"/>
    </xf>
    <xf numFmtId="0" fontId="10" fillId="6" borderId="4"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wrapText="1"/>
      <protection locked="0"/>
    </xf>
    <xf numFmtId="0" fontId="9" fillId="5" borderId="13"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16" fillId="5" borderId="13" xfId="0" applyFont="1" applyFill="1" applyBorder="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17" fillId="2" borderId="13"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9" fillId="5" borderId="4" xfId="0" applyFont="1" applyFill="1" applyBorder="1" applyAlignment="1" applyProtection="1">
      <alignment horizontal="center" vertical="center"/>
      <protection locked="0"/>
    </xf>
    <xf numFmtId="0" fontId="12" fillId="2" borderId="19" xfId="0" applyFont="1" applyFill="1" applyBorder="1" applyAlignment="1" applyProtection="1">
      <alignment horizontal="center" vertical="center" wrapText="1"/>
      <protection locked="0"/>
    </xf>
    <xf numFmtId="0" fontId="0" fillId="0" borderId="0" xfId="0" applyAlignment="1" applyProtection="1">
      <alignment horizontal="left"/>
      <protection locked="0"/>
    </xf>
  </cellXfs>
  <cellStyles count="3">
    <cellStyle name="Moneda" xfId="2" builtinId="4"/>
    <cellStyle name="Normal" xfId="0" builtinId="0"/>
    <cellStyle name="Porcentaje" xfId="1" builtinId="5"/>
  </cellStyles>
  <dxfs count="211">
    <dxf>
      <font>
        <color rgb="FF9C0006"/>
      </font>
      <fill>
        <patternFill>
          <bgColor rgb="FFFFC7CE"/>
        </patternFill>
      </fill>
    </dxf>
    <dxf>
      <font>
        <color rgb="FF9C0006"/>
      </font>
      <fill>
        <patternFill>
          <bgColor rgb="FFFFC7CE"/>
        </patternFill>
      </fill>
    </dxf>
    <dxf>
      <fill>
        <patternFill>
          <bgColor theme="2" tint="-0.24994659260841701"/>
        </patternFill>
      </fill>
    </dxf>
    <dxf>
      <fill>
        <patternFill>
          <bgColor rgb="FF92D050"/>
        </patternFill>
      </fill>
    </dxf>
    <dxf>
      <fill>
        <patternFill>
          <bgColor theme="2"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fgColor auto="1"/>
          <bgColor theme="2" tint="-0.24994659260841701"/>
        </patternFill>
      </fill>
    </dxf>
    <dxf>
      <font>
        <color rgb="FF9C0006"/>
      </font>
      <fill>
        <patternFill>
          <bgColor rgb="FFFFC7CE"/>
        </patternFill>
      </fill>
    </dxf>
    <dxf>
      <font>
        <color rgb="FF9C0006"/>
      </font>
      <fill>
        <patternFill>
          <bgColor rgb="FFFFC7CE"/>
        </patternFill>
      </fill>
    </dxf>
    <dxf>
      <fill>
        <patternFill>
          <fgColor auto="1"/>
          <bgColor theme="2" tint="-0.24994659260841701"/>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ill>
        <patternFill>
          <bgColor rgb="FFFF99FF"/>
        </patternFill>
      </fill>
    </dxf>
    <dxf>
      <fill>
        <patternFill>
          <bgColor rgb="FFFFCC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276225</xdr:colOff>
      <xdr:row>23</xdr:row>
      <xdr:rowOff>19050</xdr:rowOff>
    </xdr:from>
    <xdr:to>
      <xdr:col>8</xdr:col>
      <xdr:colOff>886910</xdr:colOff>
      <xdr:row>36</xdr:row>
      <xdr:rowOff>27017</xdr:rowOff>
    </xdr:to>
    <xdr:pic>
      <xdr:nvPicPr>
        <xdr:cNvPr id="2" name="Imagen 1">
          <a:extLst>
            <a:ext uri="{FF2B5EF4-FFF2-40B4-BE49-F238E27FC236}">
              <a16:creationId xmlns:a16="http://schemas.microsoft.com/office/drawing/2014/main" id="{5CE4B37B-D1B5-4BCF-9F24-89D9F084C576}"/>
            </a:ext>
          </a:extLst>
        </xdr:cNvPr>
        <xdr:cNvPicPr>
          <a:picLocks noChangeAspect="1"/>
        </xdr:cNvPicPr>
      </xdr:nvPicPr>
      <xdr:blipFill>
        <a:blip xmlns:r="http://schemas.openxmlformats.org/officeDocument/2006/relationships" r:embed="rId1"/>
        <a:stretch>
          <a:fillRect/>
        </a:stretch>
      </xdr:blipFill>
      <xdr:spPr>
        <a:xfrm>
          <a:off x="276225" y="4400550"/>
          <a:ext cx="7773485" cy="24844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educacionbogota-my.sharepoint.com/personal/cvelasco_educacionbogota_gov_co1/Documents/Matriz%20CONCURSO%20DE%20MERITOS-%20INTERVENTOR&#205;A%20VIGILANCIA/Evaluaci&#243;n%20definitiva/Evaluaci&#243;n%20requisitos%20habilitantes%2017102024.xlsx" TargetMode="External"/><Relationship Id="rId1" Type="http://schemas.openxmlformats.org/officeDocument/2006/relationships/externalLinkPath" Target="Evaluaci&#243;n%20requisitos%20habilitantes%2017102024.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educacionbogota-my.sharepoint.com/personal/cvelasco_educacionbogota_gov_co1/Documents/Matriz%20CONCURSO%20DE%20MERITOS-%20INTERVENTOR&#205;A%20VIGILANCIA/Evaluaci&#243;n%20definitiva/Asignaci&#243;nPuntaje%2022102024%20exp%20adicional.xlsx" TargetMode="External"/><Relationship Id="rId1" Type="http://schemas.openxmlformats.org/officeDocument/2006/relationships/externalLinkPath" Target="Asignaci&#243;nPuntaje%2022102024%20exp%20adi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8KO-3_xrXUWTWk0SatNGwZ51Nf2-sTBPhhk1zjsOjvLDNHlym0G9TpxdSL8uhlu1" itemId="01CGHARGHM2Y6EHP45AJEJRXHJSMROE3A6">
      <xxl21:absoluteUrl r:id="rId2"/>
    </xxl21:alternateUrls>
    <sheetNames>
      <sheetName val="Formato_9_Exp_Proponente"/>
      <sheetName val="Formato_12"/>
      <sheetName val="Exp_Hab_Director"/>
      <sheetName val="Exp_Hab_Coor_Ope"/>
      <sheetName val="Consolidado habilitante Técnico"/>
      <sheetName val="Listados"/>
      <sheetName val="Habilitante Económico"/>
    </sheetNames>
    <sheetDataSet>
      <sheetData sheetId="0"/>
      <sheetData sheetId="1"/>
      <sheetData sheetId="2"/>
      <sheetData sheetId="3"/>
      <sheetData sheetId="4">
        <row r="3">
          <cell r="G3" t="str">
            <v>NO HABILITADO</v>
          </cell>
        </row>
        <row r="4">
          <cell r="G4" t="str">
            <v>HABILITADO</v>
          </cell>
        </row>
        <row r="5">
          <cell r="G5" t="str">
            <v>HABILITADO</v>
          </cell>
        </row>
        <row r="6">
          <cell r="G6" t="str">
            <v>HABILITADO</v>
          </cell>
        </row>
        <row r="7">
          <cell r="G7" t="str">
            <v>HABILITADO</v>
          </cell>
        </row>
        <row r="8">
          <cell r="G8" t="str">
            <v>NO HABILITADO</v>
          </cell>
        </row>
        <row r="9">
          <cell r="G9" t="str">
            <v>HABILITADO</v>
          </cell>
        </row>
        <row r="10">
          <cell r="G10" t="str">
            <v>HABILITADO</v>
          </cell>
        </row>
        <row r="11">
          <cell r="G11" t="str">
            <v>NO HABILITADO</v>
          </cell>
        </row>
        <row r="12">
          <cell r="G12" t="str">
            <v>HABILITADO</v>
          </cell>
        </row>
        <row r="13">
          <cell r="G13" t="str">
            <v>HABILITADO</v>
          </cell>
        </row>
        <row r="14">
          <cell r="G14" t="str">
            <v>NO HABILITADO</v>
          </cell>
        </row>
        <row r="15">
          <cell r="G15" t="str">
            <v>HABILITADO</v>
          </cell>
        </row>
      </sheetData>
      <sheetData sheetId="5"/>
      <sheetData sheetId="6">
        <row r="3">
          <cell r="B3" t="str">
            <v>ARES SECURITY LTDA: NIT 900.599.147-1</v>
          </cell>
          <cell r="L3" t="str">
            <v>NO HABILITADO</v>
          </cell>
        </row>
        <row r="4">
          <cell r="B4" t="str">
            <v>GERMAN MONTENEGRO FAJARDO AUDITORES &amp; ASESORES S.A.S. BIC 900.335.334-8</v>
          </cell>
          <cell r="L4" t="str">
            <v>HABILITADO</v>
          </cell>
        </row>
        <row r="5">
          <cell r="B5" t="str">
            <v>JFS CONSULTORES S.A.S. -BIC 901.542.814-2</v>
          </cell>
          <cell r="L5" t="str">
            <v>HABILITADO</v>
          </cell>
        </row>
        <row r="6">
          <cell r="B6" t="str">
            <v>SCAIPROYEKTA S.A.S. BIC: NIT 901.476.977-1</v>
          </cell>
          <cell r="L6" t="str">
            <v>HABILITADO</v>
          </cell>
        </row>
        <row r="7">
          <cell r="B7" t="str">
            <v xml:space="preserve">UT GREM-NOVAC </v>
          </cell>
          <cell r="L7" t="str">
            <v>HABILITADO</v>
          </cell>
        </row>
        <row r="8">
          <cell r="B8" t="str">
            <v>SGA CONSULTORES S.A.S: NIT 901.549.833-4</v>
          </cell>
          <cell r="L8" t="str">
            <v>HABILITADO</v>
          </cell>
        </row>
        <row r="9">
          <cell r="B9" t="str">
            <v>SMARTY COLOMBIA SAS BIC: NIT 900249549-6</v>
          </cell>
          <cell r="L9" t="str">
            <v>HABILITADO</v>
          </cell>
        </row>
        <row r="10">
          <cell r="B10" t="str">
            <v>CONSORCIO TOOL</v>
          </cell>
          <cell r="L10" t="str">
            <v>HABILITADO</v>
          </cell>
        </row>
        <row r="11">
          <cell r="B11" t="str">
            <v>CONSORCIO INTERVENTORÍA DE VIGILANCIA 2024</v>
          </cell>
          <cell r="L11" t="str">
            <v>HABILITADO</v>
          </cell>
        </row>
        <row r="12">
          <cell r="B12" t="str">
            <v>Consultora Central S.A.S BIC</v>
          </cell>
          <cell r="L12" t="str">
            <v>HABILITADO</v>
          </cell>
        </row>
        <row r="13">
          <cell r="B13" t="str">
            <v>CONSORCIO INTERVENCIÓN Y SEGURIDAD DISTRITAL</v>
          </cell>
          <cell r="L13" t="str">
            <v>HABILITADO</v>
          </cell>
        </row>
        <row r="14">
          <cell r="B14" t="str">
            <v>Strycon Energía: NIT 901.466.510-3</v>
          </cell>
          <cell r="L14" t="str">
            <v>HABILITADO</v>
          </cell>
        </row>
        <row r="15">
          <cell r="B15" t="str">
            <v>ALIANZA INTEGRAL DE PROYECTOS SAS BIC: NIT 901.506.750-7</v>
          </cell>
          <cell r="L15" t="str">
            <v>HABILITADO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8KO-3_xrXUWTWk0SatNGwZ51Nf2-sTBPhhk1zjsOjvLDNHlym0G9TpxdSL8uhlu1" itemId="01CGHARGCH4DEJNP4CR5GYCOCIN6MWL6T4">
      <xxl21:absoluteUrl r:id="rId2"/>
    </xxl21:alternateUrls>
    <sheetNames>
      <sheetName val="Asignación_Puntaje"/>
      <sheetName val="Hoja2"/>
    </sheetNames>
    <sheetDataSet>
      <sheetData sheetId="0">
        <row r="15">
          <cell r="B15" t="str">
            <v>GERMAN MONTENEGRO FAJARDO AUDITORES &amp; ASESORES S.A.S. BIC 900.335.334-8</v>
          </cell>
          <cell r="C15">
            <v>2</v>
          </cell>
          <cell r="D15">
            <v>1042.31</v>
          </cell>
          <cell r="E15">
            <v>29.833710650194533</v>
          </cell>
        </row>
        <row r="16">
          <cell r="B16" t="str">
            <v>JFS CONSULTORES S.A.S. -BIC 901.542.814-2</v>
          </cell>
          <cell r="C16">
            <v>3</v>
          </cell>
          <cell r="D16">
            <v>1235.6691666666668</v>
          </cell>
          <cell r="E16">
            <v>29.63183085866936</v>
          </cell>
        </row>
        <row r="17">
          <cell r="B17" t="str">
            <v>SCAIPROYEKTA S.A.S. BIC: NIT 901.476.977-1</v>
          </cell>
          <cell r="C17">
            <v>4</v>
          </cell>
          <cell r="D17">
            <v>1602.3500000000001</v>
          </cell>
          <cell r="E17">
            <v>19.136440924159594</v>
          </cell>
        </row>
        <row r="18">
          <cell r="B18" t="str">
            <v xml:space="preserve">UT GREM-NOVAC </v>
          </cell>
          <cell r="C18">
            <v>5</v>
          </cell>
          <cell r="D18">
            <v>1434</v>
          </cell>
          <cell r="E18">
            <v>23.955069919334019</v>
          </cell>
        </row>
        <row r="19">
          <cell r="B19" t="str">
            <v>SMARTY COLOMBIA SAS BIC: NIT 900249549-6</v>
          </cell>
          <cell r="C19">
            <v>7</v>
          </cell>
          <cell r="D19">
            <v>1519.8700000000001</v>
          </cell>
          <cell r="E19">
            <v>21.497239970919239</v>
          </cell>
        </row>
        <row r="20">
          <cell r="B20" t="str">
            <v>CONSORCIO TOOL</v>
          </cell>
          <cell r="C20">
            <v>8</v>
          </cell>
          <cell r="D20">
            <v>982.2600000000001</v>
          </cell>
          <cell r="E20">
            <v>28.114918424710581</v>
          </cell>
        </row>
        <row r="21">
          <cell r="B21" t="str">
            <v>Consultora Central S.A.S BIC</v>
          </cell>
          <cell r="C21">
            <v>10</v>
          </cell>
          <cell r="D21">
            <v>1332.0149999999999</v>
          </cell>
          <cell r="E21">
            <v>26.874154434171345</v>
          </cell>
        </row>
        <row r="22">
          <cell r="B22" t="str">
            <v>CONSORCIO INTERVENCIÓN Y SEGURIDAD DISTRITAL</v>
          </cell>
          <cell r="C22">
            <v>11</v>
          </cell>
          <cell r="D22">
            <v>1067</v>
          </cell>
          <cell r="E22">
            <v>30.540404739240309</v>
          </cell>
        </row>
        <row r="23">
          <cell r="B23" t="str">
            <v>ALIANZA INTEGRAL DE PROYECTOS SAS BIC: NIT 901.506.750-7</v>
          </cell>
          <cell r="C23">
            <v>13</v>
          </cell>
          <cell r="D23">
            <v>1076.1140499999999</v>
          </cell>
          <cell r="E23">
            <v>30.801273320134097</v>
          </cell>
        </row>
      </sheetData>
      <sheetData sheetId="1"/>
    </sheetDataSet>
  </externalBook>
</externalLink>
</file>

<file path=xl/persons/person.xml><?xml version="1.0" encoding="utf-8"?>
<personList xmlns="http://schemas.microsoft.com/office/spreadsheetml/2018/threadedcomments" xmlns:x="http://schemas.openxmlformats.org/spreadsheetml/2006/main">
  <person displayName="EVA MARIA VERA CRUZ" id="{7432CB9F-C93F-4140-B72F-5CD75F7ADA75}" userId="S::emvera@educacionbogota.gov.co::c6af6d77-48bb-45ec-a4da-b8eaabd551a7" providerId="AD"/>
  <person displayName="CAMILO ANDRES VELASCO TRIANA" id="{CC82CB41-105F-4960-A6C4-CCE71970FA28}" userId="S::cvelasco@educacionbogota.gov.co::3c2f51c6-002c-434e-ac87-7df6e9e6a41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F7" dT="2024-10-09T16:01:48.48" personId="{CC82CB41-105F-4960-A6C4-CCE71970FA28}" id="{D8253315-C7BB-4ED2-A958-E55A456EEC4B}">
    <text>Vigencia máximo de seis meses</text>
  </threadedComment>
</ThreadedComments>
</file>

<file path=xl/threadedComments/threadedComment2.xml><?xml version="1.0" encoding="utf-8"?>
<ThreadedComments xmlns="http://schemas.microsoft.com/office/spreadsheetml/2018/threadedcomments" xmlns:x="http://schemas.openxmlformats.org/spreadsheetml/2006/main">
  <threadedComment ref="H3" dT="2024-10-19T01:56:39.66" personId="{7432CB9F-C93F-4140-B72F-5CD75F7ADA75}" id="{C938BC6D-A141-49B3-A271-3457DBFC3FA7}">
    <text xml:space="preserve">FORMULA TRM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5C6D8-BE8F-478C-ACC3-8BC36180B613}">
  <dimension ref="A1:R102"/>
  <sheetViews>
    <sheetView topLeftCell="C1" workbookViewId="0">
      <selection activeCell="I3" sqref="I3"/>
    </sheetView>
  </sheetViews>
  <sheetFormatPr baseColWidth="10" defaultColWidth="11.42578125" defaultRowHeight="15" x14ac:dyDescent="0.25"/>
  <cols>
    <col min="1" max="1" width="24.42578125" bestFit="1" customWidth="1"/>
    <col min="8" max="8" width="14.42578125" bestFit="1" customWidth="1"/>
    <col min="9" max="9" width="17.5703125" bestFit="1" customWidth="1"/>
    <col min="10" max="10" width="14.7109375" bestFit="1" customWidth="1"/>
  </cols>
  <sheetData>
    <row r="1" spans="1:18" x14ac:dyDescent="0.25">
      <c r="A1" s="11" t="s">
        <v>0</v>
      </c>
    </row>
    <row r="2" spans="1:18" x14ac:dyDescent="0.25">
      <c r="A2" s="2">
        <v>1</v>
      </c>
      <c r="C2" t="s">
        <v>1</v>
      </c>
      <c r="F2" t="s">
        <v>2</v>
      </c>
      <c r="H2" t="s">
        <v>3</v>
      </c>
      <c r="I2" s="11" t="s">
        <v>4</v>
      </c>
      <c r="J2" s="11" t="s">
        <v>5</v>
      </c>
      <c r="L2" s="11" t="s">
        <v>6</v>
      </c>
      <c r="M2" s="11" t="s">
        <v>7</v>
      </c>
      <c r="P2">
        <v>2</v>
      </c>
      <c r="Q2">
        <v>4</v>
      </c>
      <c r="R2">
        <v>4</v>
      </c>
    </row>
    <row r="3" spans="1:18" x14ac:dyDescent="0.25">
      <c r="A3" s="2">
        <v>2</v>
      </c>
      <c r="C3" t="s">
        <v>8</v>
      </c>
      <c r="F3" t="s">
        <v>9</v>
      </c>
      <c r="H3">
        <v>801015</v>
      </c>
      <c r="I3" s="50">
        <v>1351954266</v>
      </c>
      <c r="J3" s="26">
        <v>45582</v>
      </c>
      <c r="L3" s="27">
        <v>1995</v>
      </c>
      <c r="M3" s="28">
        <v>118934</v>
      </c>
      <c r="P3">
        <v>10</v>
      </c>
    </row>
    <row r="4" spans="1:18" x14ac:dyDescent="0.25">
      <c r="A4" s="2">
        <v>3</v>
      </c>
      <c r="C4" t="s">
        <v>10</v>
      </c>
      <c r="H4">
        <v>801016</v>
      </c>
      <c r="L4" s="27">
        <v>1996</v>
      </c>
      <c r="M4" s="28">
        <v>142125</v>
      </c>
      <c r="P4">
        <v>18</v>
      </c>
    </row>
    <row r="5" spans="1:18" x14ac:dyDescent="0.25">
      <c r="A5" s="2">
        <v>4</v>
      </c>
      <c r="C5" t="s">
        <v>11</v>
      </c>
      <c r="H5">
        <v>841116</v>
      </c>
      <c r="L5" s="27">
        <v>1997</v>
      </c>
      <c r="M5" s="28">
        <v>172005</v>
      </c>
      <c r="P5">
        <v>26</v>
      </c>
    </row>
    <row r="6" spans="1:18" x14ac:dyDescent="0.25">
      <c r="C6" t="s">
        <v>12</v>
      </c>
      <c r="H6" t="s">
        <v>13</v>
      </c>
      <c r="L6" s="27">
        <v>1998</v>
      </c>
      <c r="M6" s="28">
        <v>203826</v>
      </c>
      <c r="P6">
        <v>34</v>
      </c>
      <c r="R6">
        <v>5</v>
      </c>
    </row>
    <row r="7" spans="1:18" x14ac:dyDescent="0.25">
      <c r="L7" s="27">
        <v>1999</v>
      </c>
      <c r="M7" s="28">
        <v>236460</v>
      </c>
      <c r="P7">
        <v>42</v>
      </c>
      <c r="Q7">
        <v>5</v>
      </c>
    </row>
    <row r="8" spans="1:18" x14ac:dyDescent="0.25">
      <c r="L8" s="27">
        <v>2000</v>
      </c>
      <c r="M8" s="28">
        <v>260100</v>
      </c>
      <c r="P8">
        <v>50</v>
      </c>
    </row>
    <row r="9" spans="1:18" x14ac:dyDescent="0.25">
      <c r="L9" s="27">
        <v>2001</v>
      </c>
      <c r="M9" s="28">
        <v>286000</v>
      </c>
      <c r="P9">
        <v>58</v>
      </c>
    </row>
    <row r="10" spans="1:18" x14ac:dyDescent="0.25">
      <c r="L10" s="27">
        <v>2002</v>
      </c>
      <c r="M10" s="28">
        <v>309000</v>
      </c>
      <c r="P10">
        <v>66</v>
      </c>
      <c r="R10">
        <v>6</v>
      </c>
    </row>
    <row r="11" spans="1:18" x14ac:dyDescent="0.25">
      <c r="L11" s="27">
        <v>2003</v>
      </c>
      <c r="M11" s="28">
        <v>332000</v>
      </c>
      <c r="P11">
        <v>74</v>
      </c>
    </row>
    <row r="12" spans="1:18" x14ac:dyDescent="0.25">
      <c r="L12" s="27">
        <v>2004</v>
      </c>
      <c r="M12" s="28">
        <v>358000</v>
      </c>
      <c r="P12">
        <v>82</v>
      </c>
      <c r="Q12">
        <v>6</v>
      </c>
    </row>
    <row r="13" spans="1:18" x14ac:dyDescent="0.25">
      <c r="L13" s="27">
        <v>2005</v>
      </c>
      <c r="M13" s="28">
        <v>381500</v>
      </c>
      <c r="P13">
        <v>90</v>
      </c>
    </row>
    <row r="14" spans="1:18" x14ac:dyDescent="0.25">
      <c r="L14" s="27">
        <v>2006</v>
      </c>
      <c r="M14" s="28">
        <v>408000</v>
      </c>
      <c r="P14">
        <v>98</v>
      </c>
      <c r="R14">
        <v>7</v>
      </c>
    </row>
    <row r="15" spans="1:18" x14ac:dyDescent="0.25">
      <c r="L15" s="27">
        <v>2007</v>
      </c>
      <c r="M15" s="28">
        <v>433700</v>
      </c>
      <c r="P15">
        <v>106</v>
      </c>
    </row>
    <row r="16" spans="1:18" x14ac:dyDescent="0.25">
      <c r="L16" s="27">
        <v>2008</v>
      </c>
      <c r="M16" s="28">
        <v>461500</v>
      </c>
      <c r="P16">
        <v>114</v>
      </c>
    </row>
    <row r="17" spans="12:18" x14ac:dyDescent="0.25">
      <c r="L17" s="27">
        <v>2009</v>
      </c>
      <c r="M17" s="28">
        <v>496900</v>
      </c>
      <c r="P17">
        <v>122</v>
      </c>
      <c r="Q17">
        <v>7</v>
      </c>
    </row>
    <row r="18" spans="12:18" x14ac:dyDescent="0.25">
      <c r="L18" s="27">
        <v>2010</v>
      </c>
      <c r="M18" s="28">
        <v>515000</v>
      </c>
      <c r="P18">
        <v>130</v>
      </c>
      <c r="R18">
        <v>8</v>
      </c>
    </row>
    <row r="19" spans="12:18" x14ac:dyDescent="0.25">
      <c r="L19" s="27">
        <v>2011</v>
      </c>
      <c r="M19" s="28">
        <v>535600</v>
      </c>
      <c r="P19">
        <v>138</v>
      </c>
    </row>
    <row r="20" spans="12:18" x14ac:dyDescent="0.25">
      <c r="L20" s="27">
        <v>2012</v>
      </c>
      <c r="M20" s="28">
        <v>566700</v>
      </c>
      <c r="P20">
        <v>146</v>
      </c>
    </row>
    <row r="21" spans="12:18" x14ac:dyDescent="0.25">
      <c r="L21" s="27">
        <v>2013</v>
      </c>
      <c r="M21" s="28">
        <v>589500</v>
      </c>
      <c r="P21">
        <v>154</v>
      </c>
    </row>
    <row r="22" spans="12:18" x14ac:dyDescent="0.25">
      <c r="L22" s="27">
        <v>2014</v>
      </c>
      <c r="M22" s="28">
        <v>616000</v>
      </c>
      <c r="P22">
        <v>162</v>
      </c>
      <c r="Q22">
        <v>8</v>
      </c>
      <c r="R22">
        <v>9</v>
      </c>
    </row>
    <row r="23" spans="12:18" x14ac:dyDescent="0.25">
      <c r="L23" s="27">
        <v>2015</v>
      </c>
      <c r="M23" s="28">
        <v>644350</v>
      </c>
      <c r="P23">
        <v>170</v>
      </c>
    </row>
    <row r="24" spans="12:18" x14ac:dyDescent="0.25">
      <c r="L24" s="27">
        <v>2016</v>
      </c>
      <c r="M24" s="28">
        <v>689455</v>
      </c>
      <c r="P24">
        <v>178</v>
      </c>
    </row>
    <row r="25" spans="12:18" x14ac:dyDescent="0.25">
      <c r="L25" s="27">
        <v>2017</v>
      </c>
      <c r="M25" s="28">
        <v>737717</v>
      </c>
      <c r="P25">
        <v>186</v>
      </c>
    </row>
    <row r="26" spans="12:18" x14ac:dyDescent="0.25">
      <c r="L26" s="27">
        <v>2018</v>
      </c>
      <c r="M26" s="28">
        <v>781242</v>
      </c>
      <c r="P26">
        <v>194</v>
      </c>
      <c r="R26">
        <v>10</v>
      </c>
    </row>
    <row r="27" spans="12:18" x14ac:dyDescent="0.25">
      <c r="L27" s="27">
        <v>2019</v>
      </c>
      <c r="M27" s="28">
        <v>828116</v>
      </c>
      <c r="P27">
        <v>202</v>
      </c>
      <c r="Q27">
        <v>9</v>
      </c>
    </row>
    <row r="28" spans="12:18" x14ac:dyDescent="0.25">
      <c r="L28" s="27">
        <v>2020</v>
      </c>
      <c r="M28" s="28">
        <v>877803</v>
      </c>
      <c r="P28">
        <v>210</v>
      </c>
    </row>
    <row r="29" spans="12:18" x14ac:dyDescent="0.25">
      <c r="L29" s="27">
        <v>2021</v>
      </c>
      <c r="M29" s="28">
        <v>908526</v>
      </c>
    </row>
    <row r="30" spans="12:18" x14ac:dyDescent="0.25">
      <c r="L30" s="27">
        <v>2022</v>
      </c>
      <c r="M30" s="28">
        <v>1000000</v>
      </c>
      <c r="R30">
        <v>11</v>
      </c>
    </row>
    <row r="31" spans="12:18" x14ac:dyDescent="0.25">
      <c r="L31" s="27">
        <v>2023</v>
      </c>
      <c r="M31" s="28">
        <v>1160000</v>
      </c>
    </row>
    <row r="32" spans="12:18" x14ac:dyDescent="0.25">
      <c r="L32" s="27">
        <v>2024</v>
      </c>
      <c r="M32" s="28">
        <v>1300000</v>
      </c>
      <c r="Q32">
        <v>10</v>
      </c>
    </row>
    <row r="34" spans="17:18" x14ac:dyDescent="0.25">
      <c r="R34">
        <v>12</v>
      </c>
    </row>
    <row r="37" spans="17:18" x14ac:dyDescent="0.25">
      <c r="Q37">
        <v>11</v>
      </c>
    </row>
    <row r="38" spans="17:18" x14ac:dyDescent="0.25">
      <c r="R38">
        <v>13</v>
      </c>
    </row>
    <row r="42" spans="17:18" x14ac:dyDescent="0.25">
      <c r="Q42">
        <v>12</v>
      </c>
      <c r="R42">
        <v>14</v>
      </c>
    </row>
    <row r="46" spans="17:18" x14ac:dyDescent="0.25">
      <c r="R46">
        <v>15</v>
      </c>
    </row>
    <row r="47" spans="17:18" x14ac:dyDescent="0.25">
      <c r="Q47">
        <v>13</v>
      </c>
    </row>
    <row r="50" spans="17:18" x14ac:dyDescent="0.25">
      <c r="R50">
        <v>16</v>
      </c>
    </row>
    <row r="52" spans="17:18" x14ac:dyDescent="0.25">
      <c r="Q52">
        <v>14</v>
      </c>
    </row>
    <row r="54" spans="17:18" x14ac:dyDescent="0.25">
      <c r="R54">
        <v>17</v>
      </c>
    </row>
    <row r="57" spans="17:18" x14ac:dyDescent="0.25">
      <c r="Q57">
        <v>15</v>
      </c>
    </row>
    <row r="58" spans="17:18" x14ac:dyDescent="0.25">
      <c r="R58">
        <v>18</v>
      </c>
    </row>
    <row r="62" spans="17:18" x14ac:dyDescent="0.25">
      <c r="Q62">
        <v>16</v>
      </c>
      <c r="R62">
        <v>19</v>
      </c>
    </row>
    <row r="66" spans="17:18" x14ac:dyDescent="0.25">
      <c r="R66">
        <v>20</v>
      </c>
    </row>
    <row r="67" spans="17:18" x14ac:dyDescent="0.25">
      <c r="Q67">
        <v>17</v>
      </c>
    </row>
    <row r="70" spans="17:18" x14ac:dyDescent="0.25">
      <c r="R70">
        <v>21</v>
      </c>
    </row>
    <row r="72" spans="17:18" x14ac:dyDescent="0.25">
      <c r="Q72">
        <v>18</v>
      </c>
    </row>
    <row r="74" spans="17:18" x14ac:dyDescent="0.25">
      <c r="R74">
        <v>22</v>
      </c>
    </row>
    <row r="77" spans="17:18" x14ac:dyDescent="0.25">
      <c r="Q77">
        <v>19</v>
      </c>
    </row>
    <row r="78" spans="17:18" x14ac:dyDescent="0.25">
      <c r="R78">
        <v>23</v>
      </c>
    </row>
    <row r="82" spans="17:18" x14ac:dyDescent="0.25">
      <c r="Q82">
        <v>20</v>
      </c>
      <c r="R82">
        <v>24</v>
      </c>
    </row>
    <row r="87" spans="17:18" x14ac:dyDescent="0.25">
      <c r="Q87">
        <v>21</v>
      </c>
    </row>
    <row r="92" spans="17:18" x14ac:dyDescent="0.25">
      <c r="Q92">
        <v>22</v>
      </c>
    </row>
    <row r="97" spans="17:17" x14ac:dyDescent="0.25">
      <c r="Q97">
        <v>23</v>
      </c>
    </row>
    <row r="102" spans="17:17" x14ac:dyDescent="0.25">
      <c r="Q102">
        <v>24</v>
      </c>
    </row>
  </sheetData>
  <sheetProtection algorithmName="SHA-512" hashValue="H283GGpHMnWfS+qpPclzsmQeTVQ+iwLDi8PCKWKhjCL0vEAQ6Xl7ufVv4jQOPE7Dd+mRwJ+Jm8xhqVpE8DEXBQ==" saltValue="EsOiQcsiIQZIFh7QLXN6Xw=="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3B49D-4880-4645-86F6-E12A727A0AD6}">
  <dimension ref="A1:AC53"/>
  <sheetViews>
    <sheetView zoomScaleNormal="100" workbookViewId="0">
      <pane xSplit="1" ySplit="1" topLeftCell="B32" activePane="bottomRight" state="frozen"/>
      <selection pane="topRight" activeCell="B1" sqref="B1"/>
      <selection pane="bottomLeft" activeCell="A2" sqref="A2"/>
      <selection pane="bottomRight" activeCell="AA6" sqref="AA6:AA9"/>
    </sheetView>
  </sheetViews>
  <sheetFormatPr baseColWidth="10" defaultColWidth="11.42578125" defaultRowHeight="11.25" x14ac:dyDescent="0.2"/>
  <cols>
    <col min="1" max="1" width="11.42578125" style="51"/>
    <col min="2" max="2" width="23.42578125" style="42" bestFit="1" customWidth="1"/>
    <col min="3" max="3" width="44.85546875" style="42" customWidth="1"/>
    <col min="4" max="5" width="13.28515625" style="51" customWidth="1"/>
    <col min="6" max="6" width="16.7109375" style="51" customWidth="1"/>
    <col min="7" max="7" width="19.140625" style="42" bestFit="1" customWidth="1"/>
    <col min="8" max="8" width="47.7109375" style="42" customWidth="1"/>
    <col min="9" max="9" width="68.140625" style="42" customWidth="1"/>
    <col min="10" max="10" width="24.42578125" style="42" customWidth="1"/>
    <col min="11" max="11" width="14.140625" style="42" bestFit="1" customWidth="1"/>
    <col min="12" max="13" width="11.42578125" style="42"/>
    <col min="14" max="14" width="17.7109375" style="42" customWidth="1"/>
    <col min="15" max="15" width="16.28515625" style="42" customWidth="1"/>
    <col min="16" max="16" width="17.85546875" style="42" bestFit="1" customWidth="1"/>
    <col min="17" max="19" width="15.140625" style="42" customWidth="1"/>
    <col min="20" max="20" width="16.7109375" style="42" customWidth="1"/>
    <col min="21" max="21" width="12.5703125" style="42" customWidth="1"/>
    <col min="22" max="22" width="42" style="42" customWidth="1"/>
    <col min="23" max="25" width="14.7109375" style="42" customWidth="1"/>
    <col min="26" max="27" width="13.42578125" style="42" customWidth="1"/>
    <col min="28" max="28" width="18.28515625" style="42" customWidth="1"/>
    <col min="29" max="29" width="35.7109375" style="42" customWidth="1"/>
    <col min="30" max="16384" width="11.42578125" style="42"/>
  </cols>
  <sheetData>
    <row r="1" spans="1:29" s="1" customFormat="1" ht="77.25" thickBot="1" x14ac:dyDescent="0.3">
      <c r="A1" s="3" t="s">
        <v>14</v>
      </c>
      <c r="B1" s="3" t="s">
        <v>15</v>
      </c>
      <c r="C1" s="3" t="s">
        <v>16</v>
      </c>
      <c r="D1" s="3" t="s">
        <v>17</v>
      </c>
      <c r="E1" s="3" t="s">
        <v>18</v>
      </c>
      <c r="F1" s="3" t="s">
        <v>19</v>
      </c>
      <c r="G1" s="3" t="s">
        <v>20</v>
      </c>
      <c r="H1" s="3" t="s">
        <v>21</v>
      </c>
      <c r="I1" s="3" t="s">
        <v>22</v>
      </c>
      <c r="J1" s="3" t="s">
        <v>23</v>
      </c>
      <c r="K1" s="3" t="s">
        <v>24</v>
      </c>
      <c r="L1" s="4" t="s">
        <v>25</v>
      </c>
      <c r="M1" s="4" t="s">
        <v>26</v>
      </c>
      <c r="N1" s="4" t="s">
        <v>27</v>
      </c>
      <c r="O1" s="3" t="s">
        <v>28</v>
      </c>
      <c r="P1" s="3" t="s">
        <v>29</v>
      </c>
      <c r="Q1" s="3" t="s">
        <v>30</v>
      </c>
      <c r="R1" s="29" t="s">
        <v>31</v>
      </c>
      <c r="S1" s="3" t="s">
        <v>32</v>
      </c>
      <c r="T1" s="3" t="s">
        <v>33</v>
      </c>
      <c r="U1" s="3" t="s">
        <v>34</v>
      </c>
      <c r="V1" s="3" t="s">
        <v>35</v>
      </c>
      <c r="W1" s="3" t="s">
        <v>36</v>
      </c>
      <c r="X1" s="3" t="s">
        <v>37</v>
      </c>
      <c r="Y1" s="3" t="s">
        <v>38</v>
      </c>
      <c r="Z1" s="3" t="s">
        <v>39</v>
      </c>
      <c r="AA1" s="3" t="s">
        <v>40</v>
      </c>
      <c r="AB1" s="36" t="s">
        <v>41</v>
      </c>
      <c r="AC1" s="3" t="s">
        <v>42</v>
      </c>
    </row>
    <row r="2" spans="1:29" ht="13.5" x14ac:dyDescent="0.2">
      <c r="A2" s="182">
        <v>1</v>
      </c>
      <c r="B2" s="185" t="str" cm="1">
        <f t="array" aca="1" ref="B2" ca="1">IF(INDIRECT("Consolidado!B"&amp;LISTADO!R2)="","",INDIRECT("Consolidado!B"&amp;LISTADO!R2))</f>
        <v>ARES SECURITY LTDA: NIT 900.599.147-1</v>
      </c>
      <c r="C2" s="52" t="str">
        <f ca="1">B2</f>
        <v>ARES SECURITY LTDA: NIT 900.599.147-1</v>
      </c>
      <c r="D2" s="5">
        <v>1</v>
      </c>
      <c r="E2" s="188">
        <f>LISTADO!$I$3*0.6</f>
        <v>811172559.60000002</v>
      </c>
      <c r="F2" s="191">
        <f>E2/LISTADO!$M$32</f>
        <v>623.97889199999997</v>
      </c>
      <c r="G2" s="37"/>
      <c r="H2" s="6"/>
      <c r="I2" s="37"/>
      <c r="J2" s="37"/>
      <c r="K2" s="5"/>
      <c r="L2" s="33"/>
      <c r="M2" s="33"/>
      <c r="N2" s="54" t="str">
        <f>IF(M2&lt;&gt;"",IF(M2&gt;LISTADO!$J$3,"NO CUMPLE","CUMPLE"),"")</f>
        <v/>
      </c>
      <c r="O2" s="7"/>
      <c r="P2" s="57" t="str">
        <f>IF(O2&gt;0,K2*O2,"")</f>
        <v/>
      </c>
      <c r="Q2" s="58" t="str">
        <f>IFERROR((P2/_xlfn.XLOOKUP(YEAR(M2),LISTADO!$L$3:$L$32,LISTADO!$M$3:$M$32)),"")</f>
        <v/>
      </c>
      <c r="R2" s="39"/>
      <c r="S2" s="63" t="str">
        <f>IF(W2="CUMPLE",IFERROR(R2*LISTADO!$M$32,"0"),"")</f>
        <v/>
      </c>
      <c r="T2" s="40"/>
      <c r="U2" s="37"/>
      <c r="V2" s="41"/>
      <c r="W2" s="54" t="str">
        <f>IF(COUNTBLANK(J2)+COUNTBLANK(N2)+COUNTBLANK(T2)=3,"",IF(COUNTIF(J2,"CUMPLE")+COUNTIF(N2,"CUMPLE")+COUNTIF(T2,"801015")+COUNTIF(T2,"801016")+COUNTIF(T2,"841116")=3,IF(V2="","CUMPLE","NO CUMPLE"),"NO CUMPLE"))</f>
        <v/>
      </c>
      <c r="X2" s="194" t="str">
        <f>IF(G2&gt;0,SUMIFS(S2:S5,W2:W5,"CUMPLE"),"")</f>
        <v/>
      </c>
      <c r="Y2" s="194" t="str">
        <f>IF(X2="","",IF(X2&gt;=E2,"CUMPLE","NO CUMPLE"))</f>
        <v/>
      </c>
      <c r="Z2" s="197" t="str">
        <f>IF(Y2="","",IF(Y2="CUMPLE",SUMIFS(R2:R5,W2:W5,"CUMPLE"),0))</f>
        <v/>
      </c>
      <c r="AA2" s="197" t="str">
        <f>IFERROR(Z2/COUNTIF(W2:W5,"CUMPLE"),"")</f>
        <v/>
      </c>
      <c r="AB2" s="202" t="str">
        <f ca="1">VLOOKUP(B2,Consolidado!$B$4:$H$16,7,0)</f>
        <v/>
      </c>
      <c r="AC2" s="179" t="s">
        <v>43</v>
      </c>
    </row>
    <row r="3" spans="1:29" ht="13.5" x14ac:dyDescent="0.2">
      <c r="A3" s="183"/>
      <c r="B3" s="186"/>
      <c r="C3" s="53"/>
      <c r="D3" s="9"/>
      <c r="E3" s="189"/>
      <c r="F3" s="192"/>
      <c r="G3" s="38"/>
      <c r="H3" s="8"/>
      <c r="I3" s="38"/>
      <c r="J3" s="38"/>
      <c r="K3" s="9"/>
      <c r="L3" s="34"/>
      <c r="M3" s="34"/>
      <c r="N3" s="55" t="str">
        <f>IF(M3&lt;&gt;"",IF(M3&gt;LISTADO!$J$3,"NO CUMPLE","CUMPLE"),"")</f>
        <v/>
      </c>
      <c r="O3" s="10"/>
      <c r="P3" s="59" t="str">
        <f t="shared" ref="P3:P5" si="0">IF(O3&gt;0,K3*O3,"")</f>
        <v/>
      </c>
      <c r="Q3" s="60" t="str">
        <f>IFERROR((P3/_xlfn.XLOOKUP(YEAR(M3),LISTADO!$L$3:$L$32,LISTADO!$M$3:$M$32)),"")</f>
        <v/>
      </c>
      <c r="R3" s="43"/>
      <c r="S3" s="64" t="str">
        <f>IF(W3="CUMPLE",IFERROR(R3*LISTADO!$M$32,"0"),"")</f>
        <v/>
      </c>
      <c r="T3" s="44"/>
      <c r="U3" s="38"/>
      <c r="V3" s="38"/>
      <c r="W3" s="55" t="str">
        <f t="shared" ref="W3:W5" si="1">IF(COUNTBLANK(J3)+COUNTBLANK(N3)+COUNTBLANK(T3)=3,"",IF(COUNTIF(J3,"CUMPLE")+COUNTIF(N3,"CUMPLE")+COUNTIF(T3,"801015")+COUNTIF(T3,"801016")+COUNTIF(T3,"841116")=3,IF(V3="","CUMPLE","NO CUMPLE"),"NO CUMPLE"))</f>
        <v/>
      </c>
      <c r="X3" s="195"/>
      <c r="Y3" s="195"/>
      <c r="Z3" s="198"/>
      <c r="AA3" s="200"/>
      <c r="AB3" s="203"/>
      <c r="AC3" s="180"/>
    </row>
    <row r="4" spans="1:29" ht="13.5" x14ac:dyDescent="0.2">
      <c r="A4" s="183"/>
      <c r="B4" s="186"/>
      <c r="C4" s="38"/>
      <c r="D4" s="45"/>
      <c r="E4" s="189"/>
      <c r="F4" s="192"/>
      <c r="G4" s="38"/>
      <c r="H4" s="8"/>
      <c r="I4" s="38"/>
      <c r="J4" s="38"/>
      <c r="K4" s="9"/>
      <c r="L4" s="34"/>
      <c r="M4" s="34"/>
      <c r="N4" s="55" t="str">
        <f>IF(M4&lt;&gt;"",IF(M4&gt;LISTADO!$J$3,"NO CUMPLE","CUMPLE"),"")</f>
        <v/>
      </c>
      <c r="O4" s="10"/>
      <c r="P4" s="59" t="str">
        <f t="shared" si="0"/>
        <v/>
      </c>
      <c r="Q4" s="60" t="str">
        <f>IFERROR((P4/_xlfn.XLOOKUP(YEAR(M4),LISTADO!$L$3:$L$32,LISTADO!$M$3:$M$32)),"")</f>
        <v/>
      </c>
      <c r="R4" s="43"/>
      <c r="S4" s="64" t="str">
        <f>IF(W4="CUMPLE",IFERROR(R4*LISTADO!$M$32,"0"),"")</f>
        <v/>
      </c>
      <c r="T4" s="44"/>
      <c r="U4" s="38"/>
      <c r="V4" s="38"/>
      <c r="W4" s="55" t="str">
        <f t="shared" si="1"/>
        <v/>
      </c>
      <c r="X4" s="195"/>
      <c r="Y4" s="195"/>
      <c r="Z4" s="198"/>
      <c r="AA4" s="200"/>
      <c r="AB4" s="203"/>
      <c r="AC4" s="180"/>
    </row>
    <row r="5" spans="1:29" ht="30" customHeight="1" thickBot="1" x14ac:dyDescent="0.25">
      <c r="A5" s="184"/>
      <c r="B5" s="187"/>
      <c r="C5" s="46"/>
      <c r="D5" s="47"/>
      <c r="E5" s="190"/>
      <c r="F5" s="193"/>
      <c r="G5" s="46"/>
      <c r="H5" s="30"/>
      <c r="I5" s="46"/>
      <c r="J5" s="46"/>
      <c r="K5" s="31"/>
      <c r="L5" s="35"/>
      <c r="M5" s="35"/>
      <c r="N5" s="56" t="str">
        <f>IF(M5&lt;&gt;"",IF(M5&gt;LISTADO!$J$3,"NO CUMPLE","CUMPLE"),"")</f>
        <v/>
      </c>
      <c r="O5" s="32"/>
      <c r="P5" s="61" t="str">
        <f t="shared" si="0"/>
        <v/>
      </c>
      <c r="Q5" s="62" t="str">
        <f>IFERROR((P5/_xlfn.XLOOKUP(YEAR(M5),LISTADO!$L$3:$L$32,LISTADO!$M$3:$M$32)),"")</f>
        <v/>
      </c>
      <c r="R5" s="48"/>
      <c r="S5" s="65" t="str">
        <f>IF(W5="CUMPLE",IFERROR(R5*LISTADO!$M$32,"0"),"")</f>
        <v/>
      </c>
      <c r="T5" s="49"/>
      <c r="U5" s="46"/>
      <c r="V5" s="46"/>
      <c r="W5" s="56" t="str">
        <f t="shared" si="1"/>
        <v/>
      </c>
      <c r="X5" s="196"/>
      <c r="Y5" s="196"/>
      <c r="Z5" s="199"/>
      <c r="AA5" s="201"/>
      <c r="AB5" s="204"/>
      <c r="AC5" s="181"/>
    </row>
    <row r="6" spans="1:29" ht="105.75" customHeight="1" x14ac:dyDescent="0.2">
      <c r="A6" s="182">
        <v>2</v>
      </c>
      <c r="B6" s="185" t="str" cm="1">
        <f t="array" aca="1" ref="B6" ca="1">IF(INDIRECT("Consolidado!B"&amp;LISTADO!R6)="","",INDIRECT("Consolidado!B"&amp;LISTADO!R6))</f>
        <v>GERMAN MONTENEGRO FAJARDO AUDITORES &amp; ASESORES S.A.S. BIC 900.335.334-8</v>
      </c>
      <c r="C6" s="52" t="str">
        <f ca="1">B6</f>
        <v>GERMAN MONTENEGRO FAJARDO AUDITORES &amp; ASESORES S.A.S. BIC 900.335.334-8</v>
      </c>
      <c r="D6" s="5">
        <v>1</v>
      </c>
      <c r="E6" s="188">
        <f>LISTADO!$I$3*0.6</f>
        <v>811172559.60000002</v>
      </c>
      <c r="F6" s="191">
        <f>E6/LISTADO!$M$32</f>
        <v>623.97889199999997</v>
      </c>
      <c r="G6" s="37">
        <v>1</v>
      </c>
      <c r="H6" s="6" t="s">
        <v>44</v>
      </c>
      <c r="I6" s="37" t="s">
        <v>45</v>
      </c>
      <c r="J6" s="37" t="s">
        <v>2</v>
      </c>
      <c r="K6" s="5">
        <v>1</v>
      </c>
      <c r="L6" s="33">
        <v>44096</v>
      </c>
      <c r="M6" s="33">
        <v>44264</v>
      </c>
      <c r="N6" s="54" t="str">
        <f>IF(M6&lt;&gt;"",IF(M6&gt;LISTADO!$J$3,"NO CUMPLE","CUMPLE"),"")</f>
        <v>CUMPLE</v>
      </c>
      <c r="O6" s="7">
        <v>912758679</v>
      </c>
      <c r="P6" s="57">
        <f>IF(O6&gt;0,K6*O6,"")</f>
        <v>912758679</v>
      </c>
      <c r="Q6" s="58">
        <f>IFERROR((P6/_xlfn.XLOOKUP(YEAR(M6),LISTADO!$L$3:$L$32,LISTADO!$M$3:$M$32)),"")</f>
        <v>1004.6588419043594</v>
      </c>
      <c r="R6" s="39">
        <v>1004.65</v>
      </c>
      <c r="S6" s="63">
        <f>IF(W6="CUMPLE",IFERROR(R6*LISTADO!$M$32,"0"),"")</f>
        <v>1306045000</v>
      </c>
      <c r="T6" s="40">
        <v>801015</v>
      </c>
      <c r="U6" s="37">
        <v>143</v>
      </c>
      <c r="V6" s="41"/>
      <c r="W6" s="54" t="str">
        <f>IF(COUNTBLANK(J6)+COUNTBLANK(N6)+COUNTBLANK(T6)=3,"",IF(COUNTIF(J6,"CUMPLE")+COUNTIF(N6,"CUMPLE")+COUNTIF(T6,"801015")+COUNTIF(T6,"801016")+COUNTIF(T6,"841116")=3,IF(V6="","CUMPLE","NO CUMPLE"),"NO CUMPLE"))</f>
        <v>CUMPLE</v>
      </c>
      <c r="X6" s="194">
        <f>IF(G6&gt;0,SUMIFS(S6:S9,W6:W9,"CUMPLE"),"")</f>
        <v>4065009000</v>
      </c>
      <c r="Y6" s="194" t="str">
        <f>IF(X6="","",IF(X6&gt;=E6,"CUMPLE","NO CUMPLE"))</f>
        <v>CUMPLE</v>
      </c>
      <c r="Z6" s="197">
        <f>IF(Y6="","",IF(Y6="CUMPLE",SUMIFS(R6:R9,W6:W9,"CUMPLE"),0))</f>
        <v>3126.93</v>
      </c>
      <c r="AA6" s="197">
        <f>IFERROR(Z6/COUNTIF(W6:W9,"CUMPLE"),"")</f>
        <v>1042.31</v>
      </c>
      <c r="AB6" s="202">
        <f ca="1">VLOOKUP(B6,Consolidado!$B$4:$H$16,7,0)</f>
        <v>29.833710650194533</v>
      </c>
      <c r="AC6" s="205"/>
    </row>
    <row r="7" spans="1:29" ht="132" customHeight="1" x14ac:dyDescent="0.2">
      <c r="A7" s="183"/>
      <c r="B7" s="186"/>
      <c r="C7" s="53"/>
      <c r="D7" s="9"/>
      <c r="E7" s="189"/>
      <c r="F7" s="192"/>
      <c r="G7" s="38">
        <v>2</v>
      </c>
      <c r="H7" s="53" t="s">
        <v>46</v>
      </c>
      <c r="I7" s="38" t="s">
        <v>45</v>
      </c>
      <c r="J7" s="38" t="s">
        <v>2</v>
      </c>
      <c r="K7" s="9">
        <v>1</v>
      </c>
      <c r="L7" s="34">
        <v>44494</v>
      </c>
      <c r="M7" s="34">
        <v>44693</v>
      </c>
      <c r="N7" s="55" t="str">
        <f>IF(M7&lt;&gt;"",IF(M7&gt;LISTADO!$J$3,"NO CUMPLE","CUMPLE"),"")</f>
        <v>CUMPLE</v>
      </c>
      <c r="O7" s="10">
        <v>1300876543</v>
      </c>
      <c r="P7" s="59">
        <f t="shared" ref="P7:P9" si="2">IF(O7&gt;0,K7*O7,"")</f>
        <v>1300876543</v>
      </c>
      <c r="Q7" s="60">
        <f>IFERROR((P7/_xlfn.XLOOKUP(YEAR(M7),LISTADO!$L$3:$L$32,LISTADO!$M$3:$M$32)),"")</f>
        <v>1300.8765430000001</v>
      </c>
      <c r="R7" s="43">
        <v>1300.8699999999999</v>
      </c>
      <c r="S7" s="64">
        <f>IF(W7="CUMPLE",IFERROR(R7*LISTADO!$M$32,"0"),"")</f>
        <v>1691130999.9999998</v>
      </c>
      <c r="T7" s="44">
        <v>801015</v>
      </c>
      <c r="U7" s="38">
        <v>166</v>
      </c>
      <c r="V7" s="38"/>
      <c r="W7" s="55" t="str">
        <f t="shared" ref="W7:W9" si="3">IF(COUNTBLANK(J7)+COUNTBLANK(N7)+COUNTBLANK(T7)=3,"",IF(COUNTIF(J7,"CUMPLE")+COUNTIF(N7,"CUMPLE")+COUNTIF(T7,"801015")+COUNTIF(T7,"801016")+COUNTIF(T7,"841116")=3,IF(V7="","CUMPLE","NO CUMPLE"),"NO CUMPLE"))</f>
        <v>CUMPLE</v>
      </c>
      <c r="X7" s="195"/>
      <c r="Y7" s="195"/>
      <c r="Z7" s="198"/>
      <c r="AA7" s="200"/>
      <c r="AB7" s="203"/>
      <c r="AC7" s="206"/>
    </row>
    <row r="8" spans="1:29" ht="148.5" x14ac:dyDescent="0.2">
      <c r="A8" s="183"/>
      <c r="B8" s="186"/>
      <c r="C8" s="38"/>
      <c r="D8" s="45"/>
      <c r="E8" s="189"/>
      <c r="F8" s="192"/>
      <c r="G8" s="38">
        <v>3</v>
      </c>
      <c r="H8" s="8" t="s">
        <v>47</v>
      </c>
      <c r="I8" s="38" t="s">
        <v>45</v>
      </c>
      <c r="J8" s="38" t="s">
        <v>2</v>
      </c>
      <c r="K8" s="9">
        <v>1</v>
      </c>
      <c r="L8" s="34">
        <v>44235</v>
      </c>
      <c r="M8" s="34">
        <v>44542</v>
      </c>
      <c r="N8" s="55" t="str">
        <f>IF(M8&lt;&gt;"",IF(M8&gt;LISTADO!$J$3,"NO CUMPLE","CUMPLE"),"")</f>
        <v>CUMPLE</v>
      </c>
      <c r="O8" s="10">
        <v>746278598.94000006</v>
      </c>
      <c r="P8" s="59">
        <f t="shared" si="2"/>
        <v>746278598.94000006</v>
      </c>
      <c r="Q8" s="60">
        <f>IFERROR((P8/_xlfn.XLOOKUP(YEAR(M8),LISTADO!$L$3:$L$32,LISTADO!$M$3:$M$32)),"")</f>
        <v>821.41688728776069</v>
      </c>
      <c r="R8" s="43">
        <v>821.41</v>
      </c>
      <c r="S8" s="64">
        <f>IF(W8="CUMPLE",IFERROR(R8*LISTADO!$M$32,"0"),"")</f>
        <v>1067833000</v>
      </c>
      <c r="T8" s="44">
        <v>801015</v>
      </c>
      <c r="U8" s="38">
        <v>167</v>
      </c>
      <c r="V8" s="38"/>
      <c r="W8" s="55" t="str">
        <f t="shared" si="3"/>
        <v>CUMPLE</v>
      </c>
      <c r="X8" s="195"/>
      <c r="Y8" s="195"/>
      <c r="Z8" s="198"/>
      <c r="AA8" s="200"/>
      <c r="AB8" s="203"/>
      <c r="AC8" s="206"/>
    </row>
    <row r="9" spans="1:29" ht="14.25" thickBot="1" x14ac:dyDescent="0.25">
      <c r="A9" s="184"/>
      <c r="B9" s="187"/>
      <c r="C9" s="46"/>
      <c r="D9" s="47"/>
      <c r="E9" s="190"/>
      <c r="F9" s="193"/>
      <c r="G9" s="46"/>
      <c r="H9" s="30"/>
      <c r="I9" s="46"/>
      <c r="J9" s="46"/>
      <c r="K9" s="31"/>
      <c r="L9" s="35"/>
      <c r="M9" s="35"/>
      <c r="N9" s="56" t="str">
        <f>IF(M9&lt;&gt;"",IF(M9&gt;LISTADO!$J$3,"NO CUMPLE","CUMPLE"),"")</f>
        <v/>
      </c>
      <c r="O9" s="32"/>
      <c r="P9" s="61" t="str">
        <f t="shared" si="2"/>
        <v/>
      </c>
      <c r="Q9" s="62" t="str">
        <f>IFERROR((P9/_xlfn.XLOOKUP(YEAR(M9),LISTADO!$L$3:$L$32,LISTADO!$M$3:$M$32)),"")</f>
        <v/>
      </c>
      <c r="R9" s="48"/>
      <c r="S9" s="65" t="str">
        <f>IF(W9="CUMPLE",IFERROR(R9*LISTADO!$M$32,"0"),"")</f>
        <v/>
      </c>
      <c r="T9" s="49"/>
      <c r="U9" s="46"/>
      <c r="V9" s="46"/>
      <c r="W9" s="56" t="str">
        <f t="shared" si="3"/>
        <v/>
      </c>
      <c r="X9" s="196"/>
      <c r="Y9" s="196"/>
      <c r="Z9" s="199"/>
      <c r="AA9" s="201"/>
      <c r="AB9" s="204"/>
      <c r="AC9" s="207"/>
    </row>
    <row r="10" spans="1:29" ht="66.75" x14ac:dyDescent="0.2">
      <c r="A10" s="182">
        <v>3</v>
      </c>
      <c r="B10" s="185" t="str" cm="1">
        <f t="array" aca="1" ref="B10" ca="1">IF(INDIRECT("Consolidado!B"&amp;LISTADO!R10)="","",INDIRECT("Consolidado!B"&amp;LISTADO!R10))</f>
        <v>JFS CONSULTORES S.A.S. -BIC 901.542.814-2</v>
      </c>
      <c r="C10" s="52" t="str">
        <f ca="1">B10</f>
        <v>JFS CONSULTORES S.A.S. -BIC 901.542.814-2</v>
      </c>
      <c r="D10" s="5">
        <v>1</v>
      </c>
      <c r="E10" s="188">
        <f>LISTADO!$I$3*0.6</f>
        <v>811172559.60000002</v>
      </c>
      <c r="F10" s="191">
        <f>E10/LISTADO!$M$32</f>
        <v>623.97889199999997</v>
      </c>
      <c r="G10" s="37">
        <v>1</v>
      </c>
      <c r="H10" s="145" t="s">
        <v>48</v>
      </c>
      <c r="I10" s="37" t="s">
        <v>49</v>
      </c>
      <c r="J10" s="37" t="s">
        <v>2</v>
      </c>
      <c r="K10" s="5">
        <v>0.75</v>
      </c>
      <c r="L10" s="33">
        <v>44356</v>
      </c>
      <c r="M10" s="33">
        <v>44773</v>
      </c>
      <c r="N10" s="54" t="str">
        <f>IF(M10&lt;&gt;"",IF(M10&gt;LISTADO!$J$3,"NO CUMPLE","CUMPLE"),"")</f>
        <v>CUMPLE</v>
      </c>
      <c r="O10" s="7">
        <v>4417825389</v>
      </c>
      <c r="P10" s="57">
        <f>IF(O10&gt;0,K10*O10,"")</f>
        <v>3313369041.75</v>
      </c>
      <c r="Q10" s="58">
        <f>IFERROR((P10/_xlfn.XLOOKUP(YEAR(M10),LISTADO!$L$3:$L$32,LISTADO!$M$3:$M$32)),"")</f>
        <v>3313.3690417500002</v>
      </c>
      <c r="R10" s="39">
        <f>3808.47*0.75</f>
        <v>2856.3525</v>
      </c>
      <c r="S10" s="63">
        <f>IF(W10="CUMPLE",IFERROR(R10*LISTADO!$M$32,"0"),"")</f>
        <v>3713258250</v>
      </c>
      <c r="T10" s="40">
        <v>801015</v>
      </c>
      <c r="U10" s="37">
        <v>139</v>
      </c>
      <c r="V10" s="41"/>
      <c r="W10" s="54" t="str">
        <f>IF(COUNTBLANK(J10)+COUNTBLANK(N10)+COUNTBLANK(T10)=3,"",IF(COUNTIF(J10,"CUMPLE")+COUNTIF(N10,"CUMPLE")+COUNTIF(T10,"801015")+COUNTIF(T10,"801016")+COUNTIF(T10,"841116")=3,IF(V10="","CUMPLE","NO CUMPLE"),"NO CUMPLE"))</f>
        <v>CUMPLE</v>
      </c>
      <c r="X10" s="194">
        <f>IF(G10&gt;0,SUMIFS(S10:S13,W10:W13,"CUMPLE"),"")</f>
        <v>4819109750</v>
      </c>
      <c r="Y10" s="194" t="str">
        <f>IF(X10="","",IF(X10&gt;=E10,"CUMPLE","NO CUMPLE"))</f>
        <v>CUMPLE</v>
      </c>
      <c r="Z10" s="197">
        <f>IF(Y10="","",IF(Y10="CUMPLE",SUMIFS(R10:R13,W10:W13,"CUMPLE"),0))</f>
        <v>3707.0075000000002</v>
      </c>
      <c r="AA10" s="197">
        <f>IFERROR(Z10/COUNTIF(W10:W13,"CUMPLE"),"")</f>
        <v>1235.6691666666668</v>
      </c>
      <c r="AB10" s="202">
        <f ca="1">VLOOKUP(B10,Consolidado!$B$4:$H$16,7,0)</f>
        <v>29.63183085866936</v>
      </c>
      <c r="AC10" s="179" t="s">
        <v>50</v>
      </c>
    </row>
    <row r="11" spans="1:29" ht="53.25" x14ac:dyDescent="0.2">
      <c r="A11" s="183"/>
      <c r="B11" s="186"/>
      <c r="C11" s="53"/>
      <c r="D11" s="9"/>
      <c r="E11" s="189"/>
      <c r="F11" s="192"/>
      <c r="G11" s="38">
        <v>2</v>
      </c>
      <c r="H11" s="163" t="s">
        <v>51</v>
      </c>
      <c r="I11" s="38" t="s">
        <v>49</v>
      </c>
      <c r="J11" s="38" t="s">
        <v>2</v>
      </c>
      <c r="K11" s="9">
        <v>0.5</v>
      </c>
      <c r="L11" s="34">
        <v>44053</v>
      </c>
      <c r="M11" s="34">
        <v>44332</v>
      </c>
      <c r="N11" s="55" t="str">
        <f>IF(M11&lt;&gt;"",IF(M11&gt;LISTADO!$J$3,"NO CUMPLE","CUMPLE"),"")</f>
        <v>CUMPLE</v>
      </c>
      <c r="O11" s="10">
        <v>1414843730</v>
      </c>
      <c r="P11" s="59">
        <f t="shared" ref="P11:P13" si="4">IF(O11&gt;0,K11*O11,"")</f>
        <v>707421865</v>
      </c>
      <c r="Q11" s="60">
        <f>IFERROR((P11/_xlfn.XLOOKUP(YEAR(M11),LISTADO!$L$3:$L$32,LISTADO!$M$3:$M$32)),"")</f>
        <v>778.64790330711503</v>
      </c>
      <c r="R11" s="43">
        <f>1557.29*0.5</f>
        <v>778.64499999999998</v>
      </c>
      <c r="S11" s="64">
        <f>IF(W11="CUMPLE",IFERROR(R11*LISTADO!$M$32,"0"),"")</f>
        <v>1012238500</v>
      </c>
      <c r="T11" s="44">
        <v>801015</v>
      </c>
      <c r="U11" s="38">
        <v>86</v>
      </c>
      <c r="V11" s="38"/>
      <c r="W11" s="55" t="str">
        <f t="shared" ref="W11:W13" si="5">IF(COUNTBLANK(J11)+COUNTBLANK(N11)+COUNTBLANK(T11)=3,"",IF(COUNTIF(J11,"CUMPLE")+COUNTIF(N11,"CUMPLE")+COUNTIF(T11,"801015")+COUNTIF(T11,"801016")+COUNTIF(T11,"841116")=3,IF(V11="","CUMPLE","NO CUMPLE"),"NO CUMPLE"))</f>
        <v>CUMPLE</v>
      </c>
      <c r="X11" s="195"/>
      <c r="Y11" s="195"/>
      <c r="Z11" s="198"/>
      <c r="AA11" s="200"/>
      <c r="AB11" s="203"/>
      <c r="AC11" s="180"/>
    </row>
    <row r="12" spans="1:29" ht="54" x14ac:dyDescent="0.2">
      <c r="A12" s="183"/>
      <c r="B12" s="186"/>
      <c r="C12" s="38"/>
      <c r="D12" s="45"/>
      <c r="E12" s="189"/>
      <c r="F12" s="192"/>
      <c r="G12" s="38">
        <v>3</v>
      </c>
      <c r="H12" s="163" t="s">
        <v>52</v>
      </c>
      <c r="I12" s="38" t="s">
        <v>49</v>
      </c>
      <c r="J12" s="38" t="s">
        <v>2</v>
      </c>
      <c r="K12" s="9">
        <v>1</v>
      </c>
      <c r="L12" s="34">
        <v>41700</v>
      </c>
      <c r="M12" s="34">
        <v>42064</v>
      </c>
      <c r="N12" s="55" t="str">
        <f>IF(M12&lt;&gt;"",IF(M12&gt;LISTADO!$J$3,"NO CUMPLE","CUMPLE"),"")</f>
        <v>CUMPLE</v>
      </c>
      <c r="O12" s="10">
        <v>46400000</v>
      </c>
      <c r="P12" s="59">
        <f t="shared" si="4"/>
        <v>46400000</v>
      </c>
      <c r="Q12" s="60">
        <f>IFERROR((P12/_xlfn.XLOOKUP(YEAR(M12),LISTADO!$L$3:$L$32,LISTADO!$M$3:$M$32)),"")</f>
        <v>72.010553270737958</v>
      </c>
      <c r="R12" s="43">
        <f>72.01*1</f>
        <v>72.010000000000005</v>
      </c>
      <c r="S12" s="64">
        <f>IF(W12="CUMPLE",IFERROR(R12*LISTADO!$M$32,"0"),"")</f>
        <v>93613000</v>
      </c>
      <c r="T12" s="44">
        <v>801015</v>
      </c>
      <c r="U12" s="38">
        <v>18</v>
      </c>
      <c r="V12" s="38"/>
      <c r="W12" s="55" t="str">
        <f t="shared" si="5"/>
        <v>CUMPLE</v>
      </c>
      <c r="X12" s="195"/>
      <c r="Y12" s="195"/>
      <c r="Z12" s="198"/>
      <c r="AA12" s="200"/>
      <c r="AB12" s="203"/>
      <c r="AC12" s="180"/>
    </row>
    <row r="13" spans="1:29" ht="14.25" thickBot="1" x14ac:dyDescent="0.25">
      <c r="A13" s="184"/>
      <c r="B13" s="187"/>
      <c r="C13" s="46"/>
      <c r="D13" s="47"/>
      <c r="E13" s="190"/>
      <c r="F13" s="193"/>
      <c r="G13" s="46"/>
      <c r="H13" s="30"/>
      <c r="I13" s="46"/>
      <c r="J13" s="46"/>
      <c r="K13" s="31"/>
      <c r="L13" s="35"/>
      <c r="M13" s="35"/>
      <c r="N13" s="56" t="str">
        <f>IF(M13&lt;&gt;"",IF(M13&gt;LISTADO!$J$3,"NO CUMPLE","CUMPLE"),"")</f>
        <v/>
      </c>
      <c r="O13" s="32"/>
      <c r="P13" s="61" t="str">
        <f t="shared" si="4"/>
        <v/>
      </c>
      <c r="Q13" s="62" t="str">
        <f>IFERROR((P13/_xlfn.XLOOKUP(YEAR(M13),LISTADO!$L$3:$L$32,LISTADO!$M$3:$M$32)),"")</f>
        <v/>
      </c>
      <c r="R13" s="48"/>
      <c r="S13" s="65" t="str">
        <f>IF(W13="CUMPLE",IFERROR(R13*LISTADO!$M$32,"0"),"")</f>
        <v/>
      </c>
      <c r="T13" s="49"/>
      <c r="U13" s="46"/>
      <c r="V13" s="46"/>
      <c r="W13" s="56" t="str">
        <f t="shared" si="5"/>
        <v/>
      </c>
      <c r="X13" s="196"/>
      <c r="Y13" s="196"/>
      <c r="Z13" s="199"/>
      <c r="AA13" s="201"/>
      <c r="AB13" s="204"/>
      <c r="AC13" s="181"/>
    </row>
    <row r="14" spans="1:29" ht="81" x14ac:dyDescent="0.2">
      <c r="A14" s="182">
        <v>4</v>
      </c>
      <c r="B14" s="185" t="str" cm="1">
        <f t="array" aca="1" ref="B14" ca="1">IF(INDIRECT("Consolidado!B"&amp;LISTADO!R14)="","",INDIRECT("Consolidado!B"&amp;LISTADO!R14))</f>
        <v>SCAIPROYEKTA S.A.S. BIC: NIT 901.476.977-1</v>
      </c>
      <c r="C14" s="52" t="str">
        <f ca="1">B14</f>
        <v>SCAIPROYEKTA S.A.S. BIC: NIT 901.476.977-1</v>
      </c>
      <c r="D14" s="5">
        <v>1</v>
      </c>
      <c r="E14" s="188">
        <f>LISTADO!$I$3*0.6</f>
        <v>811172559.60000002</v>
      </c>
      <c r="F14" s="191">
        <f>E14/LISTADO!$M$32</f>
        <v>623.97889199999997</v>
      </c>
      <c r="G14" s="37">
        <v>1</v>
      </c>
      <c r="H14" s="144" t="s">
        <v>53</v>
      </c>
      <c r="I14" s="37" t="s">
        <v>54</v>
      </c>
      <c r="J14" s="37" t="s">
        <v>2</v>
      </c>
      <c r="K14" s="5">
        <v>0.5</v>
      </c>
      <c r="L14" s="33">
        <v>44396</v>
      </c>
      <c r="M14" s="33">
        <v>45218</v>
      </c>
      <c r="N14" s="54" t="str">
        <f>IF(M14&lt;&gt;"",IF(M14&gt;LISTADO!$J$3,"NO CUMPLE","CUMPLE"),"")</f>
        <v>CUMPLE</v>
      </c>
      <c r="O14" s="7">
        <v>5402479427</v>
      </c>
      <c r="P14" s="57">
        <f>IF(O14&gt;0,K14*O14,"")</f>
        <v>2701239713.5</v>
      </c>
      <c r="Q14" s="58">
        <f>IFERROR((P14/_xlfn.XLOOKUP(YEAR(M14),LISTADO!$L$3:$L$32,LISTADO!$M$3:$M$32)),"")</f>
        <v>2328.6549254310344</v>
      </c>
      <c r="R14" s="39">
        <f>4657.3*0.5</f>
        <v>2328.65</v>
      </c>
      <c r="S14" s="63">
        <f>IF(W14="CUMPLE",IFERROR(R14*LISTADO!$M$32,"0"),"")</f>
        <v>3027245000</v>
      </c>
      <c r="T14" s="40">
        <v>801015</v>
      </c>
      <c r="U14" s="37">
        <v>176</v>
      </c>
      <c r="V14" s="41"/>
      <c r="W14" s="54" t="str">
        <f>IF(COUNTBLANK(J14)+COUNTBLANK(N14)+COUNTBLANK(T14)=3,"",IF(COUNTIF(J14,"CUMPLE")+COUNTIF(N14,"CUMPLE")+COUNTIF(T14,"801015")+COUNTIF(T14,"801016")+COUNTIF(T14,"841116")=3,IF(V14="","CUMPLE","NO CUMPLE"),"NO CUMPLE"))</f>
        <v>CUMPLE</v>
      </c>
      <c r="X14" s="194">
        <f>IF(G14&gt;0,SUMIFS(S14:S17,W14:W17,"CUMPLE"),"")</f>
        <v>6249165000</v>
      </c>
      <c r="Y14" s="194" t="str">
        <f>IF(X14="","",IF(X14&gt;=E14,"CUMPLE","NO CUMPLE"))</f>
        <v>CUMPLE</v>
      </c>
      <c r="Z14" s="197">
        <f>IF(Y14="","",IF(Y14="CUMPLE",SUMIFS(R14:R17,W14:W17,"CUMPLE"),0))</f>
        <v>4807.05</v>
      </c>
      <c r="AA14" s="197">
        <f>IFERROR(Z14/COUNTIF(W14:W17,"CUMPLE"),"")</f>
        <v>1602.3500000000001</v>
      </c>
      <c r="AB14" s="202">
        <f ca="1">VLOOKUP(B14,Consolidado!$B$4:$H$16,7,0)</f>
        <v>19.136440924159594</v>
      </c>
      <c r="AC14" s="205"/>
    </row>
    <row r="15" spans="1:29" ht="135" x14ac:dyDescent="0.2">
      <c r="A15" s="183"/>
      <c r="B15" s="186"/>
      <c r="C15" s="53"/>
      <c r="D15" s="9"/>
      <c r="E15" s="189"/>
      <c r="F15" s="192"/>
      <c r="G15" s="38">
        <v>2</v>
      </c>
      <c r="H15" s="8" t="s">
        <v>55</v>
      </c>
      <c r="I15" s="38" t="s">
        <v>54</v>
      </c>
      <c r="J15" s="38" t="s">
        <v>2</v>
      </c>
      <c r="K15" s="9">
        <v>1</v>
      </c>
      <c r="L15" s="34">
        <v>42881</v>
      </c>
      <c r="M15" s="34">
        <v>43223</v>
      </c>
      <c r="N15" s="55" t="str">
        <f>IF(M15&lt;&gt;"",IF(M15&gt;LISTADO!$J$3,"NO CUMPLE","CUMPLE"),"")</f>
        <v>CUMPLE</v>
      </c>
      <c r="O15" s="10">
        <v>897374824</v>
      </c>
      <c r="P15" s="59">
        <f t="shared" ref="P15:P17" si="6">IF(O15&gt;0,K15*O15,"")</f>
        <v>897374824</v>
      </c>
      <c r="Q15" s="60">
        <f>IFERROR((P15/_xlfn.XLOOKUP(YEAR(M15),LISTADO!$L$3:$L$32,LISTADO!$M$3:$M$32)),"")</f>
        <v>1148.651536911738</v>
      </c>
      <c r="R15" s="43">
        <v>1138.3499999999999</v>
      </c>
      <c r="S15" s="64">
        <f>IF(W15="CUMPLE",IFERROR(R15*LISTADO!$M$32,"0"),"")</f>
        <v>1479855000</v>
      </c>
      <c r="T15" s="44">
        <v>801015</v>
      </c>
      <c r="U15" s="38">
        <v>76</v>
      </c>
      <c r="V15" s="38"/>
      <c r="W15" s="55" t="str">
        <f t="shared" ref="W15:W17" si="7">IF(COUNTBLANK(J15)+COUNTBLANK(N15)+COUNTBLANK(T15)=3,"",IF(COUNTIF(J15,"CUMPLE")+COUNTIF(N15,"CUMPLE")+COUNTIF(T15,"801015")+COUNTIF(T15,"801016")+COUNTIF(T15,"841116")=3,IF(V15="","CUMPLE","NO CUMPLE"),"NO CUMPLE"))</f>
        <v>CUMPLE</v>
      </c>
      <c r="X15" s="195"/>
      <c r="Y15" s="195"/>
      <c r="Z15" s="198"/>
      <c r="AA15" s="200"/>
      <c r="AB15" s="203"/>
      <c r="AC15" s="206"/>
    </row>
    <row r="16" spans="1:29" ht="121.5" x14ac:dyDescent="0.2">
      <c r="A16" s="183"/>
      <c r="B16" s="186"/>
      <c r="D16" s="45"/>
      <c r="E16" s="189"/>
      <c r="F16" s="192"/>
      <c r="G16" s="38">
        <v>3</v>
      </c>
      <c r="H16" s="8" t="s">
        <v>56</v>
      </c>
      <c r="I16" s="38" t="s">
        <v>54</v>
      </c>
      <c r="J16" s="38" t="s">
        <v>2</v>
      </c>
      <c r="K16" s="9">
        <v>1</v>
      </c>
      <c r="L16" s="34">
        <v>43605</v>
      </c>
      <c r="M16" s="34">
        <v>43992</v>
      </c>
      <c r="N16" s="55" t="str">
        <f>IF(M16&lt;&gt;"",IF(M16&gt;LISTADO!$J$3,"NO CUMPLE","CUMPLE"),"")</f>
        <v>CUMPLE</v>
      </c>
      <c r="O16" s="10">
        <v>1176303239</v>
      </c>
      <c r="P16" s="59">
        <f t="shared" si="6"/>
        <v>1176303239</v>
      </c>
      <c r="Q16" s="60">
        <f>IFERROR((P16/_xlfn.XLOOKUP(YEAR(M16),LISTADO!$L$3:$L$32,LISTADO!$M$3:$M$32)),"")</f>
        <v>1340.0537922517922</v>
      </c>
      <c r="R16" s="43">
        <v>1340.05</v>
      </c>
      <c r="S16" s="64">
        <f>IF(W16="CUMPLE",IFERROR(R16*LISTADO!$M$32,"0"),"")</f>
        <v>1742065000</v>
      </c>
      <c r="T16" s="44">
        <v>801016</v>
      </c>
      <c r="U16" s="38">
        <v>95</v>
      </c>
      <c r="V16" s="38"/>
      <c r="W16" s="55" t="str">
        <f t="shared" si="7"/>
        <v>CUMPLE</v>
      </c>
      <c r="X16" s="195"/>
      <c r="Y16" s="195"/>
      <c r="Z16" s="198"/>
      <c r="AA16" s="200"/>
      <c r="AB16" s="203"/>
      <c r="AC16" s="206"/>
    </row>
    <row r="17" spans="1:29" ht="13.5" x14ac:dyDescent="0.2">
      <c r="A17" s="184"/>
      <c r="B17" s="187"/>
      <c r="C17" s="38"/>
      <c r="D17" s="47"/>
      <c r="E17" s="190"/>
      <c r="F17" s="193"/>
      <c r="G17" s="46"/>
      <c r="H17" s="30"/>
      <c r="I17" s="46"/>
      <c r="J17" s="46"/>
      <c r="K17" s="31"/>
      <c r="L17" s="35"/>
      <c r="M17" s="35"/>
      <c r="N17" s="56" t="str">
        <f>IF(M17&lt;&gt;"",IF(M17&gt;LISTADO!$J$3,"NO CUMPLE","CUMPLE"),"")</f>
        <v/>
      </c>
      <c r="O17" s="32"/>
      <c r="P17" s="61" t="str">
        <f t="shared" si="6"/>
        <v/>
      </c>
      <c r="Q17" s="62" t="str">
        <f>IFERROR((P17/_xlfn.XLOOKUP(YEAR(M17),LISTADO!$L$3:$L$32,LISTADO!$M$3:$M$32)),"")</f>
        <v/>
      </c>
      <c r="R17" s="48"/>
      <c r="S17" s="65" t="str">
        <f>IF(W17="CUMPLE",IFERROR(R17*LISTADO!$M$32,"0"),"")</f>
        <v/>
      </c>
      <c r="T17" s="49"/>
      <c r="U17" s="46"/>
      <c r="V17" s="46"/>
      <c r="W17" s="56" t="str">
        <f t="shared" si="7"/>
        <v/>
      </c>
      <c r="X17" s="196"/>
      <c r="Y17" s="196"/>
      <c r="Z17" s="199"/>
      <c r="AA17" s="201"/>
      <c r="AB17" s="204"/>
      <c r="AC17" s="207"/>
    </row>
    <row r="18" spans="1:29" ht="94.5" x14ac:dyDescent="0.2">
      <c r="A18" s="182">
        <v>5</v>
      </c>
      <c r="B18" s="185" t="str" cm="1">
        <f t="array" aca="1" ref="B18" ca="1">IF(INDIRECT("Consolidado!B"&amp;LISTADO!R18)="","",INDIRECT("Consolidado!B"&amp;LISTADO!R18))</f>
        <v xml:space="preserve">UT GREM-NOVAC </v>
      </c>
      <c r="C18" s="151" t="s">
        <v>57</v>
      </c>
      <c r="D18" s="5">
        <v>0.6</v>
      </c>
      <c r="E18" s="188">
        <f>LISTADO!$I$3*0.6</f>
        <v>811172559.60000002</v>
      </c>
      <c r="F18" s="191">
        <f>E18/LISTADO!$M$32</f>
        <v>623.97889199999997</v>
      </c>
      <c r="G18" s="37">
        <v>1</v>
      </c>
      <c r="H18" s="164" t="s">
        <v>58</v>
      </c>
      <c r="I18" s="37" t="s">
        <v>57</v>
      </c>
      <c r="J18" s="37" t="s">
        <v>2</v>
      </c>
      <c r="K18" s="5">
        <v>1</v>
      </c>
      <c r="L18" s="33">
        <v>42286</v>
      </c>
      <c r="M18" s="33">
        <v>42369</v>
      </c>
      <c r="N18" s="54" t="str">
        <f>IF(M18&lt;&gt;"",IF(M18&gt;LISTADO!$J$3,"NO CUMPLE","CUMPLE"),"")</f>
        <v>CUMPLE</v>
      </c>
      <c r="O18" s="7">
        <v>924471744</v>
      </c>
      <c r="P18" s="57">
        <f>IF(O18&gt;0,K18*O18,"")</f>
        <v>924471744</v>
      </c>
      <c r="Q18" s="58">
        <f>IFERROR((P18/_xlfn.XLOOKUP(YEAR(M18),LISTADO!$L$3:$L$32,LISTADO!$M$3:$M$32)),"")</f>
        <v>1434.7353829440522</v>
      </c>
      <c r="R18" s="39">
        <v>1434</v>
      </c>
      <c r="S18" s="63">
        <f>IF(W18="CUMPLE",IFERROR(R18*LISTADO!$M$32,"0"),"")</f>
        <v>1864200000</v>
      </c>
      <c r="T18" s="40">
        <v>801015</v>
      </c>
      <c r="U18" s="37">
        <v>67</v>
      </c>
      <c r="V18" s="41"/>
      <c r="W18" s="54" t="str">
        <f>IF(COUNTBLANK(J18)+COUNTBLANK(N18)+COUNTBLANK(T18)=3,"",IF(COUNTIF(J18,"CUMPLE")+COUNTIF(N18,"CUMPLE")+COUNTIF(T18,"801015")+COUNTIF(T18,"801016")+COUNTIF(T18,"841116")=3,IF(V18="","CUMPLE","NO CUMPLE"),"NO CUMPLE"))</f>
        <v>CUMPLE</v>
      </c>
      <c r="X18" s="194">
        <f>IF(G18&gt;0,SUMIFS(S18:S21,W18:W21,"CUMPLE"),"")</f>
        <v>1864200000</v>
      </c>
      <c r="Y18" s="194" t="str">
        <f>IF(X18="","",IF(X18&gt;=E18,"CUMPLE","NO CUMPLE"))</f>
        <v>CUMPLE</v>
      </c>
      <c r="Z18" s="197">
        <f>IF(Y18="","",IF(Y18="CUMPLE",SUMIFS(R18:R21,W18:W21,"CUMPLE"),0))</f>
        <v>1434</v>
      </c>
      <c r="AA18" s="197">
        <f>IFERROR(Z18/COUNTIF(W18:W21,"CUMPLE"),"")</f>
        <v>1434</v>
      </c>
      <c r="AB18" s="202">
        <f ca="1">VLOOKUP(B18,Consolidado!$B$4:$H$16,7,0)</f>
        <v>23.955069919334019</v>
      </c>
      <c r="AC18" s="205"/>
    </row>
    <row r="19" spans="1:29" ht="30" x14ac:dyDescent="0.2">
      <c r="A19" s="183"/>
      <c r="B19" s="186"/>
      <c r="C19" s="152" t="s">
        <v>59</v>
      </c>
      <c r="D19" s="9">
        <v>0.4</v>
      </c>
      <c r="E19" s="189"/>
      <c r="F19" s="192"/>
      <c r="G19" s="38"/>
      <c r="H19" s="8"/>
      <c r="I19" s="38"/>
      <c r="J19" s="38"/>
      <c r="K19" s="9"/>
      <c r="L19" s="34"/>
      <c r="M19" s="34"/>
      <c r="N19" s="55" t="str">
        <f>IF(M19&lt;&gt;"",IF(M19&gt;LISTADO!$J$3,"NO CUMPLE","CUMPLE"),"")</f>
        <v/>
      </c>
      <c r="O19" s="10"/>
      <c r="P19" s="59" t="str">
        <f t="shared" ref="P19:P21" si="8">IF(O19&gt;0,K19*O19,"")</f>
        <v/>
      </c>
      <c r="Q19" s="60" t="str">
        <f>IFERROR((P19/_xlfn.XLOOKUP(YEAR(M19),LISTADO!$L$3:$L$32,LISTADO!$M$3:$M$32)),"")</f>
        <v/>
      </c>
      <c r="R19" s="43"/>
      <c r="S19" s="64" t="str">
        <f>IF(W19="CUMPLE",IFERROR(R19*LISTADO!$M$32,"0"),"")</f>
        <v/>
      </c>
      <c r="T19" s="44"/>
      <c r="U19" s="38"/>
      <c r="V19" s="38"/>
      <c r="W19" s="55" t="str">
        <f t="shared" ref="W19:W21" si="9">IF(COUNTBLANK(J19)+COUNTBLANK(N19)+COUNTBLANK(T19)=3,"",IF(COUNTIF(J19,"CUMPLE")+COUNTIF(N19,"CUMPLE")+COUNTIF(T19,"801015")+COUNTIF(T19,"801016")+COUNTIF(T19,"841116")=3,IF(V19="","CUMPLE","NO CUMPLE"),"NO CUMPLE"))</f>
        <v/>
      </c>
      <c r="X19" s="195"/>
      <c r="Y19" s="195"/>
      <c r="Z19" s="198"/>
      <c r="AA19" s="200"/>
      <c r="AB19" s="203"/>
      <c r="AC19" s="206"/>
    </row>
    <row r="20" spans="1:29" ht="13.5" x14ac:dyDescent="0.2">
      <c r="A20" s="183"/>
      <c r="B20" s="186"/>
      <c r="C20" s="38"/>
      <c r="D20" s="45"/>
      <c r="E20" s="189"/>
      <c r="F20" s="192"/>
      <c r="G20" s="38"/>
      <c r="H20" s="8"/>
      <c r="I20" s="38"/>
      <c r="J20" s="38"/>
      <c r="K20" s="9"/>
      <c r="L20" s="34"/>
      <c r="M20" s="34"/>
      <c r="N20" s="55" t="str">
        <f>IF(M20&lt;&gt;"",IF(M20&gt;LISTADO!$J$3,"NO CUMPLE","CUMPLE"),"")</f>
        <v/>
      </c>
      <c r="O20" s="10"/>
      <c r="P20" s="59" t="str">
        <f t="shared" si="8"/>
        <v/>
      </c>
      <c r="Q20" s="60" t="str">
        <f>IFERROR((P20/_xlfn.XLOOKUP(YEAR(M20),LISTADO!$L$3:$L$32,LISTADO!$M$3:$M$32)),"")</f>
        <v/>
      </c>
      <c r="R20" s="43"/>
      <c r="S20" s="64" t="str">
        <f>IF(W20="CUMPLE",IFERROR(R20*LISTADO!$M$32,"0"),"")</f>
        <v/>
      </c>
      <c r="T20" s="44"/>
      <c r="U20" s="38"/>
      <c r="V20" s="38"/>
      <c r="W20" s="55" t="str">
        <f t="shared" si="9"/>
        <v/>
      </c>
      <c r="X20" s="195"/>
      <c r="Y20" s="195"/>
      <c r="Z20" s="198"/>
      <c r="AA20" s="200"/>
      <c r="AB20" s="203"/>
      <c r="AC20" s="206"/>
    </row>
    <row r="21" spans="1:29" ht="14.25" thickBot="1" x14ac:dyDescent="0.25">
      <c r="A21" s="184"/>
      <c r="B21" s="187"/>
      <c r="C21" s="46"/>
      <c r="D21" s="47"/>
      <c r="E21" s="190"/>
      <c r="F21" s="193"/>
      <c r="G21" s="46"/>
      <c r="H21" s="30"/>
      <c r="I21" s="46"/>
      <c r="J21" s="46"/>
      <c r="K21" s="31"/>
      <c r="L21" s="35"/>
      <c r="M21" s="35"/>
      <c r="N21" s="56" t="str">
        <f>IF(M21&lt;&gt;"",IF(M21&gt;LISTADO!$J$3,"NO CUMPLE","CUMPLE"),"")</f>
        <v/>
      </c>
      <c r="O21" s="32"/>
      <c r="P21" s="61" t="str">
        <f t="shared" si="8"/>
        <v/>
      </c>
      <c r="Q21" s="62" t="str">
        <f>IFERROR((P21/_xlfn.XLOOKUP(YEAR(M21),LISTADO!$L$3:$L$32,LISTADO!$M$3:$M$32)),"")</f>
        <v/>
      </c>
      <c r="R21" s="48"/>
      <c r="S21" s="65" t="str">
        <f>IF(W21="CUMPLE",IFERROR(R21*LISTADO!$M$32,"0"),"")</f>
        <v/>
      </c>
      <c r="T21" s="49"/>
      <c r="U21" s="46"/>
      <c r="V21" s="46"/>
      <c r="W21" s="56" t="str">
        <f t="shared" si="9"/>
        <v/>
      </c>
      <c r="X21" s="196"/>
      <c r="Y21" s="196"/>
      <c r="Z21" s="199"/>
      <c r="AA21" s="201"/>
      <c r="AB21" s="204"/>
      <c r="AC21" s="207"/>
    </row>
    <row r="22" spans="1:29" ht="216" x14ac:dyDescent="0.2">
      <c r="A22" s="182">
        <v>6</v>
      </c>
      <c r="B22" s="185" t="str" cm="1">
        <f t="array" aca="1" ref="B22" ca="1">IF(INDIRECT("Consolidado!B"&amp;LISTADO!R22)="","",INDIRECT("Consolidado!B"&amp;LISTADO!R22))</f>
        <v>SGA CONSULTORES S.A.S: NIT 901.549.833-4</v>
      </c>
      <c r="C22" s="52" t="s">
        <v>60</v>
      </c>
      <c r="D22" s="5">
        <v>1</v>
      </c>
      <c r="E22" s="188">
        <f>LISTADO!$I$3*0.6</f>
        <v>811172559.60000002</v>
      </c>
      <c r="F22" s="191">
        <f>E22/LISTADO!$M$32</f>
        <v>623.97889199999997</v>
      </c>
      <c r="G22" s="37">
        <v>1</v>
      </c>
      <c r="H22" s="6" t="s">
        <v>61</v>
      </c>
      <c r="I22" s="38" t="s">
        <v>60</v>
      </c>
      <c r="J22" s="37" t="s">
        <v>2</v>
      </c>
      <c r="K22" s="5">
        <v>1</v>
      </c>
      <c r="L22" s="33">
        <v>35782</v>
      </c>
      <c r="M22" s="33">
        <v>35902</v>
      </c>
      <c r="N22" s="54" t="str">
        <f>IF(M22&lt;&gt;"",IF(M22&gt;LISTADO!$J$3,"NO CUMPLE","CUMPLE"),"")</f>
        <v>CUMPLE</v>
      </c>
      <c r="O22" s="7">
        <f>169940000+84970000</f>
        <v>254910000</v>
      </c>
      <c r="P22" s="57">
        <f>IF(O22&gt;0,K22*O22,"")</f>
        <v>254910000</v>
      </c>
      <c r="Q22" s="58">
        <f>IFERROR((P22/_xlfn.XLOOKUP(YEAR(M22),LISTADO!$L$3:$L$32,LISTADO!$M$3:$M$32)),"")</f>
        <v>1250.6255335433164</v>
      </c>
      <c r="R22" s="39">
        <v>1250.6199999999999</v>
      </c>
      <c r="S22" s="63">
        <f>IF(W22="CUMPLE",IFERROR(R22*LISTADO!$M$32,"0"),"")</f>
        <v>1625805999.9999998</v>
      </c>
      <c r="T22" s="40">
        <v>801016</v>
      </c>
      <c r="U22" s="37">
        <v>19</v>
      </c>
      <c r="V22" s="41"/>
      <c r="W22" s="54" t="str">
        <f>IF(COUNTBLANK(J22)+COUNTBLANK(N22)+COUNTBLANK(T22)=3,"",IF(COUNTIF(J22,"CUMPLE")+COUNTIF(N22,"CUMPLE")+COUNTIF(T22,"801015")+COUNTIF(T22,"801016")+COUNTIF(T22,"841116")=3,IF(V22="","CUMPLE","NO CUMPLE"),"NO CUMPLE"))</f>
        <v>CUMPLE</v>
      </c>
      <c r="X22" s="194">
        <f>IF(G22&gt;0,SUMIFS(S22:S25,W22:W25,"CUMPLE"),"")</f>
        <v>1625805999.9999998</v>
      </c>
      <c r="Y22" s="194" t="str">
        <f>IF(X22="","",IF(X22&gt;=E22,"CUMPLE","NO CUMPLE"))</f>
        <v>CUMPLE</v>
      </c>
      <c r="Z22" s="197">
        <f>IF(Y22="","",IF(Y22="CUMPLE",SUMIFS(R22:R25,W22:W25,"CUMPLE"),0))</f>
        <v>1250.6199999999999</v>
      </c>
      <c r="AA22" s="197">
        <f>IFERROR(Z22/COUNTIF(W22:W25,"CUMPLE"),"")</f>
        <v>1250.6199999999999</v>
      </c>
      <c r="AB22" s="202" t="str">
        <f ca="1">VLOOKUP(B22,Consolidado!$B$4:$H$16,7,0)</f>
        <v/>
      </c>
      <c r="AC22" s="205"/>
    </row>
    <row r="23" spans="1:29" ht="13.5" x14ac:dyDescent="0.2">
      <c r="A23" s="183"/>
      <c r="B23" s="186"/>
      <c r="C23" s="53"/>
      <c r="D23" s="9"/>
      <c r="E23" s="189"/>
      <c r="F23" s="192"/>
      <c r="G23" s="38"/>
      <c r="H23" s="8"/>
      <c r="I23" s="38"/>
      <c r="J23" s="38"/>
      <c r="K23" s="9"/>
      <c r="L23" s="34"/>
      <c r="M23" s="34"/>
      <c r="N23" s="55" t="str">
        <f>IF(M23&lt;&gt;"",IF(M23&gt;LISTADO!$J$3,"NO CUMPLE","CUMPLE"),"")</f>
        <v/>
      </c>
      <c r="O23" s="10"/>
      <c r="P23" s="59" t="str">
        <f t="shared" ref="P23:P25" si="10">IF(O23&gt;0,K23*O23,"")</f>
        <v/>
      </c>
      <c r="Q23" s="60" t="str">
        <f>IFERROR((P23/_xlfn.XLOOKUP(YEAR(M23),LISTADO!$L$3:$L$32,LISTADO!$M$3:$M$32)),"")</f>
        <v/>
      </c>
      <c r="R23" s="43"/>
      <c r="S23" s="64" t="str">
        <f>IF(W23="CUMPLE",IFERROR(R23*LISTADO!$M$32,"0"),"")</f>
        <v/>
      </c>
      <c r="T23" s="44"/>
      <c r="U23" s="38"/>
      <c r="V23" s="38"/>
      <c r="W23" s="55" t="str">
        <f t="shared" ref="W23:W25" si="11">IF(COUNTBLANK(J23)+COUNTBLANK(N23)+COUNTBLANK(T23)=3,"",IF(COUNTIF(J23,"CUMPLE")+COUNTIF(N23,"CUMPLE")+COUNTIF(T23,"801015")+COUNTIF(T23,"801016")+COUNTIF(T23,"841116")=3,IF(V23="","CUMPLE","NO CUMPLE"),"NO CUMPLE"))</f>
        <v/>
      </c>
      <c r="X23" s="195"/>
      <c r="Y23" s="195"/>
      <c r="Z23" s="198"/>
      <c r="AA23" s="200"/>
      <c r="AB23" s="203"/>
      <c r="AC23" s="206"/>
    </row>
    <row r="24" spans="1:29" ht="13.5" x14ac:dyDescent="0.2">
      <c r="A24" s="183"/>
      <c r="B24" s="186"/>
      <c r="C24" s="38"/>
      <c r="D24" s="45"/>
      <c r="E24" s="189"/>
      <c r="F24" s="192"/>
      <c r="G24" s="38"/>
      <c r="H24" s="8"/>
      <c r="I24" s="38"/>
      <c r="J24" s="38"/>
      <c r="K24" s="9"/>
      <c r="L24" s="34"/>
      <c r="M24" s="34"/>
      <c r="N24" s="55" t="str">
        <f>IF(M24&lt;&gt;"",IF(M24&gt;LISTADO!$J$3,"NO CUMPLE","CUMPLE"),"")</f>
        <v/>
      </c>
      <c r="O24" s="10"/>
      <c r="P24" s="59" t="str">
        <f t="shared" si="10"/>
        <v/>
      </c>
      <c r="Q24" s="60" t="str">
        <f>IFERROR((P24/_xlfn.XLOOKUP(YEAR(M24),LISTADO!$L$3:$L$32,LISTADO!$M$3:$M$32)),"")</f>
        <v/>
      </c>
      <c r="R24" s="43"/>
      <c r="S24" s="64" t="str">
        <f>IF(W24="CUMPLE",IFERROR(R24*LISTADO!$M$32,"0"),"")</f>
        <v/>
      </c>
      <c r="T24" s="44"/>
      <c r="U24" s="38"/>
      <c r="V24" s="38"/>
      <c r="W24" s="55" t="str">
        <f t="shared" si="11"/>
        <v/>
      </c>
      <c r="X24" s="195"/>
      <c r="Y24" s="195"/>
      <c r="Z24" s="198"/>
      <c r="AA24" s="200"/>
      <c r="AB24" s="203"/>
      <c r="AC24" s="206"/>
    </row>
    <row r="25" spans="1:29" ht="14.25" thickBot="1" x14ac:dyDescent="0.25">
      <c r="A25" s="184"/>
      <c r="B25" s="187"/>
      <c r="C25" s="46"/>
      <c r="D25" s="47"/>
      <c r="E25" s="190"/>
      <c r="F25" s="193"/>
      <c r="G25" s="46"/>
      <c r="H25" s="30"/>
      <c r="I25" s="46"/>
      <c r="J25" s="46"/>
      <c r="K25" s="31"/>
      <c r="L25" s="35"/>
      <c r="M25" s="35"/>
      <c r="N25" s="56" t="str">
        <f>IF(M25&lt;&gt;"",IF(M25&gt;LISTADO!$J$3,"NO CUMPLE","CUMPLE"),"")</f>
        <v/>
      </c>
      <c r="O25" s="32"/>
      <c r="P25" s="61" t="str">
        <f t="shared" si="10"/>
        <v/>
      </c>
      <c r="Q25" s="62" t="str">
        <f>IFERROR((P25/_xlfn.XLOOKUP(YEAR(M25),LISTADO!$L$3:$L$32,LISTADO!$M$3:$M$32)),"")</f>
        <v/>
      </c>
      <c r="R25" s="48"/>
      <c r="S25" s="65" t="str">
        <f>IF(W25="CUMPLE",IFERROR(R25*LISTADO!$M$32,"0"),"")</f>
        <v/>
      </c>
      <c r="T25" s="49"/>
      <c r="U25" s="46"/>
      <c r="V25" s="46"/>
      <c r="W25" s="56" t="str">
        <f t="shared" si="11"/>
        <v/>
      </c>
      <c r="X25" s="196"/>
      <c r="Y25" s="196"/>
      <c r="Z25" s="199"/>
      <c r="AA25" s="201"/>
      <c r="AB25" s="204"/>
      <c r="AC25" s="207"/>
    </row>
    <row r="26" spans="1:29" ht="94.5" x14ac:dyDescent="0.2">
      <c r="A26" s="182">
        <v>7</v>
      </c>
      <c r="B26" s="185" t="str" cm="1">
        <f t="array" aca="1" ref="B26" ca="1">IF(INDIRECT("Consolidado!B"&amp;LISTADO!R26)="","",INDIRECT("Consolidado!B"&amp;LISTADO!R26))</f>
        <v>SMARTY COLOMBIA SAS BIC: NIT 900249549-6</v>
      </c>
      <c r="C26" s="52" t="str">
        <f ca="1">B26</f>
        <v>SMARTY COLOMBIA SAS BIC: NIT 900249549-6</v>
      </c>
      <c r="D26" s="5">
        <v>1</v>
      </c>
      <c r="E26" s="188">
        <f>LISTADO!$I$3*0.6</f>
        <v>811172559.60000002</v>
      </c>
      <c r="F26" s="191">
        <f>E26/LISTADO!$M$32</f>
        <v>623.97889199999997</v>
      </c>
      <c r="G26" s="37">
        <v>1</v>
      </c>
      <c r="H26" s="6" t="s">
        <v>62</v>
      </c>
      <c r="I26" s="37" t="s">
        <v>63</v>
      </c>
      <c r="J26" s="37" t="s">
        <v>2</v>
      </c>
      <c r="K26" s="5">
        <v>0.5</v>
      </c>
      <c r="L26" s="33">
        <v>44396</v>
      </c>
      <c r="M26" s="33">
        <v>45218</v>
      </c>
      <c r="N26" s="54" t="str">
        <f>IF(M26&lt;&gt;"",IF(M26&gt;LISTADO!$J$3,"NO CUMPLE","CUMPLE"),"")</f>
        <v>CUMPLE</v>
      </c>
      <c r="O26" s="7">
        <f>3746703100+986575714+669200613</f>
        <v>5402479427</v>
      </c>
      <c r="P26" s="57">
        <f>IF(O26&gt;0,K26*O26,"")</f>
        <v>2701239713.5</v>
      </c>
      <c r="Q26" s="58">
        <f>IFERROR((P26/_xlfn.XLOOKUP(YEAR(M26),LISTADO!$L$3:$L$32,LISTADO!$M$3:$M$32)),"")</f>
        <v>2328.6549254310344</v>
      </c>
      <c r="R26" s="39">
        <f>4657.3*0.5</f>
        <v>2328.65</v>
      </c>
      <c r="S26" s="63">
        <f>IF(W26="CUMPLE",IFERROR(R26*LISTADO!$M$32,"0"),"")</f>
        <v>3027245000</v>
      </c>
      <c r="T26" s="40">
        <v>801015</v>
      </c>
      <c r="U26" s="37">
        <v>88</v>
      </c>
      <c r="V26" s="41"/>
      <c r="W26" s="54" t="str">
        <f>IF(COUNTBLANK(J26)+COUNTBLANK(N26)+COUNTBLANK(T26)=3,"",IF(COUNTIF(J26,"CUMPLE")+COUNTIF(N26,"CUMPLE")+COUNTIF(T26,"801015")+COUNTIF(T26,"801016")+COUNTIF(T26,"841116")=3,IF(V26="","CUMPLE","NO CUMPLE"),"NO CUMPLE"))</f>
        <v>CUMPLE</v>
      </c>
      <c r="X26" s="194">
        <f>IF(G26&gt;0,SUMIFS(S26:S29,W26:W29,"CUMPLE"),"")</f>
        <v>3951662000</v>
      </c>
      <c r="Y26" s="194" t="str">
        <f>IF(X26="","",IF(X26&gt;=E26,"CUMPLE","NO CUMPLE"))</f>
        <v>CUMPLE</v>
      </c>
      <c r="Z26" s="197">
        <f>IF(Y26="","",IF(Y26="CUMPLE",SUMIFS(R26:R29,W26:W29,"CUMPLE"),0))</f>
        <v>3039.7400000000002</v>
      </c>
      <c r="AA26" s="197">
        <f>IFERROR(Z26/COUNTIF(W26:W29,"CUMPLE"),"")</f>
        <v>1519.8700000000001</v>
      </c>
      <c r="AB26" s="202">
        <f ca="1">VLOOKUP(B26,Consolidado!$B$4:$H$16,7,0)</f>
        <v>21.497239970919239</v>
      </c>
      <c r="AC26" s="205"/>
    </row>
    <row r="27" spans="1:29" ht="81" x14ac:dyDescent="0.2">
      <c r="A27" s="183"/>
      <c r="B27" s="186"/>
      <c r="C27" s="53"/>
      <c r="D27" s="9"/>
      <c r="E27" s="189"/>
      <c r="F27" s="192"/>
      <c r="G27" s="38">
        <v>2</v>
      </c>
      <c r="H27" s="8" t="s">
        <v>64</v>
      </c>
      <c r="I27" s="38" t="s">
        <v>63</v>
      </c>
      <c r="J27" s="38" t="s">
        <v>2</v>
      </c>
      <c r="K27" s="9">
        <v>1</v>
      </c>
      <c r="L27" s="34">
        <v>44161</v>
      </c>
      <c r="M27" s="34">
        <v>44494</v>
      </c>
      <c r="N27" s="55" t="str">
        <f>IF(M27&lt;&gt;"",IF(M27&gt;LISTADO!$J$3,"NO CUMPLE","CUMPLE"),"")</f>
        <v>CUMPLE</v>
      </c>
      <c r="O27" s="10">
        <v>646044002</v>
      </c>
      <c r="P27" s="59">
        <f t="shared" ref="P27:P29" si="12">IF(O27&gt;0,K27*O27,"")</f>
        <v>646044002</v>
      </c>
      <c r="Q27" s="60">
        <f>IFERROR((P27/_xlfn.XLOOKUP(YEAR(M27),LISTADO!$L$3:$L$32,LISTADO!$M$3:$M$32)),"")</f>
        <v>711.09027369607475</v>
      </c>
      <c r="R27" s="60">
        <v>711.09</v>
      </c>
      <c r="S27" s="64">
        <f>IF(W27="CUMPLE",IFERROR(R27*LISTADO!$M$32,"0"),"")</f>
        <v>924417000</v>
      </c>
      <c r="T27" s="44">
        <v>801015</v>
      </c>
      <c r="U27" s="38">
        <v>82</v>
      </c>
      <c r="V27" s="38"/>
      <c r="W27" s="55" t="str">
        <f t="shared" ref="W27:W29" si="13">IF(COUNTBLANK(J27)+COUNTBLANK(N27)+COUNTBLANK(T27)=3,"",IF(COUNTIF(J27,"CUMPLE")+COUNTIF(N27,"CUMPLE")+COUNTIF(T27,"801015")+COUNTIF(T27,"801016")+COUNTIF(T27,"841116")=3,IF(V27="","CUMPLE","NO CUMPLE"),"NO CUMPLE"))</f>
        <v>CUMPLE</v>
      </c>
      <c r="X27" s="195"/>
      <c r="Y27" s="195"/>
      <c r="Z27" s="198"/>
      <c r="AA27" s="200"/>
      <c r="AB27" s="203"/>
      <c r="AC27" s="206"/>
    </row>
    <row r="28" spans="1:29" ht="13.5" x14ac:dyDescent="0.2">
      <c r="A28" s="183"/>
      <c r="B28" s="186"/>
      <c r="C28" s="38"/>
      <c r="D28" s="45"/>
      <c r="E28" s="189"/>
      <c r="F28" s="192"/>
      <c r="G28" s="38"/>
      <c r="H28" s="8"/>
      <c r="I28" s="38"/>
      <c r="J28" s="38"/>
      <c r="K28" s="9"/>
      <c r="L28" s="34"/>
      <c r="M28" s="34"/>
      <c r="N28" s="55" t="str">
        <f>IF(M28&lt;&gt;"",IF(M28&gt;LISTADO!$J$3,"NO CUMPLE","CUMPLE"),"")</f>
        <v/>
      </c>
      <c r="O28" s="10"/>
      <c r="P28" s="59" t="str">
        <f t="shared" si="12"/>
        <v/>
      </c>
      <c r="Q28" s="60" t="str">
        <f>IFERROR((P28/_xlfn.XLOOKUP(YEAR(M28),LISTADO!$L$3:$L$32,LISTADO!$M$3:$M$32)),"")</f>
        <v/>
      </c>
      <c r="R28" s="43"/>
      <c r="S28" s="64" t="str">
        <f>IF(W28="CUMPLE",IFERROR(R28*LISTADO!$M$32,"0"),"")</f>
        <v/>
      </c>
      <c r="T28" s="44"/>
      <c r="U28" s="38"/>
      <c r="V28" s="38"/>
      <c r="W28" s="55" t="str">
        <f t="shared" si="13"/>
        <v/>
      </c>
      <c r="X28" s="195"/>
      <c r="Y28" s="195"/>
      <c r="Z28" s="198"/>
      <c r="AA28" s="200"/>
      <c r="AB28" s="203"/>
      <c r="AC28" s="206"/>
    </row>
    <row r="29" spans="1:29" ht="14.25" thickBot="1" x14ac:dyDescent="0.25">
      <c r="A29" s="184"/>
      <c r="B29" s="187"/>
      <c r="C29" s="46"/>
      <c r="D29" s="47"/>
      <c r="E29" s="190"/>
      <c r="F29" s="193"/>
      <c r="G29" s="46"/>
      <c r="H29" s="30"/>
      <c r="I29" s="46"/>
      <c r="J29" s="46"/>
      <c r="K29" s="31"/>
      <c r="L29" s="35"/>
      <c r="M29" s="35"/>
      <c r="N29" s="56" t="str">
        <f>IF(M29&lt;&gt;"",IF(M29&gt;LISTADO!$J$3,"NO CUMPLE","CUMPLE"),"")</f>
        <v/>
      </c>
      <c r="O29" s="32"/>
      <c r="P29" s="61" t="str">
        <f t="shared" si="12"/>
        <v/>
      </c>
      <c r="Q29" s="62" t="str">
        <f>IFERROR((P29/_xlfn.XLOOKUP(YEAR(M29),LISTADO!$L$3:$L$32,LISTADO!$M$3:$M$32)),"")</f>
        <v/>
      </c>
      <c r="R29" s="48"/>
      <c r="S29" s="65" t="str">
        <f>IF(W29="CUMPLE",IFERROR(R29*LISTADO!$M$32,"0"),"")</f>
        <v/>
      </c>
      <c r="T29" s="49"/>
      <c r="U29" s="46"/>
      <c r="V29" s="46"/>
      <c r="W29" s="56" t="str">
        <f t="shared" si="13"/>
        <v/>
      </c>
      <c r="X29" s="196"/>
      <c r="Y29" s="196"/>
      <c r="Z29" s="199"/>
      <c r="AA29" s="201"/>
      <c r="AB29" s="204"/>
      <c r="AC29" s="207"/>
    </row>
    <row r="30" spans="1:29" ht="64.150000000000006" customHeight="1" x14ac:dyDescent="0.2">
      <c r="A30" s="182">
        <v>8</v>
      </c>
      <c r="B30" s="185" t="str" cm="1">
        <f t="array" aca="1" ref="B30" ca="1">IF(INDIRECT("Consolidado!B"&amp;LISTADO!R30)="","",INDIRECT("Consolidado!B"&amp;LISTADO!R30))</f>
        <v>CONSORCIO TOOL</v>
      </c>
      <c r="C30" s="52" t="s">
        <v>65</v>
      </c>
      <c r="D30" s="5">
        <v>0.4</v>
      </c>
      <c r="E30" s="188">
        <f>LISTADO!$I$3*0.6</f>
        <v>811172559.60000002</v>
      </c>
      <c r="F30" s="191">
        <f>E30/LISTADO!$M$32</f>
        <v>623.97889199999997</v>
      </c>
      <c r="G30" s="37">
        <v>1</v>
      </c>
      <c r="H30" s="164" t="s">
        <v>66</v>
      </c>
      <c r="I30" s="37" t="s">
        <v>65</v>
      </c>
      <c r="J30" s="37" t="s">
        <v>2</v>
      </c>
      <c r="K30" s="5">
        <v>0.4</v>
      </c>
      <c r="L30" s="33">
        <v>42906</v>
      </c>
      <c r="M30" s="33">
        <v>43251</v>
      </c>
      <c r="N30" s="54" t="str">
        <f>IF(M30&lt;&gt;"",IF(M30&gt;LISTADO!$J$3,"NO CUMPLE","CUMPLE"),"")</f>
        <v>CUMPLE</v>
      </c>
      <c r="O30" s="7">
        <v>1918462797</v>
      </c>
      <c r="P30" s="57">
        <f>IF(O30&gt;0,K30*O30,"")</f>
        <v>767385118.80000007</v>
      </c>
      <c r="Q30" s="58">
        <f>IFERROR((P30/_xlfn.XLOOKUP(YEAR(M30),LISTADO!$L$3:$L$32,LISTADO!$M$3:$M$32)),"")</f>
        <v>982.26301043722697</v>
      </c>
      <c r="R30" s="39">
        <f>2455.65*0.4</f>
        <v>982.2600000000001</v>
      </c>
      <c r="S30" s="63">
        <f>IF(W30="CUMPLE",IFERROR(R30*LISTADO!$M$32,"0"),"")</f>
        <v>1276938000.0000002</v>
      </c>
      <c r="T30" s="40">
        <v>801015</v>
      </c>
      <c r="U30" s="37">
        <v>239</v>
      </c>
      <c r="V30" s="41"/>
      <c r="W30" s="54" t="str">
        <f>IF(COUNTBLANK(J30)+COUNTBLANK(N30)+COUNTBLANK(T30)=3,"",IF(COUNTIF(J30,"CUMPLE")+COUNTIF(N30,"CUMPLE")+COUNTIF(T30,"801015")+COUNTIF(T30,"801016")+COUNTIF(T30,"841116")=3,IF(V30="","CUMPLE","NO CUMPLE"),"NO CUMPLE"))</f>
        <v>CUMPLE</v>
      </c>
      <c r="X30" s="194">
        <f>IF(G30&gt;0,SUMIFS(S30:S33,W30:W33,"CUMPLE"),"")</f>
        <v>1276938000.0000002</v>
      </c>
      <c r="Y30" s="194" t="str">
        <f>IF(X30="","",IF(X30&gt;=E30,"CUMPLE","NO CUMPLE"))</f>
        <v>CUMPLE</v>
      </c>
      <c r="Z30" s="197">
        <f>IF(Y30="","",IF(Y30="CUMPLE",SUMIFS(R30:R33,W30:W33,"CUMPLE"),0))</f>
        <v>982.2600000000001</v>
      </c>
      <c r="AA30" s="197">
        <f>IFERROR(Z30/COUNTIF(W30:W33,"CUMPLE"),"")</f>
        <v>982.2600000000001</v>
      </c>
      <c r="AB30" s="202">
        <f ca="1">VLOOKUP(B30,Consolidado!$B$4:$H$16,7,0)</f>
        <v>28.114918424710581</v>
      </c>
      <c r="AC30" s="205"/>
    </row>
    <row r="31" spans="1:29" ht="13.5" x14ac:dyDescent="0.2">
      <c r="A31" s="183"/>
      <c r="B31" s="186"/>
      <c r="C31" s="53" t="s">
        <v>67</v>
      </c>
      <c r="D31" s="9">
        <v>0.6</v>
      </c>
      <c r="E31" s="189"/>
      <c r="F31" s="192"/>
      <c r="G31" s="38"/>
      <c r="H31" s="8"/>
      <c r="I31" s="38"/>
      <c r="J31" s="38"/>
      <c r="K31" s="9"/>
      <c r="L31" s="34"/>
      <c r="M31" s="34"/>
      <c r="N31" s="55" t="str">
        <f>IF(M31&lt;&gt;"",IF(M31&gt;LISTADO!$J$3,"NO CUMPLE","CUMPLE"),"")</f>
        <v/>
      </c>
      <c r="O31" s="10"/>
      <c r="P31" s="59" t="str">
        <f t="shared" ref="P31:P33" si="14">IF(O31&gt;0,K31*O31,"")</f>
        <v/>
      </c>
      <c r="Q31" s="60" t="str">
        <f>IFERROR((P31/_xlfn.XLOOKUP(YEAR(M31),LISTADO!$L$3:$L$32,LISTADO!$M$3:$M$32)),"")</f>
        <v/>
      </c>
      <c r="R31" s="43"/>
      <c r="S31" s="64" t="str">
        <f>IF(W31="CUMPLE",IFERROR(R31*LISTADO!$M$32,"0"),"")</f>
        <v/>
      </c>
      <c r="T31" s="44"/>
      <c r="U31" s="38"/>
      <c r="V31" s="38"/>
      <c r="W31" s="55" t="str">
        <f t="shared" ref="W31:W33" si="15">IF(COUNTBLANK(J31)+COUNTBLANK(N31)+COUNTBLANK(T31)=3,"",IF(COUNTIF(J31,"CUMPLE")+COUNTIF(N31,"CUMPLE")+COUNTIF(T31,"801015")+COUNTIF(T31,"801016")+COUNTIF(T31,"841116")=3,IF(V31="","CUMPLE","NO CUMPLE"),"NO CUMPLE"))</f>
        <v/>
      </c>
      <c r="X31" s="195"/>
      <c r="Y31" s="195"/>
      <c r="Z31" s="198"/>
      <c r="AA31" s="200"/>
      <c r="AB31" s="203"/>
      <c r="AC31" s="206"/>
    </row>
    <row r="32" spans="1:29" ht="13.5" x14ac:dyDescent="0.2">
      <c r="A32" s="183"/>
      <c r="B32" s="186"/>
      <c r="C32" s="38"/>
      <c r="D32" s="45"/>
      <c r="E32" s="189"/>
      <c r="F32" s="192"/>
      <c r="G32" s="38"/>
      <c r="H32" s="8"/>
      <c r="I32" s="38"/>
      <c r="J32" s="38"/>
      <c r="K32" s="9"/>
      <c r="L32" s="34"/>
      <c r="M32" s="34"/>
      <c r="N32" s="55" t="str">
        <f>IF(M32&lt;&gt;"",IF(M32&gt;LISTADO!$J$3,"NO CUMPLE","CUMPLE"),"")</f>
        <v/>
      </c>
      <c r="O32" s="10"/>
      <c r="P32" s="59" t="str">
        <f t="shared" si="14"/>
        <v/>
      </c>
      <c r="Q32" s="60" t="str">
        <f>IFERROR((P32/_xlfn.XLOOKUP(YEAR(M32),LISTADO!$L$3:$L$32,LISTADO!$M$3:$M$32)),"")</f>
        <v/>
      </c>
      <c r="R32" s="43"/>
      <c r="S32" s="64" t="str">
        <f>IF(W32="CUMPLE",IFERROR(R32*LISTADO!$M$32,"0"),"")</f>
        <v/>
      </c>
      <c r="T32" s="44"/>
      <c r="U32" s="38"/>
      <c r="V32" s="38"/>
      <c r="W32" s="55" t="str">
        <f t="shared" si="15"/>
        <v/>
      </c>
      <c r="X32" s="195"/>
      <c r="Y32" s="195"/>
      <c r="Z32" s="198"/>
      <c r="AA32" s="200"/>
      <c r="AB32" s="203"/>
      <c r="AC32" s="206"/>
    </row>
    <row r="33" spans="1:29" ht="14.25" thickBot="1" x14ac:dyDescent="0.25">
      <c r="A33" s="184"/>
      <c r="B33" s="187"/>
      <c r="C33" s="46"/>
      <c r="D33" s="47"/>
      <c r="E33" s="190"/>
      <c r="F33" s="193"/>
      <c r="G33" s="46"/>
      <c r="H33" s="30"/>
      <c r="I33" s="46"/>
      <c r="J33" s="46"/>
      <c r="K33" s="31"/>
      <c r="L33" s="35"/>
      <c r="M33" s="35"/>
      <c r="N33" s="56" t="str">
        <f>IF(M33&lt;&gt;"",IF(M33&gt;LISTADO!$J$3,"NO CUMPLE","CUMPLE"),"")</f>
        <v/>
      </c>
      <c r="O33" s="32"/>
      <c r="P33" s="61" t="str">
        <f t="shared" si="14"/>
        <v/>
      </c>
      <c r="Q33" s="62" t="str">
        <f>IFERROR((P33/_xlfn.XLOOKUP(YEAR(M33),LISTADO!$L$3:$L$32,LISTADO!$M$3:$M$32)),"")</f>
        <v/>
      </c>
      <c r="R33" s="48"/>
      <c r="S33" s="65" t="str">
        <f>IF(W33="CUMPLE",IFERROR(R33*LISTADO!$M$32,"0"),"")</f>
        <v/>
      </c>
      <c r="T33" s="49"/>
      <c r="U33" s="46"/>
      <c r="V33" s="46"/>
      <c r="W33" s="56" t="str">
        <f t="shared" si="15"/>
        <v/>
      </c>
      <c r="X33" s="196"/>
      <c r="Y33" s="196"/>
      <c r="Z33" s="199"/>
      <c r="AA33" s="201"/>
      <c r="AB33" s="204"/>
      <c r="AC33" s="207"/>
    </row>
    <row r="34" spans="1:29" ht="93" customHeight="1" x14ac:dyDescent="0.2">
      <c r="A34" s="182">
        <v>9</v>
      </c>
      <c r="B34" s="185" t="str" cm="1">
        <f t="array" aca="1" ref="B34" ca="1">IF(INDIRECT("Consolidado!B"&amp;LISTADO!R34)="","",INDIRECT("Consolidado!B"&amp;LISTADO!R34))</f>
        <v>CONSORCIO INTERVENTORÍA DE VIGILANCIA 2024</v>
      </c>
      <c r="C34" s="151" t="s">
        <v>68</v>
      </c>
      <c r="D34" s="5">
        <v>0.5</v>
      </c>
      <c r="E34" s="188">
        <f>LISTADO!$I$3*0.6</f>
        <v>811172559.60000002</v>
      </c>
      <c r="F34" s="191">
        <f>E34/LISTADO!$M$32</f>
        <v>623.97889199999997</v>
      </c>
      <c r="G34" s="37">
        <v>1</v>
      </c>
      <c r="H34" s="6" t="s">
        <v>69</v>
      </c>
      <c r="I34" s="37" t="s">
        <v>70</v>
      </c>
      <c r="J34" s="37" t="s">
        <v>2</v>
      </c>
      <c r="K34" s="5">
        <v>0.5</v>
      </c>
      <c r="L34" s="33">
        <v>41934</v>
      </c>
      <c r="M34" s="33">
        <v>42004</v>
      </c>
      <c r="N34" s="54" t="str">
        <f>IF(M34&lt;&gt;"",IF(M34&gt;LISTADO!$J$3,"NO CUMPLE","CUMPLE"),"")</f>
        <v>CUMPLE</v>
      </c>
      <c r="O34" s="7">
        <v>1462606300</v>
      </c>
      <c r="P34" s="57">
        <f>IF(O34&gt;0,K34*O34,"")</f>
        <v>731303150</v>
      </c>
      <c r="Q34" s="58">
        <f>IFERROR((P34/_xlfn.XLOOKUP(YEAR(M34),LISTADO!$L$3:$L$32,LISTADO!$M$3:$M$32)),"")</f>
        <v>1187.1804383116882</v>
      </c>
      <c r="R34" s="39">
        <v>1244</v>
      </c>
      <c r="S34" s="63">
        <f>IF(W34="CUMPLE",IFERROR(R34*LISTADO!$M$32,"0"),"")</f>
        <v>1617200000</v>
      </c>
      <c r="T34" s="40">
        <v>801015</v>
      </c>
      <c r="U34" s="37">
        <v>3</v>
      </c>
      <c r="V34" s="41"/>
      <c r="W34" s="54" t="str">
        <f>IF(COUNTBLANK(J34)+COUNTBLANK(N34)+COUNTBLANK(T34)=3,"",IF(COUNTIF(J34,"CUMPLE")+COUNTIF(N34,"CUMPLE")+COUNTIF(T34,"801015")+COUNTIF(T34,"801016")+COUNTIF(T34,"841116")=3,IF(V34="","CUMPLE","NO CUMPLE"),"NO CUMPLE"))</f>
        <v>CUMPLE</v>
      </c>
      <c r="X34" s="194">
        <f>IF(G34&gt;0,SUMIFS(S34:S37,W34:W37,"CUMPLE"),"")</f>
        <v>2748200000</v>
      </c>
      <c r="Y34" s="194" t="str">
        <f>IF(X34="","",IF(X34&gt;=E34,"CUMPLE","NO CUMPLE"))</f>
        <v>CUMPLE</v>
      </c>
      <c r="Z34" s="197">
        <f>IF(Y34="","",IF(Y34="CUMPLE",SUMIFS(R34:R37,W34:W37,"CUMPLE"),0))</f>
        <v>2114</v>
      </c>
      <c r="AA34" s="197">
        <f>IFERROR(Z34/COUNTIF(W34:W37,"CUMPLE"),"")</f>
        <v>1057</v>
      </c>
      <c r="AB34" s="202" t="str">
        <f ca="1">VLOOKUP(B34,Consolidado!$B$4:$H$16,7,0)</f>
        <v/>
      </c>
      <c r="AC34" s="205"/>
    </row>
    <row r="35" spans="1:29" ht="135" x14ac:dyDescent="0.2">
      <c r="A35" s="183"/>
      <c r="B35" s="186"/>
      <c r="C35" s="53" t="s">
        <v>70</v>
      </c>
      <c r="D35" s="9">
        <v>0.5</v>
      </c>
      <c r="E35" s="189"/>
      <c r="F35" s="192"/>
      <c r="G35" s="38">
        <v>2</v>
      </c>
      <c r="H35" s="8" t="s">
        <v>71</v>
      </c>
      <c r="I35" s="38" t="s">
        <v>68</v>
      </c>
      <c r="J35" s="38" t="s">
        <v>2</v>
      </c>
      <c r="K35" s="9">
        <v>1</v>
      </c>
      <c r="L35" s="34">
        <v>43321</v>
      </c>
      <c r="M35" s="34">
        <v>43738</v>
      </c>
      <c r="N35" s="55" t="str">
        <f>IF(M35&lt;&gt;"",IF(M35&gt;LISTADO!$J$3,"NO CUMPLE","CUMPLE"),"")</f>
        <v>CUMPLE</v>
      </c>
      <c r="O35" s="10">
        <v>720961500</v>
      </c>
      <c r="P35" s="59">
        <f t="shared" ref="P35:P37" si="16">IF(O35&gt;0,K35*O35,"")</f>
        <v>720961500</v>
      </c>
      <c r="Q35" s="60">
        <f>IFERROR((P35/_xlfn.XLOOKUP(YEAR(M35),LISTADO!$L$3:$L$32,LISTADO!$M$3:$M$32)),"")</f>
        <v>870.60448053171297</v>
      </c>
      <c r="R35" s="43">
        <v>870</v>
      </c>
      <c r="S35" s="64">
        <f>IF(W35="CUMPLE",IFERROR(R35*LISTADO!$M$32,"0"),"")</f>
        <v>1131000000</v>
      </c>
      <c r="T35" s="44">
        <v>801015</v>
      </c>
      <c r="U35" s="38">
        <v>37</v>
      </c>
      <c r="V35" s="38"/>
      <c r="W35" s="55" t="str">
        <f t="shared" ref="W35:W37" si="17">IF(COUNTBLANK(J35)+COUNTBLANK(N35)+COUNTBLANK(T35)=3,"",IF(COUNTIF(J35,"CUMPLE")+COUNTIF(N35,"CUMPLE")+COUNTIF(T35,"801015")+COUNTIF(T35,"801016")+COUNTIF(T35,"841116")=3,IF(V35="","CUMPLE","NO CUMPLE"),"NO CUMPLE"))</f>
        <v>CUMPLE</v>
      </c>
      <c r="X35" s="195"/>
      <c r="Y35" s="195"/>
      <c r="Z35" s="198"/>
      <c r="AA35" s="200"/>
      <c r="AB35" s="203"/>
      <c r="AC35" s="206"/>
    </row>
    <row r="36" spans="1:29" ht="13.5" x14ac:dyDescent="0.2">
      <c r="A36" s="183"/>
      <c r="B36" s="186"/>
      <c r="C36" s="38"/>
      <c r="D36" s="45"/>
      <c r="E36" s="189"/>
      <c r="F36" s="192"/>
      <c r="G36" s="38"/>
      <c r="H36" s="8"/>
      <c r="I36" s="38"/>
      <c r="J36" s="38"/>
      <c r="K36" s="9"/>
      <c r="L36" s="34"/>
      <c r="M36" s="34"/>
      <c r="N36" s="55" t="str">
        <f>IF(M36&lt;&gt;"",IF(M36&gt;LISTADO!$J$3,"NO CUMPLE","CUMPLE"),"")</f>
        <v/>
      </c>
      <c r="O36" s="10"/>
      <c r="P36" s="59" t="str">
        <f t="shared" si="16"/>
        <v/>
      </c>
      <c r="Q36" s="60" t="str">
        <f>IFERROR((P36/_xlfn.XLOOKUP(YEAR(M36),LISTADO!$L$3:$L$32,LISTADO!$M$3:$M$32)),"")</f>
        <v/>
      </c>
      <c r="R36" s="43"/>
      <c r="S36" s="64" t="str">
        <f>IF(W36="CUMPLE",IFERROR(R36*LISTADO!$M$32,"0"),"")</f>
        <v/>
      </c>
      <c r="T36" s="44"/>
      <c r="U36" s="38"/>
      <c r="V36" s="38"/>
      <c r="W36" s="55" t="str">
        <f t="shared" si="17"/>
        <v/>
      </c>
      <c r="X36" s="195"/>
      <c r="Y36" s="195"/>
      <c r="Z36" s="198"/>
      <c r="AA36" s="200"/>
      <c r="AB36" s="203"/>
      <c r="AC36" s="206"/>
    </row>
    <row r="37" spans="1:29" ht="14.25" thickBot="1" x14ac:dyDescent="0.25">
      <c r="A37" s="184"/>
      <c r="B37" s="187"/>
      <c r="C37" s="46"/>
      <c r="D37" s="47"/>
      <c r="E37" s="190"/>
      <c r="F37" s="193"/>
      <c r="G37" s="46"/>
      <c r="H37" s="30"/>
      <c r="I37" s="46"/>
      <c r="J37" s="46"/>
      <c r="K37" s="31"/>
      <c r="L37" s="35"/>
      <c r="M37" s="35"/>
      <c r="N37" s="56" t="str">
        <f>IF(M37&lt;&gt;"",IF(M37&gt;LISTADO!$J$3,"NO CUMPLE","CUMPLE"),"")</f>
        <v/>
      </c>
      <c r="O37" s="32"/>
      <c r="P37" s="61" t="str">
        <f t="shared" si="16"/>
        <v/>
      </c>
      <c r="Q37" s="62" t="str">
        <f>IFERROR((P37/_xlfn.XLOOKUP(YEAR(M37),LISTADO!$L$3:$L$32,LISTADO!$M$3:$M$32)),"")</f>
        <v/>
      </c>
      <c r="R37" s="48"/>
      <c r="S37" s="65" t="str">
        <f>IF(W37="CUMPLE",IFERROR(R37*LISTADO!$M$32,"0"),"")</f>
        <v/>
      </c>
      <c r="T37" s="49"/>
      <c r="U37" s="46"/>
      <c r="V37" s="46"/>
      <c r="W37" s="56" t="str">
        <f t="shared" si="17"/>
        <v/>
      </c>
      <c r="X37" s="196"/>
      <c r="Y37" s="196"/>
      <c r="Z37" s="199"/>
      <c r="AA37" s="201"/>
      <c r="AB37" s="204"/>
      <c r="AC37" s="207"/>
    </row>
    <row r="38" spans="1:29" ht="27" x14ac:dyDescent="0.2">
      <c r="A38" s="182">
        <v>10</v>
      </c>
      <c r="B38" s="185" t="str" cm="1">
        <f t="array" aca="1" ref="B38" ca="1">IF(INDIRECT("Consolidado!B"&amp;LISTADO!R38)="","",INDIRECT("Consolidado!B"&amp;LISTADO!R38))</f>
        <v>Consultora Central S.A.S BIC</v>
      </c>
      <c r="C38" s="52" t="str">
        <f ca="1">B38</f>
        <v>Consultora Central S.A.S BIC</v>
      </c>
      <c r="D38" s="5">
        <v>1</v>
      </c>
      <c r="E38" s="188">
        <f>LISTADO!$I$3*0.6</f>
        <v>811172559.60000002</v>
      </c>
      <c r="F38" s="191">
        <f>E38/LISTADO!$M$32</f>
        <v>623.97889199999997</v>
      </c>
      <c r="G38" s="37">
        <v>1</v>
      </c>
      <c r="H38" s="6" t="s">
        <v>72</v>
      </c>
      <c r="I38" s="37" t="s">
        <v>73</v>
      </c>
      <c r="J38" s="37" t="s">
        <v>2</v>
      </c>
      <c r="K38" s="5">
        <v>1</v>
      </c>
      <c r="L38" s="33">
        <v>41254</v>
      </c>
      <c r="M38" s="33">
        <v>41973</v>
      </c>
      <c r="N38" s="54" t="str">
        <f>IF(M38&lt;&gt;"",IF(M38&gt;LISTADO!$J$3,"NO CUMPLE","CUMPLE"),"")</f>
        <v>CUMPLE</v>
      </c>
      <c r="O38" s="7">
        <v>1362821351</v>
      </c>
      <c r="P38" s="57">
        <f>IF(O38&gt;0,K38*O38,"")</f>
        <v>1362821351</v>
      </c>
      <c r="Q38" s="58">
        <f>IFERROR((P38/_xlfn.XLOOKUP(YEAR(M38),LISTADO!$L$3:$L$32,LISTADO!$M$3:$M$32)),"")</f>
        <v>2212.3723230519481</v>
      </c>
      <c r="R38" s="39">
        <v>2212.37</v>
      </c>
      <c r="S38" s="63">
        <f>IF(W38="CUMPLE",IFERROR(R38*LISTADO!$M$32,"0"),"")</f>
        <v>2876081000</v>
      </c>
      <c r="T38" s="40">
        <v>801016</v>
      </c>
      <c r="U38" s="37">
        <v>125</v>
      </c>
      <c r="V38" s="41"/>
      <c r="W38" s="54" t="str">
        <f>IF(COUNTBLANK(J38)+COUNTBLANK(N38)+COUNTBLANK(T38)=3,"",IF(COUNTIF(J38,"CUMPLE")+COUNTIF(N38,"CUMPLE")+COUNTIF(T38,"801015")+COUNTIF(T38,"801016")+COUNTIF(T38,"841116")=3,IF(V38="","CUMPLE","NO CUMPLE"),"NO CUMPLE"))</f>
        <v>CUMPLE</v>
      </c>
      <c r="X38" s="194">
        <f>IF(G38&gt;0,SUMIFS(S38:S41,W38:W41,"CUMPLE"),"")</f>
        <v>3463239000</v>
      </c>
      <c r="Y38" s="194" t="str">
        <f>IF(X38="","",IF(X38&gt;=E38,"CUMPLE","NO CUMPLE"))</f>
        <v>CUMPLE</v>
      </c>
      <c r="Z38" s="197">
        <f>IF(Y38="","",IF(Y38="CUMPLE",SUMIFS(R38:R41,W38:W41,"CUMPLE"),0))</f>
        <v>2664.0299999999997</v>
      </c>
      <c r="AA38" s="197">
        <f>IFERROR(Z38/COUNTIF(W38:W41,"CUMPLE"),"")</f>
        <v>1332.0149999999999</v>
      </c>
      <c r="AB38" s="202">
        <f ca="1">VLOOKUP(B38,Consolidado!$B$4:$H$16,7,0)</f>
        <v>26.874154434171345</v>
      </c>
      <c r="AC38" s="205"/>
    </row>
    <row r="39" spans="1:29" ht="27" x14ac:dyDescent="0.2">
      <c r="A39" s="183"/>
      <c r="B39" s="186"/>
      <c r="C39" s="53"/>
      <c r="D39" s="9"/>
      <c r="E39" s="189"/>
      <c r="F39" s="192"/>
      <c r="G39" s="38">
        <v>2</v>
      </c>
      <c r="H39" s="8" t="s">
        <v>72</v>
      </c>
      <c r="I39" s="38" t="s">
        <v>73</v>
      </c>
      <c r="J39" s="38" t="s">
        <v>2</v>
      </c>
      <c r="K39" s="9">
        <v>1</v>
      </c>
      <c r="L39" s="34">
        <v>43761</v>
      </c>
      <c r="M39" s="34">
        <v>43830</v>
      </c>
      <c r="N39" s="55" t="str">
        <f>IF(M39&lt;&gt;"",IF(M39&gt;LISTADO!$J$3,"NO CUMPLE","CUMPLE"),"")</f>
        <v>CUMPLE</v>
      </c>
      <c r="O39" s="10">
        <v>374034077</v>
      </c>
      <c r="P39" s="59">
        <f t="shared" ref="P39:P41" si="18">IF(O39&gt;0,K39*O39,"")</f>
        <v>374034077</v>
      </c>
      <c r="Q39" s="60">
        <f>IFERROR((P39/_xlfn.XLOOKUP(YEAR(M39),LISTADO!$L$3:$L$32,LISTADO!$M$3:$M$32)),"")</f>
        <v>451.66869979568082</v>
      </c>
      <c r="R39" s="43">
        <v>451.66</v>
      </c>
      <c r="S39" s="64">
        <f>IF(W39="CUMPLE",IFERROR(R39*LISTADO!$M$32,"0"),"")</f>
        <v>587158000</v>
      </c>
      <c r="T39" s="44">
        <v>801015</v>
      </c>
      <c r="U39" s="38">
        <v>185</v>
      </c>
      <c r="V39" s="38"/>
      <c r="W39" s="55" t="str">
        <f t="shared" ref="W39:W41" si="19">IF(COUNTBLANK(J39)+COUNTBLANK(N39)+COUNTBLANK(T39)=3,"",IF(COUNTIF(J39,"CUMPLE")+COUNTIF(N39,"CUMPLE")+COUNTIF(T39,"801015")+COUNTIF(T39,"801016")+COUNTIF(T39,"841116")=3,IF(V39="","CUMPLE","NO CUMPLE"),"NO CUMPLE"))</f>
        <v>CUMPLE</v>
      </c>
      <c r="X39" s="195"/>
      <c r="Y39" s="195"/>
      <c r="Z39" s="198"/>
      <c r="AA39" s="200"/>
      <c r="AB39" s="203"/>
      <c r="AC39" s="206"/>
    </row>
    <row r="40" spans="1:29" ht="13.5" x14ac:dyDescent="0.2">
      <c r="A40" s="183"/>
      <c r="B40" s="186"/>
      <c r="C40" s="38"/>
      <c r="D40" s="45"/>
      <c r="E40" s="189"/>
      <c r="F40" s="192"/>
      <c r="G40" s="38"/>
      <c r="H40" s="8"/>
      <c r="I40" s="38"/>
      <c r="J40" s="38"/>
      <c r="K40" s="9"/>
      <c r="L40" s="34"/>
      <c r="M40" s="34"/>
      <c r="N40" s="55" t="str">
        <f>IF(M40&lt;&gt;"",IF(M40&gt;LISTADO!$J$3,"NO CUMPLE","CUMPLE"),"")</f>
        <v/>
      </c>
      <c r="O40" s="10"/>
      <c r="P40" s="59" t="str">
        <f t="shared" si="18"/>
        <v/>
      </c>
      <c r="Q40" s="60" t="str">
        <f>IFERROR((P40/_xlfn.XLOOKUP(YEAR(M40),LISTADO!$L$3:$L$32,LISTADO!$M$3:$M$32)),"")</f>
        <v/>
      </c>
      <c r="R40" s="43"/>
      <c r="S40" s="64" t="str">
        <f>IF(W40="CUMPLE",IFERROR(R40*LISTADO!$M$32,"0"),"")</f>
        <v/>
      </c>
      <c r="T40" s="44"/>
      <c r="U40" s="38"/>
      <c r="V40" s="38"/>
      <c r="W40" s="55" t="str">
        <f t="shared" si="19"/>
        <v/>
      </c>
      <c r="X40" s="195"/>
      <c r="Y40" s="195"/>
      <c r="Z40" s="198"/>
      <c r="AA40" s="200"/>
      <c r="AB40" s="203"/>
      <c r="AC40" s="206"/>
    </row>
    <row r="41" spans="1:29" ht="14.25" thickBot="1" x14ac:dyDescent="0.25">
      <c r="A41" s="184"/>
      <c r="B41" s="187"/>
      <c r="C41" s="46"/>
      <c r="D41" s="47"/>
      <c r="E41" s="190"/>
      <c r="F41" s="193"/>
      <c r="G41" s="46"/>
      <c r="H41" s="30"/>
      <c r="I41" s="46"/>
      <c r="J41" s="46"/>
      <c r="K41" s="31"/>
      <c r="L41" s="35"/>
      <c r="M41" s="35"/>
      <c r="N41" s="56" t="str">
        <f>IF(M41&lt;&gt;"",IF(M41&gt;LISTADO!$J$3,"NO CUMPLE","CUMPLE"),"")</f>
        <v/>
      </c>
      <c r="O41" s="32"/>
      <c r="P41" s="61" t="str">
        <f t="shared" si="18"/>
        <v/>
      </c>
      <c r="Q41" s="62" t="str">
        <f>IFERROR((P41/_xlfn.XLOOKUP(YEAR(M41),LISTADO!$L$3:$L$32,LISTADO!$M$3:$M$32)),"")</f>
        <v/>
      </c>
      <c r="R41" s="48"/>
      <c r="S41" s="65" t="str">
        <f>IF(W41="CUMPLE",IFERROR(R41*LISTADO!$M$32,"0"),"")</f>
        <v/>
      </c>
      <c r="T41" s="49"/>
      <c r="U41" s="46"/>
      <c r="V41" s="46"/>
      <c r="W41" s="56" t="str">
        <f t="shared" si="19"/>
        <v/>
      </c>
      <c r="X41" s="196"/>
      <c r="Y41" s="196"/>
      <c r="Z41" s="199"/>
      <c r="AA41" s="201"/>
      <c r="AB41" s="204"/>
      <c r="AC41" s="207"/>
    </row>
    <row r="42" spans="1:29" ht="83.45" customHeight="1" x14ac:dyDescent="0.2">
      <c r="A42" s="182">
        <v>11</v>
      </c>
      <c r="B42" s="185" t="str" cm="1">
        <f t="array" aca="1" ref="B42" ca="1">IF(INDIRECT("Consolidado!B"&amp;LISTADO!R42)="","",INDIRECT("Consolidado!B"&amp;LISTADO!R42))</f>
        <v>CONSORCIO INTERVENCIÓN Y SEGURIDAD DISTRITAL</v>
      </c>
      <c r="C42" s="52" t="s">
        <v>74</v>
      </c>
      <c r="D42" s="5">
        <v>0.5</v>
      </c>
      <c r="E42" s="188">
        <f>LISTADO!$I$3*0.6</f>
        <v>811172559.60000002</v>
      </c>
      <c r="F42" s="191">
        <f>E42/LISTADO!$M$32</f>
        <v>623.97889199999997</v>
      </c>
      <c r="G42" s="37">
        <v>1</v>
      </c>
      <c r="H42" s="6" t="s">
        <v>75</v>
      </c>
      <c r="I42" s="37" t="s">
        <v>74</v>
      </c>
      <c r="J42" s="37" t="s">
        <v>2</v>
      </c>
      <c r="K42" s="5">
        <v>0.3</v>
      </c>
      <c r="L42" s="33">
        <v>44559</v>
      </c>
      <c r="M42" s="33">
        <v>45010</v>
      </c>
      <c r="N42" s="54" t="str">
        <f>IF(M42&lt;&gt;"",IF(M42&gt;LISTADO!$J$3,"NO CUMPLE","CUMPLE"),"")</f>
        <v>CUMPLE</v>
      </c>
      <c r="O42" s="7">
        <v>3259504248</v>
      </c>
      <c r="P42" s="57">
        <f>IF(O42&gt;0,K42*O42,"")</f>
        <v>977851274.39999998</v>
      </c>
      <c r="Q42" s="58">
        <f>IFERROR((P42/_xlfn.XLOOKUP(YEAR(M42),LISTADO!$L$3:$L$32,LISTADO!$M$3:$M$32)),"")</f>
        <v>842.97523655172415</v>
      </c>
      <c r="R42" s="39">
        <v>842</v>
      </c>
      <c r="S42" s="63">
        <f>IF(W42="CUMPLE",IFERROR(R42*LISTADO!$M$32,"0"),"")</f>
        <v>1094600000</v>
      </c>
      <c r="T42" s="40">
        <v>801015</v>
      </c>
      <c r="U42" s="37">
        <v>63</v>
      </c>
      <c r="V42" s="41"/>
      <c r="W42" s="54" t="str">
        <f>IF(COUNTBLANK(J42)+COUNTBLANK(N42)+COUNTBLANK(T42)=3,"",IF(COUNTIF(J42,"CUMPLE")+COUNTIF(N42,"CUMPLE")+COUNTIF(T42,"801015")+COUNTIF(T42,"801016")+COUNTIF(T42,"841116")=3,IF(V42="","CUMPLE","NO CUMPLE"),"NO CUMPLE"))</f>
        <v>CUMPLE</v>
      </c>
      <c r="X42" s="194">
        <f>IF(G42&gt;0,SUMIFS(S42:S45,W42:W45,"CUMPLE"),"")</f>
        <v>2774200000</v>
      </c>
      <c r="Y42" s="194" t="str">
        <f>IF(X42="","",IF(X42&gt;=E42,"CUMPLE","NO CUMPLE"))</f>
        <v>CUMPLE</v>
      </c>
      <c r="Z42" s="197">
        <f>IF(Y42="","",IF(Y42="CUMPLE",SUMIFS(R42:R45,W42:W45,"CUMPLE"),0))</f>
        <v>2134</v>
      </c>
      <c r="AA42" s="197">
        <f>IFERROR(Z42/COUNTIF(W42:W45,"CUMPLE"),"")</f>
        <v>1067</v>
      </c>
      <c r="AB42" s="202">
        <f ca="1">VLOOKUP(B42,Consolidado!$B$4:$H$16,7,0)</f>
        <v>30.540404739240309</v>
      </c>
      <c r="AC42" s="205"/>
    </row>
    <row r="43" spans="1:29" ht="94.5" x14ac:dyDescent="0.2">
      <c r="A43" s="183"/>
      <c r="B43" s="186"/>
      <c r="C43" s="53" t="s">
        <v>76</v>
      </c>
      <c r="D43" s="9">
        <v>0.5</v>
      </c>
      <c r="E43" s="189"/>
      <c r="F43" s="192"/>
      <c r="G43" s="38">
        <v>2</v>
      </c>
      <c r="H43" s="8" t="s">
        <v>77</v>
      </c>
      <c r="I43" s="38" t="s">
        <v>74</v>
      </c>
      <c r="J43" s="38" t="s">
        <v>2</v>
      </c>
      <c r="K43" s="9">
        <v>1</v>
      </c>
      <c r="L43" s="34">
        <v>44796</v>
      </c>
      <c r="M43" s="34">
        <v>44942</v>
      </c>
      <c r="N43" s="55" t="str">
        <f>IF(M43&lt;&gt;"",IF(M43&gt;LISTADO!$J$3,"NO CUMPLE","CUMPLE"),"")</f>
        <v>CUMPLE</v>
      </c>
      <c r="O43" s="10">
        <v>1499430834</v>
      </c>
      <c r="P43" s="59">
        <f t="shared" ref="P43:P45" si="20">IF(O43&gt;0,K43*O43,"")</f>
        <v>1499430834</v>
      </c>
      <c r="Q43" s="60">
        <f>IFERROR((P43/_xlfn.XLOOKUP(YEAR(M43),LISTADO!$L$3:$L$32,LISTADO!$M$3:$M$32)),"")</f>
        <v>1292.6127879310345</v>
      </c>
      <c r="R43" s="43">
        <v>1292</v>
      </c>
      <c r="S43" s="64">
        <f>IF(W43="CUMPLE",IFERROR(R43*LISTADO!$M$32,"0"),"")</f>
        <v>1679600000</v>
      </c>
      <c r="T43" s="44">
        <v>841116</v>
      </c>
      <c r="U43" s="38">
        <v>76</v>
      </c>
      <c r="V43" s="38"/>
      <c r="W43" s="55" t="str">
        <f t="shared" ref="W43:W45" si="21">IF(COUNTBLANK(J43)+COUNTBLANK(N43)+COUNTBLANK(T43)=3,"",IF(COUNTIF(J43,"CUMPLE")+COUNTIF(N43,"CUMPLE")+COUNTIF(T43,"801015")+COUNTIF(T43,"801016")+COUNTIF(T43,"841116")=3,IF(V43="","CUMPLE","NO CUMPLE"),"NO CUMPLE"))</f>
        <v>CUMPLE</v>
      </c>
      <c r="X43" s="195"/>
      <c r="Y43" s="195"/>
      <c r="Z43" s="198"/>
      <c r="AA43" s="200"/>
      <c r="AB43" s="203"/>
      <c r="AC43" s="206"/>
    </row>
    <row r="44" spans="1:29" ht="13.5" x14ac:dyDescent="0.2">
      <c r="A44" s="183"/>
      <c r="B44" s="186"/>
      <c r="C44" s="38"/>
      <c r="D44" s="45"/>
      <c r="E44" s="189"/>
      <c r="F44" s="192"/>
      <c r="G44" s="38"/>
      <c r="H44" s="8"/>
      <c r="I44" s="38"/>
      <c r="J44" s="38"/>
      <c r="K44" s="9"/>
      <c r="L44" s="34"/>
      <c r="M44" s="34"/>
      <c r="N44" s="55" t="str">
        <f>IF(M44&lt;&gt;"",IF(M44&gt;LISTADO!$J$3,"NO CUMPLE","CUMPLE"),"")</f>
        <v/>
      </c>
      <c r="O44" s="10"/>
      <c r="P44" s="59" t="str">
        <f t="shared" si="20"/>
        <v/>
      </c>
      <c r="Q44" s="60" t="str">
        <f>IFERROR((P44/_xlfn.XLOOKUP(YEAR(M44),LISTADO!$L$3:$L$32,LISTADO!$M$3:$M$32)),"")</f>
        <v/>
      </c>
      <c r="R44" s="43"/>
      <c r="S44" s="64" t="str">
        <f>IF(W44="CUMPLE",IFERROR(R44*LISTADO!$M$32,"0"),"")</f>
        <v/>
      </c>
      <c r="T44" s="44"/>
      <c r="U44" s="38"/>
      <c r="V44" s="38"/>
      <c r="W44" s="55" t="str">
        <f t="shared" si="21"/>
        <v/>
      </c>
      <c r="X44" s="195"/>
      <c r="Y44" s="195"/>
      <c r="Z44" s="198"/>
      <c r="AA44" s="200"/>
      <c r="AB44" s="203"/>
      <c r="AC44" s="206"/>
    </row>
    <row r="45" spans="1:29" ht="14.25" thickBot="1" x14ac:dyDescent="0.25">
      <c r="A45" s="184"/>
      <c r="B45" s="187"/>
      <c r="C45" s="46"/>
      <c r="D45" s="47"/>
      <c r="E45" s="190"/>
      <c r="F45" s="193"/>
      <c r="G45" s="46"/>
      <c r="H45" s="30"/>
      <c r="I45" s="46"/>
      <c r="J45" s="46"/>
      <c r="K45" s="31"/>
      <c r="L45" s="35"/>
      <c r="M45" s="35"/>
      <c r="N45" s="56" t="str">
        <f>IF(M45&lt;&gt;"",IF(M45&gt;LISTADO!$J$3,"NO CUMPLE","CUMPLE"),"")</f>
        <v/>
      </c>
      <c r="O45" s="32"/>
      <c r="P45" s="61" t="str">
        <f t="shared" si="20"/>
        <v/>
      </c>
      <c r="Q45" s="62" t="str">
        <f>IFERROR((P45/_xlfn.XLOOKUP(YEAR(M45),LISTADO!$L$3:$L$32,LISTADO!$M$3:$M$32)),"")</f>
        <v/>
      </c>
      <c r="R45" s="48"/>
      <c r="S45" s="65" t="str">
        <f>IF(W45="CUMPLE",IFERROR(R45*LISTADO!$M$32,"0"),"")</f>
        <v/>
      </c>
      <c r="T45" s="49"/>
      <c r="U45" s="46"/>
      <c r="V45" s="46"/>
      <c r="W45" s="56" t="str">
        <f t="shared" si="21"/>
        <v/>
      </c>
      <c r="X45" s="196"/>
      <c r="Y45" s="196"/>
      <c r="Z45" s="199"/>
      <c r="AA45" s="201"/>
      <c r="AB45" s="204"/>
      <c r="AC45" s="207"/>
    </row>
    <row r="46" spans="1:29" ht="103.5" customHeight="1" x14ac:dyDescent="0.2">
      <c r="A46" s="182">
        <v>12</v>
      </c>
      <c r="B46" s="185" t="str" cm="1">
        <f t="array" aca="1" ref="B46" ca="1">IF(INDIRECT("Consolidado!B"&amp;LISTADO!R46)="","",INDIRECT("Consolidado!B"&amp;LISTADO!R46))</f>
        <v>Strycon Energía: NIT 901.466.510-3</v>
      </c>
      <c r="C46" s="52" t="str">
        <f ca="1">B46</f>
        <v>Strycon Energía: NIT 901.466.510-3</v>
      </c>
      <c r="D46" s="5">
        <v>1</v>
      </c>
      <c r="E46" s="188">
        <f>LISTADO!$I$3*0.6</f>
        <v>811172559.60000002</v>
      </c>
      <c r="F46" s="191">
        <f>E46/LISTADO!$M$32</f>
        <v>623.97889199999997</v>
      </c>
      <c r="G46" s="37">
        <v>1</v>
      </c>
      <c r="H46" s="145" t="s">
        <v>78</v>
      </c>
      <c r="I46" s="37" t="s">
        <v>79</v>
      </c>
      <c r="J46" s="37" t="s">
        <v>2</v>
      </c>
      <c r="K46" s="5">
        <v>1</v>
      </c>
      <c r="L46" s="33">
        <v>38715</v>
      </c>
      <c r="M46" s="33">
        <v>38880</v>
      </c>
      <c r="N46" s="54" t="str">
        <f>IF(M46&lt;&gt;"",IF(M46&gt;LISTADO!$J$3,"NO CUMPLE","CUMPLE"),"")</f>
        <v>CUMPLE</v>
      </c>
      <c r="O46" s="7">
        <v>407695769</v>
      </c>
      <c r="P46" s="57">
        <v>354730025</v>
      </c>
      <c r="Q46" s="58">
        <f>IFERROR((P46/_xlfn.XLOOKUP(YEAR(M46),LISTADO!$L$3:$L$32,LISTADO!$M$3:$M$32)),"")</f>
        <v>869.43633578431377</v>
      </c>
      <c r="R46" s="39">
        <v>861.42</v>
      </c>
      <c r="S46" s="63">
        <f>IF(W46="CUMPLE",IFERROR(R46*LISTADO!$M$32,"0"),"")</f>
        <v>1119846000</v>
      </c>
      <c r="T46" s="40">
        <v>801015</v>
      </c>
      <c r="U46" s="37">
        <v>75</v>
      </c>
      <c r="V46" s="150"/>
      <c r="W46" s="54" t="str">
        <f>IF(COUNTBLANK(J46)+COUNTBLANK(N46)+COUNTBLANK(T46)=3,"",IF(COUNTIF(J46,"CUMPLE")+COUNTIF(N46,"CUMPLE")+COUNTIF(T46,"801015")+COUNTIF(T46,"801016")+COUNTIF(T46,"841116")=3,IF(V46="","CUMPLE","NO CUMPLE"),"NO CUMPLE"))</f>
        <v>CUMPLE</v>
      </c>
      <c r="X46" s="194">
        <f>IF(G46&gt;0,SUMIFS(S46:S49,W46:W49,"CUMPLE"),"")</f>
        <v>1119846000</v>
      </c>
      <c r="Y46" s="194" t="str">
        <f>IF(X46="","",IF(X46&gt;=E46,"CUMPLE","NO CUMPLE"))</f>
        <v>CUMPLE</v>
      </c>
      <c r="Z46" s="197">
        <f>IF(Y46="","",IF(Y46="CUMPLE",SUMIFS(R46:R49,W46:W49,"CUMPLE"),0))</f>
        <v>861.42</v>
      </c>
      <c r="AA46" s="197">
        <f>IFERROR(Z46/COUNTIF(W46:W49,"CUMPLE"),"")</f>
        <v>861.42</v>
      </c>
      <c r="AB46" s="202" t="str">
        <f ca="1">VLOOKUP(B46,Consolidado!$B$4:$H$16,7,0)</f>
        <v/>
      </c>
      <c r="AC46" s="205"/>
    </row>
    <row r="47" spans="1:29" ht="13.5" x14ac:dyDescent="0.2">
      <c r="A47" s="183"/>
      <c r="B47" s="186"/>
      <c r="C47" s="53"/>
      <c r="D47" s="9"/>
      <c r="E47" s="189"/>
      <c r="F47" s="192"/>
      <c r="G47" s="38"/>
      <c r="H47" s="8"/>
      <c r="I47" s="38"/>
      <c r="J47" s="38"/>
      <c r="K47" s="9"/>
      <c r="L47" s="34"/>
      <c r="M47" s="34"/>
      <c r="N47" s="55" t="str">
        <f>IF(M47&lt;&gt;"",IF(M47&gt;LISTADO!$J$3,"NO CUMPLE","CUMPLE"),"")</f>
        <v/>
      </c>
      <c r="O47" s="10"/>
      <c r="P47" s="59" t="str">
        <f t="shared" ref="P47:P49" si="22">IF(O47&gt;0,K47*O47,"")</f>
        <v/>
      </c>
      <c r="Q47" s="60" t="str">
        <f>IFERROR((P47/_xlfn.XLOOKUP(YEAR(M47),LISTADO!$L$3:$L$32,LISTADO!$M$3:$M$32)),"")</f>
        <v/>
      </c>
      <c r="R47" s="43"/>
      <c r="S47" s="64" t="str">
        <f>IF(W47="CUMPLE",IFERROR(R47*LISTADO!$M$32,"0"),"")</f>
        <v/>
      </c>
      <c r="T47" s="44"/>
      <c r="U47" s="38"/>
      <c r="V47" s="38"/>
      <c r="W47" s="55" t="str">
        <f t="shared" ref="W47:W49" si="23">IF(COUNTBLANK(J47)+COUNTBLANK(N47)+COUNTBLANK(T47)=3,"",IF(COUNTIF(J47,"CUMPLE")+COUNTIF(N47,"CUMPLE")+COUNTIF(T47,"801015")+COUNTIF(T47,"801016")+COUNTIF(T47,"841116")=3,IF(V47="","CUMPLE","NO CUMPLE"),"NO CUMPLE"))</f>
        <v/>
      </c>
      <c r="X47" s="195"/>
      <c r="Y47" s="195"/>
      <c r="Z47" s="198"/>
      <c r="AA47" s="200"/>
      <c r="AB47" s="203"/>
      <c r="AC47" s="206"/>
    </row>
    <row r="48" spans="1:29" ht="13.5" x14ac:dyDescent="0.2">
      <c r="A48" s="183"/>
      <c r="B48" s="186"/>
      <c r="C48" s="38"/>
      <c r="D48" s="45"/>
      <c r="E48" s="189"/>
      <c r="F48" s="192"/>
      <c r="G48" s="38"/>
      <c r="H48" s="8"/>
      <c r="I48" s="38"/>
      <c r="J48" s="38"/>
      <c r="K48" s="9"/>
      <c r="L48" s="34"/>
      <c r="M48" s="34"/>
      <c r="N48" s="55" t="str">
        <f>IF(M48&lt;&gt;"",IF(M48&gt;LISTADO!$J$3,"NO CUMPLE","CUMPLE"),"")</f>
        <v/>
      </c>
      <c r="O48" s="10"/>
      <c r="P48" s="59" t="str">
        <f t="shared" si="22"/>
        <v/>
      </c>
      <c r="Q48" s="60" t="str">
        <f>IFERROR((P48/_xlfn.XLOOKUP(YEAR(M48),LISTADO!$L$3:$L$32,LISTADO!$M$3:$M$32)),"")</f>
        <v/>
      </c>
      <c r="R48" s="43"/>
      <c r="S48" s="64" t="str">
        <f>IF(W48="CUMPLE",IFERROR(R48*LISTADO!$M$32,"0"),"")</f>
        <v/>
      </c>
      <c r="T48" s="44"/>
      <c r="U48" s="38"/>
      <c r="V48" s="38"/>
      <c r="W48" s="55" t="str">
        <f t="shared" si="23"/>
        <v/>
      </c>
      <c r="X48" s="195"/>
      <c r="Y48" s="195"/>
      <c r="Z48" s="198"/>
      <c r="AA48" s="200"/>
      <c r="AB48" s="203"/>
      <c r="AC48" s="206"/>
    </row>
    <row r="49" spans="1:29" ht="14.25" thickBot="1" x14ac:dyDescent="0.25">
      <c r="A49" s="184"/>
      <c r="B49" s="187"/>
      <c r="C49" s="46"/>
      <c r="D49" s="47"/>
      <c r="E49" s="190"/>
      <c r="F49" s="193"/>
      <c r="G49" s="46"/>
      <c r="H49" s="30"/>
      <c r="I49" s="46"/>
      <c r="J49" s="46"/>
      <c r="K49" s="31"/>
      <c r="L49" s="35"/>
      <c r="M49" s="35"/>
      <c r="N49" s="56" t="str">
        <f>IF(M49&lt;&gt;"",IF(M49&gt;LISTADO!$J$3,"NO CUMPLE","CUMPLE"),"")</f>
        <v/>
      </c>
      <c r="O49" s="32"/>
      <c r="P49" s="61" t="str">
        <f t="shared" si="22"/>
        <v/>
      </c>
      <c r="Q49" s="62" t="str">
        <f>IFERROR((P49/_xlfn.XLOOKUP(YEAR(M49),LISTADO!$L$3:$L$32,LISTADO!$M$3:$M$32)),"")</f>
        <v/>
      </c>
      <c r="R49" s="48"/>
      <c r="S49" s="65" t="str">
        <f>IF(W49="CUMPLE",IFERROR(R49*LISTADO!$M$32,"0"),"")</f>
        <v/>
      </c>
      <c r="T49" s="49"/>
      <c r="U49" s="46"/>
      <c r="V49" s="46"/>
      <c r="W49" s="56" t="str">
        <f t="shared" si="23"/>
        <v/>
      </c>
      <c r="X49" s="196"/>
      <c r="Y49" s="196"/>
      <c r="Z49" s="199"/>
      <c r="AA49" s="201"/>
      <c r="AB49" s="204"/>
      <c r="AC49" s="207"/>
    </row>
    <row r="50" spans="1:29" ht="64.900000000000006" customHeight="1" x14ac:dyDescent="0.2">
      <c r="A50" s="182">
        <v>13</v>
      </c>
      <c r="B50" s="185" t="str" cm="1">
        <f t="array" aca="1" ref="B50" ca="1">IF(INDIRECT("Consolidado!B"&amp;LISTADO!R50)="","",INDIRECT("Consolidado!B"&amp;LISTADO!R50))</f>
        <v>ALIANZA INTEGRAL DE PROYECTOS SAS BIC: NIT 901.506.750-7</v>
      </c>
      <c r="C50" s="52" t="str">
        <f ca="1">B50</f>
        <v>ALIANZA INTEGRAL DE PROYECTOS SAS BIC: NIT 901.506.750-7</v>
      </c>
      <c r="D50" s="5">
        <v>1</v>
      </c>
      <c r="E50" s="188">
        <f>LISTADO!$I$3*0.6</f>
        <v>811172559.60000002</v>
      </c>
      <c r="F50" s="191">
        <f>E50/LISTADO!$M$32</f>
        <v>623.97889199999997</v>
      </c>
      <c r="G50" s="37">
        <v>1</v>
      </c>
      <c r="H50" s="165" t="s">
        <v>80</v>
      </c>
      <c r="I50" s="37" t="s">
        <v>81</v>
      </c>
      <c r="J50" s="37" t="s">
        <v>2</v>
      </c>
      <c r="K50" s="5">
        <v>0.33</v>
      </c>
      <c r="L50" s="33">
        <v>41639</v>
      </c>
      <c r="M50" s="33">
        <v>43100</v>
      </c>
      <c r="N50" s="54" t="str">
        <f>IF(M50&lt;&gt;"",IF(M50&gt;LISTADO!$J$3,"NO CUMPLE","CUMPLE"),"")</f>
        <v>CUMPLE</v>
      </c>
      <c r="O50" s="7">
        <v>7284916000</v>
      </c>
      <c r="P50" s="57">
        <f>IF(O50&gt;0,K50*O50,"")</f>
        <v>2404022280</v>
      </c>
      <c r="Q50" s="58">
        <f>IFERROR((P50/_xlfn.XLOOKUP(YEAR(M50),LISTADO!$L$3:$L$32,LISTADO!$M$3:$M$32)),"")</f>
        <v>3258.7323865384692</v>
      </c>
      <c r="R50" s="39">
        <f>11096.64*0.33</f>
        <v>3661.8912</v>
      </c>
      <c r="S50" s="63">
        <f>IF(W50="CUMPLE",IFERROR(R50*LISTADO!$M$32,"0"),"")</f>
        <v>4760458560</v>
      </c>
      <c r="T50" s="40">
        <v>801015</v>
      </c>
      <c r="U50" s="37">
        <v>534</v>
      </c>
      <c r="V50" s="41"/>
      <c r="W50" s="54" t="str">
        <f>IF(COUNTBLANK(J50)+COUNTBLANK(N50)+COUNTBLANK(T50)=3,"",IF(COUNTIF(J50,"CUMPLE")+COUNTIF(N50,"CUMPLE")+COUNTIF(T50,"801015")+COUNTIF(T50,"801016")+COUNTIF(T50,"841116")=3,IF(V50="","CUMPLE","NO CUMPLE"),"NO CUMPLE"))</f>
        <v>CUMPLE</v>
      </c>
      <c r="X50" s="194">
        <f>IF(G50&gt;0,SUMIFS(S50:S53,W50:W53,"CUMPLE"),"")</f>
        <v>5595793060</v>
      </c>
      <c r="Y50" s="194" t="str">
        <f>IF(X50="","",IF(X50&gt;=E50,"CUMPLE","NO CUMPLE"))</f>
        <v>CUMPLE</v>
      </c>
      <c r="Z50" s="197">
        <f>IF(Y50="","",IF(Y50="CUMPLE",SUMIFS(R50:R53,W50:W53,"CUMPLE"),0))</f>
        <v>4304.4561999999996</v>
      </c>
      <c r="AA50" s="197">
        <f>IFERROR(Z50/COUNTIF(W50:W53,"CUMPLE"),"")</f>
        <v>1076.1140499999999</v>
      </c>
      <c r="AB50" s="202">
        <f ca="1">VLOOKUP(B50,Consolidado!$B$4:$H$16,7,0)</f>
        <v>30.801273320134097</v>
      </c>
      <c r="AC50" s="205"/>
    </row>
    <row r="51" spans="1:29" ht="256.5" x14ac:dyDescent="0.2">
      <c r="A51" s="183"/>
      <c r="B51" s="186"/>
      <c r="C51" s="53"/>
      <c r="D51" s="9"/>
      <c r="E51" s="189"/>
      <c r="F51" s="192"/>
      <c r="G51" s="38">
        <v>2</v>
      </c>
      <c r="H51" s="166" t="s">
        <v>82</v>
      </c>
      <c r="I51" s="38" t="s">
        <v>81</v>
      </c>
      <c r="J51" s="38" t="s">
        <v>2</v>
      </c>
      <c r="K51" s="9">
        <v>1</v>
      </c>
      <c r="L51" s="34">
        <v>41793</v>
      </c>
      <c r="M51" s="34">
        <v>42431</v>
      </c>
      <c r="N51" s="55" t="str">
        <f>IF(M51&lt;&gt;"",IF(M51&gt;LISTADO!$J$3,"NO CUMPLE","CUMPLE"),"")</f>
        <v>CUMPLE</v>
      </c>
      <c r="O51" s="10">
        <v>160000000</v>
      </c>
      <c r="P51" s="59">
        <f t="shared" ref="P51:P53" si="24">IF(O51&gt;0,K51*O51,"")</f>
        <v>160000000</v>
      </c>
      <c r="Q51" s="60">
        <f>IFERROR((P51/_xlfn.XLOOKUP(YEAR(M51),LISTADO!$L$3:$L$32,LISTADO!$M$3:$M$32)),"")</f>
        <v>232.06735755052904</v>
      </c>
      <c r="R51" s="43">
        <v>232.06</v>
      </c>
      <c r="S51" s="64">
        <f>IF(W51="CUMPLE",IFERROR(R51*LISTADO!$M$32,"0"),"")</f>
        <v>301678000</v>
      </c>
      <c r="T51" s="44">
        <v>801016</v>
      </c>
      <c r="U51" s="38">
        <v>436</v>
      </c>
      <c r="V51" s="38"/>
      <c r="W51" s="55" t="str">
        <f t="shared" ref="W51:W53" si="25">IF(COUNTBLANK(J51)+COUNTBLANK(N51)+COUNTBLANK(T51)=3,"",IF(COUNTIF(J51,"CUMPLE")+COUNTIF(N51,"CUMPLE")+COUNTIF(T51,"801015")+COUNTIF(T51,"801016")+COUNTIF(T51,"841116")=3,IF(V51="","CUMPLE","NO CUMPLE"),"NO CUMPLE"))</f>
        <v>CUMPLE</v>
      </c>
      <c r="X51" s="195"/>
      <c r="Y51" s="195"/>
      <c r="Z51" s="198"/>
      <c r="AA51" s="200"/>
      <c r="AB51" s="203"/>
      <c r="AC51" s="206"/>
    </row>
    <row r="52" spans="1:29" ht="100.9" customHeight="1" x14ac:dyDescent="0.2">
      <c r="A52" s="183"/>
      <c r="B52" s="186"/>
      <c r="C52" s="38"/>
      <c r="D52" s="45"/>
      <c r="E52" s="189"/>
      <c r="F52" s="192"/>
      <c r="G52" s="38">
        <v>3</v>
      </c>
      <c r="H52" s="166" t="s">
        <v>83</v>
      </c>
      <c r="I52" s="38" t="s">
        <v>81</v>
      </c>
      <c r="J52" s="38" t="s">
        <v>2</v>
      </c>
      <c r="K52" s="9">
        <v>1</v>
      </c>
      <c r="L52" s="34">
        <v>40960</v>
      </c>
      <c r="M52" s="34">
        <v>41387</v>
      </c>
      <c r="N52" s="55" t="str">
        <f>IF(M52&lt;&gt;"",IF(M52&gt;LISTADO!$J$3,"NO CUMPLE","CUMPLE"),"")</f>
        <v>CUMPLE</v>
      </c>
      <c r="O52" s="10">
        <v>140000000</v>
      </c>
      <c r="P52" s="59">
        <f t="shared" si="24"/>
        <v>140000000</v>
      </c>
      <c r="Q52" s="60">
        <f>IFERROR((P52/_xlfn.XLOOKUP(YEAR(M52),LISTADO!$L$3:$L$32,LISTADO!$M$3:$M$32)),"")</f>
        <v>237.48939779474131</v>
      </c>
      <c r="R52" s="43">
        <v>237.48</v>
      </c>
      <c r="S52" s="64">
        <f>IF(W52="CUMPLE",IFERROR(R52*LISTADO!$M$32,"0"),"")</f>
        <v>308724000</v>
      </c>
      <c r="T52" s="44">
        <v>801016</v>
      </c>
      <c r="U52" s="38">
        <v>434</v>
      </c>
      <c r="V52" s="38"/>
      <c r="W52" s="55" t="str">
        <f t="shared" si="25"/>
        <v>CUMPLE</v>
      </c>
      <c r="X52" s="195"/>
      <c r="Y52" s="195"/>
      <c r="Z52" s="198"/>
      <c r="AA52" s="200"/>
      <c r="AB52" s="203"/>
      <c r="AC52" s="206"/>
    </row>
    <row r="53" spans="1:29" ht="121.5" x14ac:dyDescent="0.2">
      <c r="A53" s="184"/>
      <c r="B53" s="187"/>
      <c r="C53" s="46"/>
      <c r="D53" s="47"/>
      <c r="E53" s="190"/>
      <c r="F53" s="193"/>
      <c r="G53" s="46">
        <v>4</v>
      </c>
      <c r="H53" s="167" t="s">
        <v>84</v>
      </c>
      <c r="I53" s="46" t="s">
        <v>81</v>
      </c>
      <c r="J53" s="46" t="s">
        <v>2</v>
      </c>
      <c r="K53" s="31">
        <v>0.5</v>
      </c>
      <c r="L53" s="35">
        <v>43887</v>
      </c>
      <c r="M53" s="35">
        <v>44101</v>
      </c>
      <c r="N53" s="56" t="str">
        <f>IF(M53&lt;&gt;"",IF(M53&gt;LISTADO!$J$3,"NO CUMPLE","CUMPLE"),"")</f>
        <v>CUMPLE</v>
      </c>
      <c r="O53" s="32">
        <v>314398891</v>
      </c>
      <c r="P53" s="61">
        <f t="shared" si="24"/>
        <v>157199445.5</v>
      </c>
      <c r="Q53" s="62">
        <f>IFERROR((P53/_xlfn.XLOOKUP(YEAR(M53),LISTADO!$L$3:$L$32,LISTADO!$M$3:$M$32)),"")</f>
        <v>179.0828300883</v>
      </c>
      <c r="R53" s="48">
        <f>346.05*0.5</f>
        <v>173.02500000000001</v>
      </c>
      <c r="S53" s="65">
        <f>IF(W53="CUMPLE",IFERROR(R53*LISTADO!$M$32,"0"),"")</f>
        <v>224932500</v>
      </c>
      <c r="T53" s="49">
        <v>801015</v>
      </c>
      <c r="U53" s="46">
        <v>468</v>
      </c>
      <c r="V53" s="46"/>
      <c r="W53" s="56" t="str">
        <f t="shared" si="25"/>
        <v>CUMPLE</v>
      </c>
      <c r="X53" s="196"/>
      <c r="Y53" s="196"/>
      <c r="Z53" s="199"/>
      <c r="AA53" s="201"/>
      <c r="AB53" s="204"/>
      <c r="AC53" s="207"/>
    </row>
  </sheetData>
  <mergeCells count="130">
    <mergeCell ref="Y50:Y53"/>
    <mergeCell ref="Z50:Z53"/>
    <mergeCell ref="AA50:AA53"/>
    <mergeCell ref="AB50:AB53"/>
    <mergeCell ref="AC50:AC53"/>
    <mergeCell ref="A50:A53"/>
    <mergeCell ref="B50:B53"/>
    <mergeCell ref="E50:E53"/>
    <mergeCell ref="F50:F53"/>
    <mergeCell ref="X50:X53"/>
    <mergeCell ref="Y46:Y49"/>
    <mergeCell ref="Z46:Z49"/>
    <mergeCell ref="AA46:AA49"/>
    <mergeCell ref="AB46:AB49"/>
    <mergeCell ref="AC46:AC49"/>
    <mergeCell ref="A46:A49"/>
    <mergeCell ref="B46:B49"/>
    <mergeCell ref="E46:E49"/>
    <mergeCell ref="F46:F49"/>
    <mergeCell ref="X46:X49"/>
    <mergeCell ref="Y42:Y45"/>
    <mergeCell ref="Z42:Z45"/>
    <mergeCell ref="AA42:AA45"/>
    <mergeCell ref="AB42:AB45"/>
    <mergeCell ref="AC42:AC45"/>
    <mergeCell ref="A42:A45"/>
    <mergeCell ref="B42:B45"/>
    <mergeCell ref="E42:E45"/>
    <mergeCell ref="F42:F45"/>
    <mergeCell ref="X42:X45"/>
    <mergeCell ref="Y38:Y41"/>
    <mergeCell ref="Z38:Z41"/>
    <mergeCell ref="AA38:AA41"/>
    <mergeCell ref="AB38:AB41"/>
    <mergeCell ref="AC38:AC41"/>
    <mergeCell ref="A38:A41"/>
    <mergeCell ref="B38:B41"/>
    <mergeCell ref="E38:E41"/>
    <mergeCell ref="F38:F41"/>
    <mergeCell ref="X38:X41"/>
    <mergeCell ref="Y34:Y37"/>
    <mergeCell ref="Z34:Z37"/>
    <mergeCell ref="AA34:AA37"/>
    <mergeCell ref="AB34:AB37"/>
    <mergeCell ref="AC34:AC37"/>
    <mergeCell ref="A34:A37"/>
    <mergeCell ref="B34:B37"/>
    <mergeCell ref="E34:E37"/>
    <mergeCell ref="F34:F37"/>
    <mergeCell ref="X34:X37"/>
    <mergeCell ref="Y30:Y33"/>
    <mergeCell ref="Z30:Z33"/>
    <mergeCell ref="AA30:AA33"/>
    <mergeCell ref="AB30:AB33"/>
    <mergeCell ref="AC30:AC33"/>
    <mergeCell ref="A30:A33"/>
    <mergeCell ref="B30:B33"/>
    <mergeCell ref="E30:E33"/>
    <mergeCell ref="F30:F33"/>
    <mergeCell ref="X30:X33"/>
    <mergeCell ref="Y26:Y29"/>
    <mergeCell ref="Z26:Z29"/>
    <mergeCell ref="AA26:AA29"/>
    <mergeCell ref="AB26:AB29"/>
    <mergeCell ref="AC26:AC29"/>
    <mergeCell ref="A26:A29"/>
    <mergeCell ref="B26:B29"/>
    <mergeCell ref="E26:E29"/>
    <mergeCell ref="F26:F29"/>
    <mergeCell ref="X26:X29"/>
    <mergeCell ref="Y22:Y25"/>
    <mergeCell ref="Z22:Z25"/>
    <mergeCell ref="AA22:AA25"/>
    <mergeCell ref="AB22:AB25"/>
    <mergeCell ref="AC22:AC25"/>
    <mergeCell ref="A22:A25"/>
    <mergeCell ref="B22:B25"/>
    <mergeCell ref="E22:E25"/>
    <mergeCell ref="F22:F25"/>
    <mergeCell ref="X22:X25"/>
    <mergeCell ref="Y18:Y21"/>
    <mergeCell ref="Z18:Z21"/>
    <mergeCell ref="AA18:AA21"/>
    <mergeCell ref="AB18:AB21"/>
    <mergeCell ref="AC18:AC21"/>
    <mergeCell ref="A18:A21"/>
    <mergeCell ref="B18:B21"/>
    <mergeCell ref="E18:E21"/>
    <mergeCell ref="F18:F21"/>
    <mergeCell ref="X18:X21"/>
    <mergeCell ref="Y14:Y17"/>
    <mergeCell ref="Z14:Z17"/>
    <mergeCell ref="AA14:AA17"/>
    <mergeCell ref="AB14:AB17"/>
    <mergeCell ref="AC14:AC17"/>
    <mergeCell ref="A14:A17"/>
    <mergeCell ref="B14:B17"/>
    <mergeCell ref="E14:E17"/>
    <mergeCell ref="F14:F17"/>
    <mergeCell ref="X14:X17"/>
    <mergeCell ref="Y10:Y13"/>
    <mergeCell ref="Z10:Z13"/>
    <mergeCell ref="AA10:AA13"/>
    <mergeCell ref="AB10:AB13"/>
    <mergeCell ref="AC10:AC13"/>
    <mergeCell ref="A10:A13"/>
    <mergeCell ref="B10:B13"/>
    <mergeCell ref="E10:E13"/>
    <mergeCell ref="F10:F13"/>
    <mergeCell ref="X10:X13"/>
    <mergeCell ref="AC2:AC5"/>
    <mergeCell ref="A6:A9"/>
    <mergeCell ref="B6:B9"/>
    <mergeCell ref="E6:E9"/>
    <mergeCell ref="F6:F9"/>
    <mergeCell ref="X6:X9"/>
    <mergeCell ref="Y6:Y9"/>
    <mergeCell ref="Z6:Z9"/>
    <mergeCell ref="AA6:AA9"/>
    <mergeCell ref="AB6:AB9"/>
    <mergeCell ref="AC6:AC9"/>
    <mergeCell ref="A2:A5"/>
    <mergeCell ref="B2:B5"/>
    <mergeCell ref="AA2:AA5"/>
    <mergeCell ref="AB2:AB5"/>
    <mergeCell ref="Z2:Z5"/>
    <mergeCell ref="E2:E5"/>
    <mergeCell ref="F2:F5"/>
    <mergeCell ref="X2:X5"/>
    <mergeCell ref="Y2:Y5"/>
  </mergeCells>
  <conditionalFormatting sqref="A1:XFD1">
    <cfRule type="cellIs" dxfId="210" priority="199" operator="equal">
      <formula>"NO CUMPLE"</formula>
    </cfRule>
    <cfRule type="cellIs" dxfId="209" priority="198" operator="equal">
      <formula>"NO HABILITADO"</formula>
    </cfRule>
  </conditionalFormatting>
  <conditionalFormatting sqref="C42:C43">
    <cfRule type="cellIs" dxfId="208" priority="1" operator="equal">
      <formula>"NO HABILITADO"</formula>
    </cfRule>
    <cfRule type="cellIs" dxfId="207" priority="2" operator="equal">
      <formula>"NO CUMPLE"</formula>
    </cfRule>
  </conditionalFormatting>
  <conditionalFormatting sqref="C47:D47">
    <cfRule type="cellIs" dxfId="206" priority="15" operator="equal">
      <formula>"NO HABILITADO"</formula>
    </cfRule>
    <cfRule type="cellIs" dxfId="205" priority="16" operator="equal">
      <formula>"NO CUMPLE"</formula>
    </cfRule>
  </conditionalFormatting>
  <conditionalFormatting sqref="C2:F2 C3:D3">
    <cfRule type="cellIs" dxfId="204" priority="192" operator="equal">
      <formula>"NO HABILITADO"</formula>
    </cfRule>
    <cfRule type="cellIs" dxfId="203" priority="193" operator="equal">
      <formula>"NO CUMPLE"</formula>
    </cfRule>
  </conditionalFormatting>
  <conditionalFormatting sqref="C6:F6 C7:D7">
    <cfRule type="cellIs" dxfId="202" priority="37" operator="equal">
      <formula>"NO HABILITADO"</formula>
    </cfRule>
    <cfRule type="cellIs" dxfId="201" priority="38" operator="equal">
      <formula>"NO CUMPLE"</formula>
    </cfRule>
  </conditionalFormatting>
  <conditionalFormatting sqref="C10:F10 C11:D11">
    <cfRule type="cellIs" dxfId="200" priority="34" operator="equal">
      <formula>"NO CUMPLE"</formula>
    </cfRule>
    <cfRule type="cellIs" dxfId="199" priority="33" operator="equal">
      <formula>"NO HABILITADO"</formula>
    </cfRule>
  </conditionalFormatting>
  <conditionalFormatting sqref="C14:F14 C15:D15">
    <cfRule type="cellIs" dxfId="198" priority="31" operator="equal">
      <formula>"NO HABILITADO"</formula>
    </cfRule>
    <cfRule type="cellIs" dxfId="197" priority="32" operator="equal">
      <formula>"NO CUMPLE"</formula>
    </cfRule>
  </conditionalFormatting>
  <conditionalFormatting sqref="C18:F18 C19:D19">
    <cfRule type="cellIs" dxfId="196" priority="30" operator="equal">
      <formula>"NO CUMPLE"</formula>
    </cfRule>
    <cfRule type="cellIs" dxfId="195" priority="29" operator="equal">
      <formula>"NO HABILITADO"</formula>
    </cfRule>
  </conditionalFormatting>
  <conditionalFormatting sqref="C22:F22 C23:D23">
    <cfRule type="cellIs" dxfId="194" priority="27" operator="equal">
      <formula>"NO HABILITADO"</formula>
    </cfRule>
    <cfRule type="cellIs" dxfId="193" priority="28" operator="equal">
      <formula>"NO CUMPLE"</formula>
    </cfRule>
  </conditionalFormatting>
  <conditionalFormatting sqref="C26:F26 C27:D27">
    <cfRule type="cellIs" dxfId="192" priority="26" operator="equal">
      <formula>"NO CUMPLE"</formula>
    </cfRule>
    <cfRule type="cellIs" dxfId="191" priority="25" operator="equal">
      <formula>"NO HABILITADO"</formula>
    </cfRule>
  </conditionalFormatting>
  <conditionalFormatting sqref="C30:F30 C31:D31">
    <cfRule type="cellIs" dxfId="190" priority="23" operator="equal">
      <formula>"NO HABILITADO"</formula>
    </cfRule>
    <cfRule type="cellIs" dxfId="189" priority="24" operator="equal">
      <formula>"NO CUMPLE"</formula>
    </cfRule>
  </conditionalFormatting>
  <conditionalFormatting sqref="C34:F34 C35:D35">
    <cfRule type="cellIs" dxfId="188" priority="21" operator="equal">
      <formula>"NO HABILITADO"</formula>
    </cfRule>
    <cfRule type="cellIs" dxfId="187" priority="22" operator="equal">
      <formula>"NO CUMPLE"</formula>
    </cfRule>
  </conditionalFormatting>
  <conditionalFormatting sqref="C38:F38 C39:D39">
    <cfRule type="cellIs" dxfId="186" priority="19" operator="equal">
      <formula>"NO HABILITADO"</formula>
    </cfRule>
    <cfRule type="cellIs" dxfId="185" priority="20" operator="equal">
      <formula>"NO CUMPLE"</formula>
    </cfRule>
  </conditionalFormatting>
  <conditionalFormatting sqref="C46:F46">
    <cfRule type="cellIs" dxfId="184" priority="6" operator="equal">
      <formula>"NO CUMPLE"</formula>
    </cfRule>
    <cfRule type="cellIs" dxfId="183" priority="5" operator="equal">
      <formula>"NO HABILITADO"</formula>
    </cfRule>
  </conditionalFormatting>
  <conditionalFormatting sqref="C50:F50 C51:D51">
    <cfRule type="cellIs" dxfId="182" priority="13" operator="equal">
      <formula>"NO HABILITADO"</formula>
    </cfRule>
    <cfRule type="cellIs" dxfId="181" priority="14" operator="equal">
      <formula>"NO CUMPLE"</formula>
    </cfRule>
  </conditionalFormatting>
  <conditionalFormatting sqref="D42:F42 D43">
    <cfRule type="cellIs" dxfId="180" priority="18" operator="equal">
      <formula>"NO CUMPLE"</formula>
    </cfRule>
    <cfRule type="cellIs" dxfId="179" priority="17" operator="equal">
      <formula>"NO HABILITADO"</formula>
    </cfRule>
  </conditionalFormatting>
  <conditionalFormatting sqref="H2:H53">
    <cfRule type="cellIs" dxfId="178" priority="189" operator="equal">
      <formula>"NO CUMPLE"</formula>
    </cfRule>
    <cfRule type="cellIs" dxfId="177" priority="188" operator="equal">
      <formula>"NO HABILITADO"</formula>
    </cfRule>
  </conditionalFormatting>
  <conditionalFormatting sqref="J1">
    <cfRule type="expression" dxfId="176" priority="891">
      <formula>$L1=#REF!</formula>
    </cfRule>
    <cfRule type="expression" priority="892">
      <formula>#REF!=#REF!</formula>
    </cfRule>
    <cfRule type="expression" dxfId="175" priority="893">
      <formula>$L1=#REF!</formula>
    </cfRule>
  </conditionalFormatting>
  <conditionalFormatting sqref="K2:K53">
    <cfRule type="cellIs" dxfId="174" priority="187" operator="greaterThan">
      <formula>1</formula>
    </cfRule>
  </conditionalFormatting>
  <conditionalFormatting sqref="K2:M53">
    <cfRule type="cellIs" dxfId="173" priority="41" operator="equal">
      <formula>"NO CUMPLE"</formula>
    </cfRule>
    <cfRule type="cellIs" dxfId="172" priority="42" operator="equal">
      <formula>"NO HABILITADO"</formula>
    </cfRule>
  </conditionalFormatting>
  <conditionalFormatting sqref="N2:N53">
    <cfRule type="expression" dxfId="171" priority="322">
      <formula>N2="NO CUMPLE"</formula>
    </cfRule>
  </conditionalFormatting>
  <conditionalFormatting sqref="O2:P53">
    <cfRule type="cellIs" dxfId="170" priority="39" operator="equal">
      <formula>"NO CUMPLE"</formula>
    </cfRule>
    <cfRule type="cellIs" dxfId="169" priority="40" operator="equal">
      <formula>"NO HABILITADO"</formula>
    </cfRule>
  </conditionalFormatting>
  <conditionalFormatting sqref="X2:Y2 J2:J53 W2:W53 X6:Y6 X10:Y10 X14:Y14 X18:Y18 X22:Y22 X26:Y26 X30:Y30 X34:Y34 X38:Y38 X42:Y42 X46:Y46 X50:Y50">
    <cfRule type="expression" dxfId="168" priority="439">
      <formula>J2="NO CUMPLE"</formula>
    </cfRule>
  </conditionalFormatting>
  <dataValidations count="4">
    <dataValidation type="list" allowBlank="1" showInputMessage="1" showErrorMessage="1" sqref="I5 I9 I13 I21 I25 I29 I33 I37 I41 I45 I49 I53 I17" xr:uid="{97FD1857-81DC-426E-BFE5-2E158401A246}">
      <formula1>$C2:$C5</formula1>
    </dataValidation>
    <dataValidation type="list" allowBlank="1" showInputMessage="1" showErrorMessage="1" sqref="I2 I6 I10 I18 I50 I26 I30 I34 I38 I42 I46 I14" xr:uid="{5F90FA5A-FBF1-4AC1-BFA6-EA469E420637}">
      <formula1>$C2:$C5</formula1>
    </dataValidation>
    <dataValidation type="list" allowBlank="1" showInputMessage="1" showErrorMessage="1" sqref="I3 I7 I11 I19 I23 I27 I31 I35 I39 I43 I47 I51 I15" xr:uid="{52459CAA-A226-4476-8556-C73A0BE4B5CF}">
      <formula1>$C2:$C5</formula1>
    </dataValidation>
    <dataValidation type="list" allowBlank="1" showInputMessage="1" showErrorMessage="1" sqref="I4 I8 I12 I20 I24 I28 I32 I36 I40 I44 I48 I52 I22 I16" xr:uid="{FC3EE1C1-9941-4656-BA97-89DC4FF8DFE5}">
      <formula1>$C2:$C5</formula1>
    </dataValidation>
  </dataValidations>
  <pageMargins left="0.7" right="0.7" top="0.75" bottom="0.75" header="0.3" footer="0.3"/>
  <ignoredErrors>
    <ignoredError sqref="P3:P5 N2:N5 E3:F5 F2 W3:W5 S2" unlockedFormula="1"/>
  </ignoredErrors>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r:uid="{59EA3B46-1369-4FE6-A66E-C1B3564800E0}">
          <x14:formula1>
            <xm:f>LISTADO!$A$2:$A$5</xm:f>
          </x14:formula1>
          <xm:sqref>G2:G53</xm:sqref>
        </x14:dataValidation>
        <x14:dataValidation type="list" allowBlank="1" showInputMessage="1" showErrorMessage="1" xr:uid="{BE9000EC-AFDB-42D3-A9EA-51903AC0AB3B}">
          <x14:formula1>
            <xm:f>LISTADO!$F$2:$F$3</xm:f>
          </x14:formula1>
          <xm:sqref>J2:J53</xm:sqref>
        </x14:dataValidation>
        <x14:dataValidation type="list" allowBlank="1" showInputMessage="1" showErrorMessage="1" xr:uid="{36CCD813-4B85-4E14-BC64-CDC32757C13A}">
          <x14:formula1>
            <xm:f>LISTADO!$H$3:$H$6</xm:f>
          </x14:formula1>
          <xm:sqref>T2:T53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7E54B-D405-47C0-B4F0-AF64E0C880A1}">
  <sheetPr>
    <tabColor rgb="FF92D050"/>
  </sheetPr>
  <dimension ref="A1:N71"/>
  <sheetViews>
    <sheetView zoomScale="115" zoomScaleNormal="115" workbookViewId="0">
      <pane xSplit="2" ySplit="2" topLeftCell="C35" activePane="bottomRight" state="frozen"/>
      <selection pane="topRight"/>
      <selection pane="bottomLeft"/>
      <selection pane="bottomRight" activeCell="J28" sqref="J28"/>
    </sheetView>
  </sheetViews>
  <sheetFormatPr baseColWidth="10" defaultColWidth="25.140625" defaultRowHeight="13.5" x14ac:dyDescent="0.3"/>
  <cols>
    <col min="1" max="1" width="9.5703125" style="69" customWidth="1"/>
    <col min="2" max="2" width="29.85546875" style="86" customWidth="1"/>
    <col min="3" max="3" width="32.85546875" style="69" customWidth="1"/>
    <col min="4" max="4" width="29" style="69" customWidth="1"/>
    <col min="5" max="5" width="40.85546875" style="87" customWidth="1"/>
    <col min="6" max="9" width="17" style="88" customWidth="1"/>
    <col min="10" max="10" width="39.140625" style="1" customWidth="1"/>
    <col min="11" max="11" width="17.42578125" style="69" customWidth="1"/>
    <col min="12" max="12" width="25.140625" style="69"/>
    <col min="13" max="13" width="16" style="69" customWidth="1"/>
    <col min="14" max="14" width="52.28515625" style="69" customWidth="1"/>
    <col min="15" max="16384" width="25.140625" style="69"/>
  </cols>
  <sheetData>
    <row r="1" spans="1:14" ht="48.75" customHeight="1" x14ac:dyDescent="0.3">
      <c r="A1" s="247" t="s">
        <v>85</v>
      </c>
      <c r="B1" s="242" t="s">
        <v>15</v>
      </c>
      <c r="C1" s="242" t="s">
        <v>86</v>
      </c>
      <c r="D1" s="242" t="s">
        <v>87</v>
      </c>
      <c r="E1" s="242" t="s">
        <v>88</v>
      </c>
      <c r="F1" s="249" t="s">
        <v>89</v>
      </c>
      <c r="G1" s="250"/>
      <c r="H1" s="242" t="s">
        <v>90</v>
      </c>
      <c r="I1" s="240" t="s">
        <v>91</v>
      </c>
      <c r="J1" s="240" t="s">
        <v>92</v>
      </c>
      <c r="K1" s="240" t="s">
        <v>93</v>
      </c>
      <c r="L1" s="244" t="s">
        <v>94</v>
      </c>
      <c r="M1" s="245"/>
      <c r="N1" s="246"/>
    </row>
    <row r="2" spans="1:14" ht="36.75" customHeight="1" thickBot="1" x14ac:dyDescent="0.35">
      <c r="A2" s="248"/>
      <c r="B2" s="243"/>
      <c r="C2" s="243"/>
      <c r="D2" s="243"/>
      <c r="E2" s="243"/>
      <c r="F2" s="70" t="s">
        <v>95</v>
      </c>
      <c r="G2" s="70" t="s">
        <v>96</v>
      </c>
      <c r="H2" s="243"/>
      <c r="I2" s="241"/>
      <c r="J2" s="241"/>
      <c r="K2" s="241"/>
      <c r="L2" s="71" t="s">
        <v>97</v>
      </c>
      <c r="M2" s="72" t="s">
        <v>98</v>
      </c>
      <c r="N2" s="73" t="s">
        <v>99</v>
      </c>
    </row>
    <row r="3" spans="1:14" ht="22.5" customHeight="1" x14ac:dyDescent="0.3">
      <c r="A3" s="208">
        <v>1</v>
      </c>
      <c r="B3" s="211" t="str" cm="1">
        <f t="array" aca="1" ref="B3" ca="1">IF(INDIRECT("Consolidado!B"&amp;LISTADO!Q2)="","",INDIRECT("Consolidado!B"&amp;LISTADO!Q2))</f>
        <v>ARES SECURITY LTDA: NIT 900.599.147-1</v>
      </c>
      <c r="C3" s="214" t="s">
        <v>100</v>
      </c>
      <c r="D3" s="217">
        <v>80422094</v>
      </c>
      <c r="E3" s="74"/>
      <c r="F3" s="66"/>
      <c r="G3" s="66"/>
      <c r="H3" s="75">
        <f t="shared" ref="H3:H7" si="0">DATEDIF(F3,G3,"m")</f>
        <v>0</v>
      </c>
      <c r="I3" s="76"/>
      <c r="J3" s="76"/>
      <c r="K3" s="220">
        <f>SUMIFS(H3:H7,I3:I7,"CUMPLE")</f>
        <v>0</v>
      </c>
      <c r="L3" s="223" t="s">
        <v>101</v>
      </c>
      <c r="M3" s="226">
        <f>IF(L3="",0,IF(L3="SI",IF(K3=0,0,IF(K3&lt;36,10,23)),0))</f>
        <v>0</v>
      </c>
      <c r="N3" s="235" t="s">
        <v>102</v>
      </c>
    </row>
    <row r="4" spans="1:14" x14ac:dyDescent="0.3">
      <c r="A4" s="209"/>
      <c r="B4" s="212"/>
      <c r="C4" s="215"/>
      <c r="D4" s="218"/>
      <c r="E4" s="78"/>
      <c r="F4" s="67"/>
      <c r="G4" s="67"/>
      <c r="H4" s="79">
        <f t="shared" si="0"/>
        <v>0</v>
      </c>
      <c r="I4" s="80"/>
      <c r="J4" s="80"/>
      <c r="K4" s="221"/>
      <c r="L4" s="224"/>
      <c r="M4" s="227"/>
      <c r="N4" s="238"/>
    </row>
    <row r="5" spans="1:14" x14ac:dyDescent="0.3">
      <c r="A5" s="209"/>
      <c r="B5" s="212"/>
      <c r="C5" s="215"/>
      <c r="D5" s="218"/>
      <c r="E5" s="78"/>
      <c r="F5" s="67"/>
      <c r="G5" s="67"/>
      <c r="H5" s="79">
        <f t="shared" si="0"/>
        <v>0</v>
      </c>
      <c r="I5" s="80"/>
      <c r="J5" s="80"/>
      <c r="K5" s="221"/>
      <c r="L5" s="224"/>
      <c r="M5" s="227"/>
      <c r="N5" s="238"/>
    </row>
    <row r="6" spans="1:14" x14ac:dyDescent="0.3">
      <c r="A6" s="209"/>
      <c r="B6" s="212"/>
      <c r="C6" s="215"/>
      <c r="D6" s="218"/>
      <c r="E6" s="78"/>
      <c r="F6" s="67"/>
      <c r="G6" s="67"/>
      <c r="H6" s="79">
        <f t="shared" si="0"/>
        <v>0</v>
      </c>
      <c r="I6" s="80"/>
      <c r="J6" s="80"/>
      <c r="K6" s="221"/>
      <c r="L6" s="224"/>
      <c r="M6" s="227"/>
      <c r="N6" s="238"/>
    </row>
    <row r="7" spans="1:14" ht="40.5" customHeight="1" thickBot="1" x14ac:dyDescent="0.35">
      <c r="A7" s="210"/>
      <c r="B7" s="213"/>
      <c r="C7" s="216"/>
      <c r="D7" s="219"/>
      <c r="E7" s="82"/>
      <c r="F7" s="67"/>
      <c r="G7" s="68"/>
      <c r="H7" s="83">
        <f t="shared" si="0"/>
        <v>0</v>
      </c>
      <c r="I7" s="84"/>
      <c r="J7" s="84"/>
      <c r="K7" s="222"/>
      <c r="L7" s="225"/>
      <c r="M7" s="228"/>
      <c r="N7" s="239"/>
    </row>
    <row r="8" spans="1:14" ht="135" x14ac:dyDescent="0.3">
      <c r="A8" s="209">
        <v>2</v>
      </c>
      <c r="B8" s="211" t="str" cm="1">
        <f t="array" aca="1" ref="B8" ca="1">IF(INDIRECT("Consolidado!B"&amp;LISTADO!Q7)="","",INDIRECT("Consolidado!B"&amp;LISTADO!Q7))</f>
        <v>GERMAN MONTENEGRO FAJARDO AUDITORES &amp; ASESORES S.A.S. BIC 900.335.334-8</v>
      </c>
      <c r="C8" s="214" t="s">
        <v>103</v>
      </c>
      <c r="D8" s="217" t="s">
        <v>104</v>
      </c>
      <c r="E8" s="74" t="s">
        <v>105</v>
      </c>
      <c r="F8" s="66">
        <v>43133</v>
      </c>
      <c r="G8" s="66">
        <v>45576</v>
      </c>
      <c r="H8" s="75">
        <f t="shared" ref="H8:H12" si="1">DATEDIF(F8,G8,"m")</f>
        <v>80</v>
      </c>
      <c r="I8" s="76" t="s">
        <v>2</v>
      </c>
      <c r="J8" s="76" t="s">
        <v>106</v>
      </c>
      <c r="K8" s="220">
        <f>SUMIFS(H8:H12,I8:I12,"CUMPLE")</f>
        <v>80</v>
      </c>
      <c r="L8" s="223" t="s">
        <v>101</v>
      </c>
      <c r="M8" s="226">
        <f>IF(L8="",0,IF(L8="SI",IF(K8=0,0,IF(K8&lt;36,10,23)),0))</f>
        <v>23</v>
      </c>
      <c r="N8" s="235" t="s">
        <v>106</v>
      </c>
    </row>
    <row r="9" spans="1:14" x14ac:dyDescent="0.3">
      <c r="A9" s="209"/>
      <c r="B9" s="212"/>
      <c r="C9" s="215"/>
      <c r="D9" s="218"/>
      <c r="E9" s="78"/>
      <c r="F9" s="67"/>
      <c r="G9" s="67"/>
      <c r="H9" s="79">
        <f t="shared" si="1"/>
        <v>0</v>
      </c>
      <c r="I9" s="80"/>
      <c r="J9" s="80"/>
      <c r="K9" s="221"/>
      <c r="L9" s="224"/>
      <c r="M9" s="227"/>
      <c r="N9" s="238"/>
    </row>
    <row r="10" spans="1:14" x14ac:dyDescent="0.3">
      <c r="A10" s="209"/>
      <c r="B10" s="212"/>
      <c r="C10" s="215"/>
      <c r="D10" s="218"/>
      <c r="E10" s="78"/>
      <c r="F10" s="67"/>
      <c r="G10" s="67"/>
      <c r="H10" s="79">
        <f t="shared" si="1"/>
        <v>0</v>
      </c>
      <c r="I10" s="80"/>
      <c r="J10" s="80"/>
      <c r="K10" s="221"/>
      <c r="L10" s="224"/>
      <c r="M10" s="227"/>
      <c r="N10" s="238"/>
    </row>
    <row r="11" spans="1:14" x14ac:dyDescent="0.3">
      <c r="A11" s="209"/>
      <c r="B11" s="212"/>
      <c r="C11" s="215"/>
      <c r="D11" s="218"/>
      <c r="E11" s="78"/>
      <c r="F11" s="67"/>
      <c r="G11" s="67"/>
      <c r="H11" s="79">
        <f t="shared" si="1"/>
        <v>0</v>
      </c>
      <c r="I11" s="80"/>
      <c r="J11" s="80"/>
      <c r="K11" s="221"/>
      <c r="L11" s="224"/>
      <c r="M11" s="227"/>
      <c r="N11" s="238"/>
    </row>
    <row r="12" spans="1:14" ht="14.25" thickBot="1" x14ac:dyDescent="0.35">
      <c r="A12" s="210"/>
      <c r="B12" s="213"/>
      <c r="C12" s="216"/>
      <c r="D12" s="219"/>
      <c r="E12" s="82"/>
      <c r="F12" s="67"/>
      <c r="G12" s="68"/>
      <c r="H12" s="83">
        <f t="shared" si="1"/>
        <v>0</v>
      </c>
      <c r="I12" s="84"/>
      <c r="J12" s="84"/>
      <c r="K12" s="222"/>
      <c r="L12" s="225"/>
      <c r="M12" s="228"/>
      <c r="N12" s="239"/>
    </row>
    <row r="13" spans="1:14" x14ac:dyDescent="0.3">
      <c r="A13" s="208">
        <v>3</v>
      </c>
      <c r="B13" s="211" t="str" cm="1">
        <f t="array" aca="1" ref="B13" ca="1">IF(INDIRECT("Consolidado!B"&amp;LISTADO!Q12)="","",INDIRECT("Consolidado!B"&amp;LISTADO!Q12))</f>
        <v>JFS CONSULTORES S.A.S. -BIC 901.542.814-2</v>
      </c>
      <c r="C13" s="214" t="s">
        <v>107</v>
      </c>
      <c r="D13" s="217">
        <v>93373569</v>
      </c>
      <c r="E13" s="74" t="s">
        <v>108</v>
      </c>
      <c r="F13" s="66">
        <v>42376</v>
      </c>
      <c r="G13" s="66">
        <v>43130</v>
      </c>
      <c r="H13" s="75">
        <f t="shared" ref="H13:H71" si="2">DATEDIF(F13,G13,"m")</f>
        <v>24</v>
      </c>
      <c r="I13" s="76" t="s">
        <v>2</v>
      </c>
      <c r="J13" s="76"/>
      <c r="K13" s="220">
        <f>SUMIFS(H13:H17,I13:I17,"CUMPLE")</f>
        <v>41</v>
      </c>
      <c r="L13" s="223" t="s">
        <v>101</v>
      </c>
      <c r="M13" s="226">
        <f>IF(L13="",0,IF(L13="SI",IF(K13=0,0,IF(K13&lt;36,10,23)),0))</f>
        <v>23</v>
      </c>
      <c r="N13" s="232"/>
    </row>
    <row r="14" spans="1:14" x14ac:dyDescent="0.3">
      <c r="A14" s="209"/>
      <c r="B14" s="212"/>
      <c r="C14" s="215"/>
      <c r="D14" s="218"/>
      <c r="E14" s="78" t="s">
        <v>109</v>
      </c>
      <c r="F14" s="67">
        <v>43329</v>
      </c>
      <c r="G14" s="67">
        <v>43864</v>
      </c>
      <c r="H14" s="79">
        <f t="shared" si="2"/>
        <v>17</v>
      </c>
      <c r="I14" s="80" t="s">
        <v>2</v>
      </c>
      <c r="J14" s="80"/>
      <c r="K14" s="221"/>
      <c r="L14" s="224"/>
      <c r="M14" s="227"/>
      <c r="N14" s="230"/>
    </row>
    <row r="15" spans="1:14" x14ac:dyDescent="0.3">
      <c r="A15" s="209"/>
      <c r="B15" s="212"/>
      <c r="C15" s="215"/>
      <c r="D15" s="218"/>
      <c r="E15" s="78"/>
      <c r="F15" s="67"/>
      <c r="G15" s="67"/>
      <c r="H15" s="79">
        <f t="shared" si="2"/>
        <v>0</v>
      </c>
      <c r="I15" s="80"/>
      <c r="J15" s="80"/>
      <c r="K15" s="221"/>
      <c r="L15" s="224"/>
      <c r="M15" s="227"/>
      <c r="N15" s="230"/>
    </row>
    <row r="16" spans="1:14" x14ac:dyDescent="0.3">
      <c r="A16" s="209"/>
      <c r="B16" s="212"/>
      <c r="C16" s="215"/>
      <c r="D16" s="218"/>
      <c r="E16" s="78"/>
      <c r="F16" s="67"/>
      <c r="G16" s="67"/>
      <c r="H16" s="79">
        <f t="shared" si="2"/>
        <v>0</v>
      </c>
      <c r="I16" s="80"/>
      <c r="J16" s="80"/>
      <c r="K16" s="221"/>
      <c r="L16" s="224"/>
      <c r="M16" s="227"/>
      <c r="N16" s="230"/>
    </row>
    <row r="17" spans="1:14" ht="14.25" thickBot="1" x14ac:dyDescent="0.35">
      <c r="A17" s="210"/>
      <c r="B17" s="213"/>
      <c r="C17" s="216"/>
      <c r="D17" s="219"/>
      <c r="E17" s="82"/>
      <c r="F17" s="67"/>
      <c r="G17" s="68"/>
      <c r="H17" s="83">
        <f t="shared" si="2"/>
        <v>0</v>
      </c>
      <c r="I17" s="84"/>
      <c r="J17" s="84"/>
      <c r="K17" s="222"/>
      <c r="L17" s="225"/>
      <c r="M17" s="228"/>
      <c r="N17" s="231"/>
    </row>
    <row r="18" spans="1:14" ht="192" customHeight="1" x14ac:dyDescent="0.3">
      <c r="A18" s="208">
        <v>4</v>
      </c>
      <c r="B18" s="211" t="str" cm="1">
        <f t="array" aca="1" ref="B18" ca="1">IF(INDIRECT("Consolidado!B"&amp;LISTADO!Q17)="","",INDIRECT("Consolidado!B"&amp;LISTADO!Q17))</f>
        <v>SCAIPROYEKTA S.A.S. BIC: NIT 901.476.977-1</v>
      </c>
      <c r="C18" s="214" t="s">
        <v>110</v>
      </c>
      <c r="D18" s="217">
        <v>79702187</v>
      </c>
      <c r="E18" s="74" t="s">
        <v>111</v>
      </c>
      <c r="F18" s="66">
        <v>44238</v>
      </c>
      <c r="G18" s="66">
        <v>44377</v>
      </c>
      <c r="H18" s="75">
        <f>DATEDIF(F18,G18,"m")</f>
        <v>4</v>
      </c>
      <c r="I18" s="76" t="s">
        <v>2</v>
      </c>
      <c r="J18" s="77" t="s">
        <v>112</v>
      </c>
      <c r="K18" s="220">
        <f>SUMIFS(H18:H22,I18:I22,"CUMPLE")</f>
        <v>35</v>
      </c>
      <c r="L18" s="223" t="s">
        <v>101</v>
      </c>
      <c r="M18" s="226">
        <f>IF(L18="",0,IF(L18="SI",IF(K18=0,0,IF(K18&lt;36,10,23)),0))</f>
        <v>10</v>
      </c>
      <c r="N18" s="235" t="s">
        <v>113</v>
      </c>
    </row>
    <row r="19" spans="1:14" x14ac:dyDescent="0.3">
      <c r="A19" s="209"/>
      <c r="B19" s="212"/>
      <c r="C19" s="215"/>
      <c r="D19" s="218"/>
      <c r="E19" s="78" t="s">
        <v>114</v>
      </c>
      <c r="F19" s="67">
        <v>44478</v>
      </c>
      <c r="G19" s="67">
        <v>44578</v>
      </c>
      <c r="H19" s="79">
        <f>DATEDIF(F19,G19,"m")</f>
        <v>3</v>
      </c>
      <c r="I19" s="80" t="s">
        <v>2</v>
      </c>
      <c r="J19" s="80"/>
      <c r="K19" s="221"/>
      <c r="L19" s="224"/>
      <c r="M19" s="227"/>
      <c r="N19" s="238"/>
    </row>
    <row r="20" spans="1:14" ht="10.5" customHeight="1" x14ac:dyDescent="0.3">
      <c r="A20" s="209"/>
      <c r="B20" s="212"/>
      <c r="C20" s="215"/>
      <c r="D20" s="218"/>
      <c r="E20" s="78" t="s">
        <v>115</v>
      </c>
      <c r="F20" s="67">
        <v>44652</v>
      </c>
      <c r="G20" s="67">
        <v>44957</v>
      </c>
      <c r="H20" s="79">
        <f>DATEDIF(F20,G20,"m")</f>
        <v>9</v>
      </c>
      <c r="I20" s="80" t="s">
        <v>2</v>
      </c>
      <c r="J20" s="80"/>
      <c r="K20" s="221"/>
      <c r="L20" s="224"/>
      <c r="M20" s="227"/>
      <c r="N20" s="238"/>
    </row>
    <row r="21" spans="1:14" ht="108" x14ac:dyDescent="0.3">
      <c r="A21" s="209"/>
      <c r="B21" s="212"/>
      <c r="C21" s="215"/>
      <c r="D21" s="218"/>
      <c r="E21" s="78" t="s">
        <v>116</v>
      </c>
      <c r="F21" s="67">
        <v>44958</v>
      </c>
      <c r="G21" s="67">
        <v>45218</v>
      </c>
      <c r="H21" s="79">
        <f>DATEDIF(F21,G21,"m")</f>
        <v>8</v>
      </c>
      <c r="I21" s="80" t="s">
        <v>2</v>
      </c>
      <c r="J21" s="81" t="s">
        <v>117</v>
      </c>
      <c r="K21" s="221"/>
      <c r="L21" s="224"/>
      <c r="M21" s="227"/>
      <c r="N21" s="238"/>
    </row>
    <row r="22" spans="1:14" ht="14.25" thickBot="1" x14ac:dyDescent="0.35">
      <c r="A22" s="210"/>
      <c r="B22" s="213"/>
      <c r="C22" s="216"/>
      <c r="D22" s="219"/>
      <c r="E22" s="78" t="s">
        <v>115</v>
      </c>
      <c r="F22" s="67">
        <v>45219</v>
      </c>
      <c r="G22" s="67">
        <v>45575</v>
      </c>
      <c r="H22" s="83">
        <f>DATEDIF(F22,G22,"m")</f>
        <v>11</v>
      </c>
      <c r="I22" s="84" t="s">
        <v>2</v>
      </c>
      <c r="J22" s="84"/>
      <c r="K22" s="222"/>
      <c r="L22" s="225"/>
      <c r="M22" s="228"/>
      <c r="N22" s="239"/>
    </row>
    <row r="23" spans="1:14" ht="84.6" customHeight="1" x14ac:dyDescent="0.3">
      <c r="A23" s="208">
        <v>5</v>
      </c>
      <c r="B23" s="211" t="str" cm="1">
        <f t="array" aca="1" ref="B23" ca="1">IF(INDIRECT("Consolidado!B"&amp;LISTADO!Q22)="","",INDIRECT("Consolidado!B"&amp;LISTADO!Q22))</f>
        <v xml:space="preserve">UT GREM-NOVAC </v>
      </c>
      <c r="C23" s="214" t="s">
        <v>118</v>
      </c>
      <c r="D23" s="217">
        <v>19462080</v>
      </c>
      <c r="E23" s="74" t="s">
        <v>119</v>
      </c>
      <c r="F23" s="66">
        <v>42748</v>
      </c>
      <c r="G23" s="66">
        <v>45569</v>
      </c>
      <c r="H23" s="75">
        <f t="shared" si="2"/>
        <v>92</v>
      </c>
      <c r="I23" s="76" t="s">
        <v>2</v>
      </c>
      <c r="J23" s="77" t="s">
        <v>120</v>
      </c>
      <c r="K23" s="220">
        <f>SUMIFS(H23:H27,I23:I27,"CUMPLE")</f>
        <v>92</v>
      </c>
      <c r="L23" s="223" t="s">
        <v>101</v>
      </c>
      <c r="M23" s="226">
        <f>IF(L23="",0,IF(L23="SI",IF(K23=0,0,IF(K23&lt;36,10,23)),0))</f>
        <v>23</v>
      </c>
      <c r="N23" s="235" t="s">
        <v>120</v>
      </c>
    </row>
    <row r="24" spans="1:14" x14ac:dyDescent="0.3">
      <c r="A24" s="209"/>
      <c r="B24" s="212"/>
      <c r="C24" s="215"/>
      <c r="D24" s="218"/>
      <c r="E24" s="78"/>
      <c r="F24" s="67"/>
      <c r="G24" s="67"/>
      <c r="H24" s="79">
        <f t="shared" si="2"/>
        <v>0</v>
      </c>
      <c r="I24" s="80"/>
      <c r="J24" s="80"/>
      <c r="K24" s="221"/>
      <c r="L24" s="224"/>
      <c r="M24" s="227"/>
      <c r="N24" s="236"/>
    </row>
    <row r="25" spans="1:14" x14ac:dyDescent="0.3">
      <c r="A25" s="209"/>
      <c r="B25" s="212"/>
      <c r="C25" s="215"/>
      <c r="D25" s="218"/>
      <c r="E25" s="78"/>
      <c r="F25" s="67"/>
      <c r="G25" s="67"/>
      <c r="H25" s="79">
        <f t="shared" si="2"/>
        <v>0</v>
      </c>
      <c r="I25" s="80"/>
      <c r="J25" s="80"/>
      <c r="K25" s="221"/>
      <c r="L25" s="224"/>
      <c r="M25" s="227"/>
      <c r="N25" s="236"/>
    </row>
    <row r="26" spans="1:14" x14ac:dyDescent="0.3">
      <c r="A26" s="209"/>
      <c r="B26" s="212"/>
      <c r="C26" s="215"/>
      <c r="D26" s="218"/>
      <c r="E26" s="78"/>
      <c r="F26" s="67"/>
      <c r="G26" s="67"/>
      <c r="H26" s="79">
        <f t="shared" si="2"/>
        <v>0</v>
      </c>
      <c r="I26" s="80"/>
      <c r="J26" s="80"/>
      <c r="K26" s="221"/>
      <c r="L26" s="224"/>
      <c r="M26" s="227"/>
      <c r="N26" s="236"/>
    </row>
    <row r="27" spans="1:14" ht="14.25" thickBot="1" x14ac:dyDescent="0.35">
      <c r="A27" s="210"/>
      <c r="B27" s="213"/>
      <c r="C27" s="216"/>
      <c r="D27" s="219"/>
      <c r="E27" s="82"/>
      <c r="F27" s="67"/>
      <c r="G27" s="68"/>
      <c r="H27" s="83">
        <f t="shared" si="2"/>
        <v>0</v>
      </c>
      <c r="I27" s="84"/>
      <c r="J27" s="84"/>
      <c r="K27" s="222"/>
      <c r="L27" s="225"/>
      <c r="M27" s="228"/>
      <c r="N27" s="237"/>
    </row>
    <row r="28" spans="1:14" ht="184.9" customHeight="1" x14ac:dyDescent="0.3">
      <c r="A28" s="208">
        <v>6</v>
      </c>
      <c r="B28" s="211" t="str" cm="1">
        <f t="array" aca="1" ref="B28" ca="1">IF(INDIRECT("Consolidado!B"&amp;LISTADO!Q27)="","",INDIRECT("Consolidado!B"&amp;LISTADO!Q27))</f>
        <v>SGA CONSULTORES S.A.S: NIT 901.549.833-4</v>
      </c>
      <c r="C28" s="214" t="s">
        <v>121</v>
      </c>
      <c r="D28" s="217">
        <v>17414101</v>
      </c>
      <c r="E28" s="74" t="s">
        <v>122</v>
      </c>
      <c r="F28" s="66">
        <v>42050</v>
      </c>
      <c r="G28" s="66">
        <v>44920</v>
      </c>
      <c r="H28" s="75">
        <f t="shared" si="2"/>
        <v>94</v>
      </c>
      <c r="I28" s="76" t="s">
        <v>2</v>
      </c>
      <c r="J28" s="77" t="s">
        <v>123</v>
      </c>
      <c r="K28" s="220">
        <f>SUMIFS(H28:H32,I28:I32,"CUMPLE")</f>
        <v>94</v>
      </c>
      <c r="L28" s="223" t="s">
        <v>101</v>
      </c>
      <c r="M28" s="226">
        <f>IF(L28="",0,IF(L28="SI",IF(K28=0,0,IF(K28&lt;36,10,23)),0))</f>
        <v>23</v>
      </c>
      <c r="N28" s="235" t="s">
        <v>123</v>
      </c>
    </row>
    <row r="29" spans="1:14" x14ac:dyDescent="0.3">
      <c r="A29" s="209"/>
      <c r="B29" s="212"/>
      <c r="C29" s="215"/>
      <c r="D29" s="218"/>
      <c r="E29" s="78"/>
      <c r="F29" s="67"/>
      <c r="G29" s="67"/>
      <c r="H29" s="79">
        <f t="shared" si="2"/>
        <v>0</v>
      </c>
      <c r="I29" s="80"/>
      <c r="J29" s="80"/>
      <c r="K29" s="221"/>
      <c r="L29" s="224"/>
      <c r="M29" s="227"/>
      <c r="N29" s="238"/>
    </row>
    <row r="30" spans="1:14" x14ac:dyDescent="0.3">
      <c r="A30" s="209"/>
      <c r="B30" s="212"/>
      <c r="C30" s="215"/>
      <c r="D30" s="218"/>
      <c r="E30" s="78"/>
      <c r="F30" s="67"/>
      <c r="G30" s="67"/>
      <c r="H30" s="79">
        <f t="shared" si="2"/>
        <v>0</v>
      </c>
      <c r="I30" s="80"/>
      <c r="J30" s="80"/>
      <c r="K30" s="221"/>
      <c r="L30" s="224"/>
      <c r="M30" s="227"/>
      <c r="N30" s="238"/>
    </row>
    <row r="31" spans="1:14" x14ac:dyDescent="0.3">
      <c r="A31" s="209"/>
      <c r="B31" s="212"/>
      <c r="C31" s="215"/>
      <c r="D31" s="218"/>
      <c r="E31" s="78"/>
      <c r="F31" s="67"/>
      <c r="G31" s="67"/>
      <c r="H31" s="79">
        <f t="shared" si="2"/>
        <v>0</v>
      </c>
      <c r="I31" s="80"/>
      <c r="J31" s="80"/>
      <c r="K31" s="221"/>
      <c r="L31" s="224"/>
      <c r="M31" s="227"/>
      <c r="N31" s="238"/>
    </row>
    <row r="32" spans="1:14" x14ac:dyDescent="0.3">
      <c r="A32" s="209"/>
      <c r="B32" s="212"/>
      <c r="C32" s="215"/>
      <c r="D32" s="218"/>
      <c r="E32" s="107"/>
      <c r="F32" s="108"/>
      <c r="G32" s="108"/>
      <c r="H32" s="105">
        <f t="shared" si="2"/>
        <v>0</v>
      </c>
      <c r="I32" s="109"/>
      <c r="J32" s="109"/>
      <c r="K32" s="221"/>
      <c r="L32" s="224"/>
      <c r="M32" s="227"/>
      <c r="N32" s="238"/>
    </row>
    <row r="33" spans="1:14" x14ac:dyDescent="0.3">
      <c r="A33" s="208">
        <v>7</v>
      </c>
      <c r="B33" s="211" t="str" cm="1">
        <f t="array" aca="1" ref="B33" ca="1">IF(INDIRECT("Consolidado!B"&amp;LISTADO!Q32)="","",INDIRECT("Consolidado!B"&amp;LISTADO!Q32))</f>
        <v>SMARTY COLOMBIA SAS BIC: NIT 900249549-6</v>
      </c>
      <c r="C33" s="214" t="s">
        <v>124</v>
      </c>
      <c r="D33" s="217">
        <v>79803323</v>
      </c>
      <c r="E33" s="74" t="s">
        <v>125</v>
      </c>
      <c r="F33" s="66">
        <v>42997</v>
      </c>
      <c r="G33" s="66">
        <v>43028</v>
      </c>
      <c r="H33" s="110">
        <f t="shared" ref="H33:H41" si="3">DATEDIF(F33,G33,"m")</f>
        <v>1</v>
      </c>
      <c r="I33" s="76" t="s">
        <v>2</v>
      </c>
      <c r="J33" s="76"/>
      <c r="K33" s="220">
        <f>SUMIFS(H33:H41,I33:I41,"CUMPLE")</f>
        <v>55</v>
      </c>
      <c r="L33" s="223" t="s">
        <v>101</v>
      </c>
      <c r="M33" s="226">
        <f>IF(L33="",0,IF(L33="SI",IF(K33=0,0,IF(K33&lt;36,10,23)),0))</f>
        <v>23</v>
      </c>
      <c r="N33" s="232"/>
    </row>
    <row r="34" spans="1:14" x14ac:dyDescent="0.3">
      <c r="A34" s="209"/>
      <c r="B34" s="212"/>
      <c r="C34" s="215"/>
      <c r="D34" s="233"/>
      <c r="E34" s="78" t="s">
        <v>125</v>
      </c>
      <c r="F34" s="67">
        <v>43263</v>
      </c>
      <c r="G34" s="67">
        <v>43571</v>
      </c>
      <c r="H34" s="106">
        <f t="shared" si="3"/>
        <v>10</v>
      </c>
      <c r="I34" s="95" t="s">
        <v>2</v>
      </c>
      <c r="J34" s="95"/>
      <c r="K34" s="221"/>
      <c r="L34" s="224"/>
      <c r="M34" s="227"/>
      <c r="N34" s="230"/>
    </row>
    <row r="35" spans="1:14" ht="54" x14ac:dyDescent="0.3">
      <c r="A35" s="209"/>
      <c r="B35" s="212"/>
      <c r="C35" s="215"/>
      <c r="D35" s="233"/>
      <c r="E35" s="78" t="s">
        <v>125</v>
      </c>
      <c r="F35" s="67">
        <v>43572</v>
      </c>
      <c r="G35" s="67">
        <v>43920</v>
      </c>
      <c r="H35" s="106">
        <f t="shared" si="3"/>
        <v>11</v>
      </c>
      <c r="I35" s="95" t="s">
        <v>2</v>
      </c>
      <c r="J35" s="95" t="s">
        <v>126</v>
      </c>
      <c r="K35" s="221"/>
      <c r="L35" s="224"/>
      <c r="M35" s="227"/>
      <c r="N35" s="230"/>
    </row>
    <row r="36" spans="1:14" ht="64.5" customHeight="1" x14ac:dyDescent="0.3">
      <c r="A36" s="209"/>
      <c r="B36" s="212"/>
      <c r="C36" s="215"/>
      <c r="D36" s="233"/>
      <c r="E36" s="78" t="s">
        <v>125</v>
      </c>
      <c r="F36" s="67">
        <v>43570</v>
      </c>
      <c r="G36" s="67">
        <v>43600</v>
      </c>
      <c r="H36" s="106">
        <f t="shared" si="3"/>
        <v>1</v>
      </c>
      <c r="I36" s="95" t="s">
        <v>9</v>
      </c>
      <c r="J36" s="95" t="s">
        <v>127</v>
      </c>
      <c r="K36" s="221"/>
      <c r="L36" s="224"/>
      <c r="M36" s="227"/>
      <c r="N36" s="230"/>
    </row>
    <row r="37" spans="1:14" ht="67.5" customHeight="1" x14ac:dyDescent="0.3">
      <c r="A37" s="209"/>
      <c r="B37" s="212"/>
      <c r="C37" s="215"/>
      <c r="D37" s="233"/>
      <c r="E37" s="78" t="s">
        <v>125</v>
      </c>
      <c r="F37" s="67">
        <v>43628</v>
      </c>
      <c r="G37" s="67">
        <v>43666</v>
      </c>
      <c r="H37" s="106">
        <f t="shared" si="3"/>
        <v>1</v>
      </c>
      <c r="I37" s="95" t="s">
        <v>9</v>
      </c>
      <c r="J37" s="95" t="s">
        <v>127</v>
      </c>
      <c r="K37" s="221"/>
      <c r="L37" s="224"/>
      <c r="M37" s="227"/>
      <c r="N37" s="230"/>
    </row>
    <row r="38" spans="1:14" ht="63" customHeight="1" x14ac:dyDescent="0.3">
      <c r="A38" s="209"/>
      <c r="B38" s="212"/>
      <c r="C38" s="215"/>
      <c r="D38" s="233"/>
      <c r="E38" s="78" t="s">
        <v>125</v>
      </c>
      <c r="F38" s="67">
        <v>43661</v>
      </c>
      <c r="G38" s="67">
        <v>43692</v>
      </c>
      <c r="H38" s="106">
        <f t="shared" si="3"/>
        <v>1</v>
      </c>
      <c r="I38" s="95" t="s">
        <v>9</v>
      </c>
      <c r="J38" s="95" t="s">
        <v>127</v>
      </c>
      <c r="K38" s="221"/>
      <c r="L38" s="224"/>
      <c r="M38" s="227"/>
      <c r="N38" s="230"/>
    </row>
    <row r="39" spans="1:14" x14ac:dyDescent="0.3">
      <c r="A39" s="209"/>
      <c r="B39" s="212"/>
      <c r="C39" s="215"/>
      <c r="D39" s="233"/>
      <c r="E39" s="78" t="s">
        <v>125</v>
      </c>
      <c r="F39" s="67">
        <v>44141</v>
      </c>
      <c r="G39" s="67">
        <v>44342</v>
      </c>
      <c r="H39" s="106">
        <f t="shared" si="3"/>
        <v>6</v>
      </c>
      <c r="I39" s="95" t="s">
        <v>2</v>
      </c>
      <c r="J39" s="95"/>
      <c r="K39" s="221"/>
      <c r="L39" s="224"/>
      <c r="M39" s="227"/>
      <c r="N39" s="230"/>
    </row>
    <row r="40" spans="1:14" x14ac:dyDescent="0.3">
      <c r="A40" s="209"/>
      <c r="B40" s="212"/>
      <c r="C40" s="215"/>
      <c r="D40" s="233"/>
      <c r="E40" s="94" t="s">
        <v>128</v>
      </c>
      <c r="F40" s="103">
        <v>44393</v>
      </c>
      <c r="G40" s="103">
        <v>45218</v>
      </c>
      <c r="H40" s="106">
        <f t="shared" si="3"/>
        <v>27</v>
      </c>
      <c r="I40" s="95" t="s">
        <v>2</v>
      </c>
      <c r="J40" s="95"/>
      <c r="K40" s="221"/>
      <c r="L40" s="224"/>
      <c r="M40" s="227"/>
      <c r="N40" s="230"/>
    </row>
    <row r="41" spans="1:14" ht="66" customHeight="1" x14ac:dyDescent="0.3">
      <c r="A41" s="210"/>
      <c r="B41" s="213"/>
      <c r="C41" s="216"/>
      <c r="D41" s="234"/>
      <c r="E41" s="111" t="s">
        <v>129</v>
      </c>
      <c r="F41" s="112">
        <v>44396</v>
      </c>
      <c r="G41" s="112">
        <v>45218</v>
      </c>
      <c r="H41" s="113">
        <f t="shared" si="3"/>
        <v>27</v>
      </c>
      <c r="I41" s="96" t="s">
        <v>9</v>
      </c>
      <c r="J41" s="96" t="s">
        <v>127</v>
      </c>
      <c r="K41" s="222"/>
      <c r="L41" s="225"/>
      <c r="M41" s="228"/>
      <c r="N41" s="231"/>
    </row>
    <row r="42" spans="1:14" x14ac:dyDescent="0.3">
      <c r="A42" s="209">
        <v>8</v>
      </c>
      <c r="B42" s="212" t="str" cm="1">
        <f t="array" aca="1" ref="B42" ca="1">IF(INDIRECT("Consolidado!B"&amp;LISTADO!Q37)="","",INDIRECT("Consolidado!B"&amp;LISTADO!Q37))</f>
        <v>CONSORCIO TOOL</v>
      </c>
      <c r="C42" s="215" t="s">
        <v>130</v>
      </c>
      <c r="D42" s="233" t="s">
        <v>131</v>
      </c>
      <c r="E42" s="94" t="s">
        <v>132</v>
      </c>
      <c r="F42" s="103">
        <v>41259</v>
      </c>
      <c r="G42" s="103">
        <v>41953</v>
      </c>
      <c r="H42" s="104">
        <f t="shared" si="2"/>
        <v>22</v>
      </c>
      <c r="I42" s="95" t="s">
        <v>2</v>
      </c>
      <c r="J42" s="95"/>
      <c r="K42" s="221">
        <f>SUMIFS(H42:H46,I42:I46,"CUMPLE")</f>
        <v>41</v>
      </c>
      <c r="L42" s="224" t="s">
        <v>101</v>
      </c>
      <c r="M42" s="227">
        <f>IF(L42="",0,IF(L42="SI",IF(K42=0,0,IF(K42&lt;36,10,23)),0))</f>
        <v>23</v>
      </c>
      <c r="N42" s="230"/>
    </row>
    <row r="43" spans="1:14" x14ac:dyDescent="0.3">
      <c r="A43" s="209"/>
      <c r="B43" s="212"/>
      <c r="C43" s="215"/>
      <c r="D43" s="218"/>
      <c r="E43" s="78" t="s">
        <v>133</v>
      </c>
      <c r="F43" s="67">
        <v>41944</v>
      </c>
      <c r="G43" s="67">
        <v>42536</v>
      </c>
      <c r="H43" s="79">
        <f t="shared" si="2"/>
        <v>19</v>
      </c>
      <c r="I43" s="80" t="s">
        <v>2</v>
      </c>
      <c r="J43" s="80"/>
      <c r="K43" s="221"/>
      <c r="L43" s="224"/>
      <c r="M43" s="227"/>
      <c r="N43" s="230"/>
    </row>
    <row r="44" spans="1:14" x14ac:dyDescent="0.3">
      <c r="A44" s="209"/>
      <c r="B44" s="212"/>
      <c r="C44" s="215"/>
      <c r="D44" s="218"/>
      <c r="E44" s="78"/>
      <c r="F44" s="67"/>
      <c r="G44" s="67"/>
      <c r="H44" s="79">
        <f t="shared" si="2"/>
        <v>0</v>
      </c>
      <c r="I44" s="80"/>
      <c r="J44" s="80"/>
      <c r="K44" s="221"/>
      <c r="L44" s="224"/>
      <c r="M44" s="227"/>
      <c r="N44" s="230"/>
    </row>
    <row r="45" spans="1:14" x14ac:dyDescent="0.3">
      <c r="A45" s="209"/>
      <c r="B45" s="212"/>
      <c r="C45" s="215"/>
      <c r="D45" s="218"/>
      <c r="E45" s="78"/>
      <c r="F45" s="67"/>
      <c r="G45" s="67"/>
      <c r="H45" s="79">
        <f t="shared" si="2"/>
        <v>0</v>
      </c>
      <c r="I45" s="80"/>
      <c r="J45" s="80"/>
      <c r="K45" s="221"/>
      <c r="L45" s="224"/>
      <c r="M45" s="227"/>
      <c r="N45" s="230"/>
    </row>
    <row r="46" spans="1:14" ht="14.25" thickBot="1" x14ac:dyDescent="0.35">
      <c r="A46" s="210"/>
      <c r="B46" s="213"/>
      <c r="C46" s="216"/>
      <c r="D46" s="219"/>
      <c r="E46" s="82"/>
      <c r="F46" s="67"/>
      <c r="G46" s="68"/>
      <c r="H46" s="83">
        <f t="shared" si="2"/>
        <v>0</v>
      </c>
      <c r="I46" s="84"/>
      <c r="J46" s="84"/>
      <c r="K46" s="222"/>
      <c r="L46" s="225"/>
      <c r="M46" s="228"/>
      <c r="N46" s="231"/>
    </row>
    <row r="47" spans="1:14" x14ac:dyDescent="0.3">
      <c r="A47" s="208">
        <v>9</v>
      </c>
      <c r="B47" s="211" t="str" cm="1">
        <f t="array" aca="1" ref="B47" ca="1">IF(INDIRECT("Consolidado!B"&amp;LISTADO!Q42)="","",INDIRECT("Consolidado!B"&amp;LISTADO!Q42))</f>
        <v>CONSORCIO INTERVENTORÍA DE VIGILANCIA 2024</v>
      </c>
      <c r="C47" s="214" t="s">
        <v>134</v>
      </c>
      <c r="D47" s="217">
        <v>73086632</v>
      </c>
      <c r="E47" s="74" t="s">
        <v>135</v>
      </c>
      <c r="F47" s="66">
        <v>37088</v>
      </c>
      <c r="G47" s="66">
        <v>37733</v>
      </c>
      <c r="H47" s="75">
        <f t="shared" si="2"/>
        <v>21</v>
      </c>
      <c r="I47" s="76" t="s">
        <v>2</v>
      </c>
      <c r="J47" s="76"/>
      <c r="K47" s="220">
        <f>SUMIFS(H47:H51,I47:I51,"CUMPLE")</f>
        <v>31</v>
      </c>
      <c r="L47" s="223" t="s">
        <v>101</v>
      </c>
      <c r="M47" s="226">
        <f>IF(L47="",0,IF(L47="SI",IF(K47=0,0,IF(K47&lt;36,10,23)),0))</f>
        <v>10</v>
      </c>
      <c r="N47" s="232"/>
    </row>
    <row r="48" spans="1:14" x14ac:dyDescent="0.3">
      <c r="A48" s="209"/>
      <c r="B48" s="212"/>
      <c r="C48" s="215"/>
      <c r="D48" s="218"/>
      <c r="E48" s="78" t="s">
        <v>136</v>
      </c>
      <c r="F48" s="67">
        <v>38018</v>
      </c>
      <c r="G48" s="67">
        <v>38352</v>
      </c>
      <c r="H48" s="79">
        <f t="shared" si="2"/>
        <v>10</v>
      </c>
      <c r="I48" s="80" t="s">
        <v>2</v>
      </c>
      <c r="J48" s="80"/>
      <c r="K48" s="221"/>
      <c r="L48" s="224"/>
      <c r="M48" s="227"/>
      <c r="N48" s="230"/>
    </row>
    <row r="49" spans="1:14" x14ac:dyDescent="0.3">
      <c r="A49" s="209"/>
      <c r="B49" s="212"/>
      <c r="C49" s="215"/>
      <c r="D49" s="218"/>
      <c r="E49" s="78" t="s">
        <v>137</v>
      </c>
      <c r="F49" s="67">
        <v>38852</v>
      </c>
      <c r="G49" s="67">
        <v>39270</v>
      </c>
      <c r="H49" s="79">
        <f t="shared" si="2"/>
        <v>13</v>
      </c>
      <c r="I49" s="80"/>
      <c r="J49" s="80"/>
      <c r="K49" s="221"/>
      <c r="L49" s="224"/>
      <c r="M49" s="227"/>
      <c r="N49" s="230"/>
    </row>
    <row r="50" spans="1:14" x14ac:dyDescent="0.3">
      <c r="A50" s="209"/>
      <c r="B50" s="212"/>
      <c r="C50" s="215"/>
      <c r="D50" s="218"/>
      <c r="E50" s="78"/>
      <c r="F50" s="67"/>
      <c r="G50" s="67"/>
      <c r="H50" s="79">
        <f t="shared" si="2"/>
        <v>0</v>
      </c>
      <c r="I50" s="80"/>
      <c r="J50" s="80"/>
      <c r="K50" s="221"/>
      <c r="L50" s="224"/>
      <c r="M50" s="227"/>
      <c r="N50" s="230"/>
    </row>
    <row r="51" spans="1:14" ht="14.25" thickBot="1" x14ac:dyDescent="0.35">
      <c r="A51" s="210"/>
      <c r="B51" s="213"/>
      <c r="C51" s="216"/>
      <c r="D51" s="219"/>
      <c r="E51" s="82"/>
      <c r="F51" s="67"/>
      <c r="G51" s="68"/>
      <c r="H51" s="83">
        <f t="shared" si="2"/>
        <v>0</v>
      </c>
      <c r="I51" s="84"/>
      <c r="J51" s="84"/>
      <c r="K51" s="222"/>
      <c r="L51" s="225"/>
      <c r="M51" s="228"/>
      <c r="N51" s="231"/>
    </row>
    <row r="52" spans="1:14" x14ac:dyDescent="0.3">
      <c r="A52" s="208">
        <v>10</v>
      </c>
      <c r="B52" s="211" t="str" cm="1">
        <f t="array" aca="1" ref="B52" ca="1">IF(INDIRECT("Consolidado!B"&amp;LISTADO!Q47)="","",INDIRECT("Consolidado!B"&amp;LISTADO!Q47))</f>
        <v>Consultora Central S.A.S BIC</v>
      </c>
      <c r="C52" s="214" t="s">
        <v>138</v>
      </c>
      <c r="D52" s="217" t="s">
        <v>139</v>
      </c>
      <c r="E52" s="74" t="s">
        <v>140</v>
      </c>
      <c r="F52" s="66">
        <v>42156</v>
      </c>
      <c r="G52" s="66">
        <v>43343</v>
      </c>
      <c r="H52" s="75">
        <f t="shared" si="2"/>
        <v>38</v>
      </c>
      <c r="I52" s="76" t="s">
        <v>2</v>
      </c>
      <c r="J52" s="76"/>
      <c r="K52" s="220">
        <f>SUMIFS(H52:H56,I52:I56,"CUMPLE")</f>
        <v>38</v>
      </c>
      <c r="L52" s="223" t="s">
        <v>101</v>
      </c>
      <c r="M52" s="226">
        <f>IF(L52="",0,IF(L52="SI",IF(K52=0,0,IF(K52&lt;36,10,23)),0))</f>
        <v>23</v>
      </c>
      <c r="N52" s="235" t="s">
        <v>113</v>
      </c>
    </row>
    <row r="53" spans="1:14" x14ac:dyDescent="0.3">
      <c r="A53" s="209"/>
      <c r="B53" s="212"/>
      <c r="C53" s="215"/>
      <c r="D53" s="218"/>
      <c r="E53" s="78"/>
      <c r="F53" s="67"/>
      <c r="G53" s="67"/>
      <c r="H53" s="79">
        <f t="shared" si="2"/>
        <v>0</v>
      </c>
      <c r="I53" s="80"/>
      <c r="J53" s="80"/>
      <c r="K53" s="221"/>
      <c r="L53" s="224"/>
      <c r="M53" s="227"/>
      <c r="N53" s="238"/>
    </row>
    <row r="54" spans="1:14" x14ac:dyDescent="0.3">
      <c r="A54" s="209"/>
      <c r="B54" s="212"/>
      <c r="C54" s="215"/>
      <c r="D54" s="218"/>
      <c r="E54" s="78"/>
      <c r="F54" s="67"/>
      <c r="G54" s="67"/>
      <c r="H54" s="79">
        <f t="shared" si="2"/>
        <v>0</v>
      </c>
      <c r="I54" s="80"/>
      <c r="J54" s="80"/>
      <c r="K54" s="221"/>
      <c r="L54" s="224"/>
      <c r="M54" s="227"/>
      <c r="N54" s="238"/>
    </row>
    <row r="55" spans="1:14" x14ac:dyDescent="0.3">
      <c r="A55" s="209"/>
      <c r="B55" s="212"/>
      <c r="C55" s="215"/>
      <c r="D55" s="218"/>
      <c r="E55" s="78"/>
      <c r="F55" s="67"/>
      <c r="G55" s="67"/>
      <c r="H55" s="79">
        <f t="shared" si="2"/>
        <v>0</v>
      </c>
      <c r="I55" s="80"/>
      <c r="J55" s="80"/>
      <c r="K55" s="221"/>
      <c r="L55" s="224"/>
      <c r="M55" s="227"/>
      <c r="N55" s="238"/>
    </row>
    <row r="56" spans="1:14" ht="41.25" customHeight="1" thickBot="1" x14ac:dyDescent="0.35">
      <c r="A56" s="210"/>
      <c r="B56" s="213"/>
      <c r="C56" s="216"/>
      <c r="D56" s="219"/>
      <c r="E56" s="82"/>
      <c r="F56" s="67"/>
      <c r="G56" s="68"/>
      <c r="H56" s="83">
        <f t="shared" si="2"/>
        <v>0</v>
      </c>
      <c r="I56" s="84"/>
      <c r="J56" s="84"/>
      <c r="K56" s="222"/>
      <c r="L56" s="225"/>
      <c r="M56" s="228"/>
      <c r="N56" s="239"/>
    </row>
    <row r="57" spans="1:14" ht="81.599999999999994" customHeight="1" x14ac:dyDescent="0.3">
      <c r="A57" s="208">
        <v>11</v>
      </c>
      <c r="B57" s="211" t="str" cm="1">
        <f t="array" aca="1" ref="B57" ca="1">IF(INDIRECT("Consolidado!B"&amp;LISTADO!Q52)="","",INDIRECT("Consolidado!B"&amp;LISTADO!Q52))</f>
        <v>CONSORCIO INTERVENCIÓN Y SEGURIDAD DISTRITAL</v>
      </c>
      <c r="C57" s="214" t="s">
        <v>141</v>
      </c>
      <c r="D57" s="217">
        <v>79459542</v>
      </c>
      <c r="E57" s="74" t="s">
        <v>142</v>
      </c>
      <c r="F57" s="66">
        <v>41701</v>
      </c>
      <c r="G57" s="66">
        <v>42867</v>
      </c>
      <c r="H57" s="75">
        <f t="shared" si="2"/>
        <v>38</v>
      </c>
      <c r="I57" s="76" t="s">
        <v>2</v>
      </c>
      <c r="J57" s="76"/>
      <c r="K57" s="220">
        <f>SUMIFS(H57:H61,I57:I61,"CUMPLE")</f>
        <v>38</v>
      </c>
      <c r="L57" s="223" t="s">
        <v>101</v>
      </c>
      <c r="M57" s="226">
        <f>IF(L57="",0,IF(L57="SI",IF(K57=0,0,IF(K57&lt;36,10,23)),0))</f>
        <v>23</v>
      </c>
      <c r="N57" s="229" t="s">
        <v>143</v>
      </c>
    </row>
    <row r="58" spans="1:14" x14ac:dyDescent="0.3">
      <c r="A58" s="209"/>
      <c r="B58" s="212"/>
      <c r="C58" s="215"/>
      <c r="D58" s="218"/>
      <c r="E58" s="78"/>
      <c r="F58" s="67"/>
      <c r="G58" s="67"/>
      <c r="H58" s="79">
        <f t="shared" si="2"/>
        <v>0</v>
      </c>
      <c r="I58" s="80"/>
      <c r="J58" s="80"/>
      <c r="K58" s="221"/>
      <c r="L58" s="224"/>
      <c r="M58" s="227"/>
      <c r="N58" s="230"/>
    </row>
    <row r="59" spans="1:14" x14ac:dyDescent="0.3">
      <c r="A59" s="209"/>
      <c r="B59" s="212"/>
      <c r="C59" s="215"/>
      <c r="D59" s="218"/>
      <c r="E59" s="78"/>
      <c r="F59" s="67"/>
      <c r="G59" s="67"/>
      <c r="H59" s="79">
        <f t="shared" si="2"/>
        <v>0</v>
      </c>
      <c r="I59" s="80"/>
      <c r="J59" s="80"/>
      <c r="K59" s="221"/>
      <c r="L59" s="224"/>
      <c r="M59" s="227"/>
      <c r="N59" s="230"/>
    </row>
    <row r="60" spans="1:14" x14ac:dyDescent="0.3">
      <c r="A60" s="209"/>
      <c r="B60" s="212"/>
      <c r="C60" s="215"/>
      <c r="D60" s="218"/>
      <c r="E60" s="78"/>
      <c r="F60" s="67"/>
      <c r="G60" s="67"/>
      <c r="H60" s="79">
        <f t="shared" si="2"/>
        <v>0</v>
      </c>
      <c r="I60" s="80"/>
      <c r="J60" s="80"/>
      <c r="K60" s="221"/>
      <c r="L60" s="224"/>
      <c r="M60" s="227"/>
      <c r="N60" s="230"/>
    </row>
    <row r="61" spans="1:14" ht="14.25" thickBot="1" x14ac:dyDescent="0.35">
      <c r="A61" s="210"/>
      <c r="B61" s="213"/>
      <c r="C61" s="216"/>
      <c r="D61" s="219"/>
      <c r="E61" s="82"/>
      <c r="F61" s="67"/>
      <c r="G61" s="68"/>
      <c r="H61" s="83">
        <f t="shared" si="2"/>
        <v>0</v>
      </c>
      <c r="I61" s="84"/>
      <c r="J61" s="84"/>
      <c r="K61" s="222"/>
      <c r="L61" s="225"/>
      <c r="M61" s="228"/>
      <c r="N61" s="231"/>
    </row>
    <row r="62" spans="1:14" x14ac:dyDescent="0.3">
      <c r="A62" s="208">
        <v>12</v>
      </c>
      <c r="B62" s="211" t="str" cm="1">
        <f t="array" aca="1" ref="B62" ca="1">IF(INDIRECT("Consolidado!B"&amp;LISTADO!Q57)="","",INDIRECT("Consolidado!B"&amp;LISTADO!Q57))</f>
        <v>Strycon Energía: NIT 901.466.510-3</v>
      </c>
      <c r="C62" s="214" t="s">
        <v>144</v>
      </c>
      <c r="D62" s="217">
        <v>73572189</v>
      </c>
      <c r="E62" s="74"/>
      <c r="F62" s="66"/>
      <c r="G62" s="66"/>
      <c r="H62" s="75">
        <f t="shared" si="2"/>
        <v>0</v>
      </c>
      <c r="I62" s="76"/>
      <c r="J62" s="76"/>
      <c r="K62" s="220">
        <f>SUMIFS(H62:H66,I62:I66,"CUMPLE")</f>
        <v>0</v>
      </c>
      <c r="L62" s="223" t="s">
        <v>145</v>
      </c>
      <c r="M62" s="226">
        <f>IF(L62="",0,IF(L62="SI",IF(K62=0,0,IF(K62&lt;36,10,23)),0))</f>
        <v>0</v>
      </c>
      <c r="N62" s="235" t="s">
        <v>146</v>
      </c>
    </row>
    <row r="63" spans="1:14" x14ac:dyDescent="0.3">
      <c r="A63" s="209"/>
      <c r="B63" s="212"/>
      <c r="C63" s="215"/>
      <c r="D63" s="218"/>
      <c r="E63" s="78"/>
      <c r="F63" s="67"/>
      <c r="G63" s="67"/>
      <c r="H63" s="79">
        <f t="shared" si="2"/>
        <v>0</v>
      </c>
      <c r="I63" s="80"/>
      <c r="J63" s="80"/>
      <c r="K63" s="221"/>
      <c r="L63" s="224"/>
      <c r="M63" s="227"/>
      <c r="N63" s="236"/>
    </row>
    <row r="64" spans="1:14" x14ac:dyDescent="0.3">
      <c r="A64" s="209"/>
      <c r="B64" s="212"/>
      <c r="C64" s="215"/>
      <c r="D64" s="218"/>
      <c r="E64" s="78"/>
      <c r="F64" s="67"/>
      <c r="G64" s="67"/>
      <c r="H64" s="79">
        <f t="shared" si="2"/>
        <v>0</v>
      </c>
      <c r="I64" s="80"/>
      <c r="J64" s="80"/>
      <c r="K64" s="221"/>
      <c r="L64" s="224"/>
      <c r="M64" s="227"/>
      <c r="N64" s="236"/>
    </row>
    <row r="65" spans="1:14" x14ac:dyDescent="0.3">
      <c r="A65" s="209"/>
      <c r="B65" s="212"/>
      <c r="C65" s="215"/>
      <c r="D65" s="218"/>
      <c r="E65" s="78"/>
      <c r="F65" s="67"/>
      <c r="G65" s="67"/>
      <c r="H65" s="79">
        <f t="shared" si="2"/>
        <v>0</v>
      </c>
      <c r="I65" s="80"/>
      <c r="J65" s="80"/>
      <c r="K65" s="221"/>
      <c r="L65" s="224"/>
      <c r="M65" s="227"/>
      <c r="N65" s="236"/>
    </row>
    <row r="66" spans="1:14" ht="14.25" thickBot="1" x14ac:dyDescent="0.35">
      <c r="A66" s="210"/>
      <c r="B66" s="213"/>
      <c r="C66" s="216"/>
      <c r="D66" s="219"/>
      <c r="E66" s="82"/>
      <c r="F66" s="67"/>
      <c r="G66" s="68"/>
      <c r="H66" s="83">
        <f t="shared" si="2"/>
        <v>0</v>
      </c>
      <c r="I66" s="84"/>
      <c r="J66" s="84"/>
      <c r="K66" s="222"/>
      <c r="L66" s="225"/>
      <c r="M66" s="228"/>
      <c r="N66" s="237"/>
    </row>
    <row r="67" spans="1:14" ht="27" x14ac:dyDescent="0.3">
      <c r="A67" s="208">
        <v>13</v>
      </c>
      <c r="B67" s="211" t="str" cm="1">
        <f t="array" aca="1" ref="B67" ca="1">IF(INDIRECT("Consolidado!B"&amp;LISTADO!Q62)="","",INDIRECT("Consolidado!B"&amp;LISTADO!Q62))</f>
        <v>ALIANZA INTEGRAL DE PROYECTOS SAS BIC: NIT 901.506.750-7</v>
      </c>
      <c r="C67" s="214" t="s">
        <v>147</v>
      </c>
      <c r="D67" s="217" t="s">
        <v>148</v>
      </c>
      <c r="E67" s="74" t="s">
        <v>149</v>
      </c>
      <c r="F67" s="66">
        <v>42412</v>
      </c>
      <c r="G67" s="66">
        <v>42734</v>
      </c>
      <c r="H67" s="75">
        <f t="shared" si="2"/>
        <v>10</v>
      </c>
      <c r="I67" s="76" t="s">
        <v>2</v>
      </c>
      <c r="J67" s="76"/>
      <c r="K67" s="220">
        <f>SUMIFS(H67:H71,I67:I71,"CUMPLE")</f>
        <v>51</v>
      </c>
      <c r="L67" s="223" t="s">
        <v>101</v>
      </c>
      <c r="M67" s="226">
        <f>IF(L67="",0,IF(L67="SI",IF(K67=0,0,IF(K67&lt;36,10,23)),0))</f>
        <v>23</v>
      </c>
      <c r="N67" s="232"/>
    </row>
    <row r="68" spans="1:14" x14ac:dyDescent="0.3">
      <c r="A68" s="209"/>
      <c r="B68" s="212"/>
      <c r="C68" s="215"/>
      <c r="D68" s="218"/>
      <c r="E68" s="78" t="s">
        <v>150</v>
      </c>
      <c r="F68" s="67">
        <v>42745</v>
      </c>
      <c r="G68" s="67">
        <v>43992</v>
      </c>
      <c r="H68" s="79">
        <f t="shared" si="2"/>
        <v>41</v>
      </c>
      <c r="I68" s="80" t="s">
        <v>2</v>
      </c>
      <c r="J68" s="80"/>
      <c r="K68" s="221"/>
      <c r="L68" s="224"/>
      <c r="M68" s="227"/>
      <c r="N68" s="230"/>
    </row>
    <row r="69" spans="1:14" x14ac:dyDescent="0.3">
      <c r="A69" s="209"/>
      <c r="B69" s="212"/>
      <c r="C69" s="215"/>
      <c r="D69" s="218"/>
      <c r="E69" s="78"/>
      <c r="F69" s="67"/>
      <c r="G69" s="67"/>
      <c r="H69" s="79">
        <f t="shared" si="2"/>
        <v>0</v>
      </c>
      <c r="I69" s="80"/>
      <c r="J69" s="80"/>
      <c r="K69" s="221"/>
      <c r="L69" s="224"/>
      <c r="M69" s="227"/>
      <c r="N69" s="230"/>
    </row>
    <row r="70" spans="1:14" x14ac:dyDescent="0.3">
      <c r="A70" s="209"/>
      <c r="B70" s="212"/>
      <c r="C70" s="215"/>
      <c r="D70" s="218"/>
      <c r="E70" s="78"/>
      <c r="F70" s="67"/>
      <c r="G70" s="67"/>
      <c r="H70" s="79">
        <f t="shared" si="2"/>
        <v>0</v>
      </c>
      <c r="I70" s="80"/>
      <c r="J70" s="80"/>
      <c r="K70" s="221"/>
      <c r="L70" s="224"/>
      <c r="M70" s="227"/>
      <c r="N70" s="230"/>
    </row>
    <row r="71" spans="1:14" ht="14.25" thickBot="1" x14ac:dyDescent="0.35">
      <c r="A71" s="210"/>
      <c r="B71" s="213"/>
      <c r="C71" s="216"/>
      <c r="D71" s="219"/>
      <c r="E71" s="82"/>
      <c r="F71" s="68"/>
      <c r="G71" s="68"/>
      <c r="H71" s="83">
        <f t="shared" si="2"/>
        <v>0</v>
      </c>
      <c r="I71" s="84"/>
      <c r="J71" s="84"/>
      <c r="K71" s="222"/>
      <c r="L71" s="225"/>
      <c r="M71" s="228"/>
      <c r="N71" s="231"/>
    </row>
  </sheetData>
  <sheetProtection algorithmName="SHA-512" hashValue="m2Wx0w8AvD4Og558OY0eGD4vGZf3HdXR5Sm6HVDz7XkXxUUv3rAO4HK04O6P3Au/BSccxxZPl9c7zt9dUTGizw==" saltValue="NoeQA1IM8s9h6WDbjkm7/w==" spinCount="100000" sheet="1" objects="1" scenarios="1"/>
  <sortState xmlns:xlrd2="http://schemas.microsoft.com/office/spreadsheetml/2017/richdata2" ref="E18:J22">
    <sortCondition ref="F18:F22"/>
  </sortState>
  <mergeCells count="115">
    <mergeCell ref="J1:J2"/>
    <mergeCell ref="M3:M7"/>
    <mergeCell ref="N3:N7"/>
    <mergeCell ref="H1:H2"/>
    <mergeCell ref="K1:K2"/>
    <mergeCell ref="L1:N1"/>
    <mergeCell ref="A3:A7"/>
    <mergeCell ref="B3:B7"/>
    <mergeCell ref="C3:C7"/>
    <mergeCell ref="D3:D7"/>
    <mergeCell ref="K3:K7"/>
    <mergeCell ref="L3:L7"/>
    <mergeCell ref="A1:A2"/>
    <mergeCell ref="B1:B2"/>
    <mergeCell ref="C1:C2"/>
    <mergeCell ref="D1:D2"/>
    <mergeCell ref="E1:E2"/>
    <mergeCell ref="F1:G1"/>
    <mergeCell ref="I1:I2"/>
    <mergeCell ref="M28:M32"/>
    <mergeCell ref="N28:N32"/>
    <mergeCell ref="A28:A32"/>
    <mergeCell ref="B28:B32"/>
    <mergeCell ref="C28:C32"/>
    <mergeCell ref="D28:D32"/>
    <mergeCell ref="K28:K32"/>
    <mergeCell ref="L28:L32"/>
    <mergeCell ref="A33:A41"/>
    <mergeCell ref="B33:B41"/>
    <mergeCell ref="M33:M41"/>
    <mergeCell ref="N33:N41"/>
    <mergeCell ref="B13:B17"/>
    <mergeCell ref="C13:C17"/>
    <mergeCell ref="D13:D17"/>
    <mergeCell ref="K13:K17"/>
    <mergeCell ref="L13:L17"/>
    <mergeCell ref="M13:M17"/>
    <mergeCell ref="N13:N17"/>
    <mergeCell ref="A8:A12"/>
    <mergeCell ref="B8:B12"/>
    <mergeCell ref="C8:C12"/>
    <mergeCell ref="D8:D12"/>
    <mergeCell ref="K8:K12"/>
    <mergeCell ref="L8:L12"/>
    <mergeCell ref="M8:M12"/>
    <mergeCell ref="N8:N12"/>
    <mergeCell ref="A13:A17"/>
    <mergeCell ref="M18:M22"/>
    <mergeCell ref="N18:N22"/>
    <mergeCell ref="A23:A27"/>
    <mergeCell ref="B23:B27"/>
    <mergeCell ref="C23:C27"/>
    <mergeCell ref="D23:D27"/>
    <mergeCell ref="K23:K27"/>
    <mergeCell ref="L23:L27"/>
    <mergeCell ref="M23:M27"/>
    <mergeCell ref="N23:N27"/>
    <mergeCell ref="A42:A46"/>
    <mergeCell ref="B42:B46"/>
    <mergeCell ref="C42:C46"/>
    <mergeCell ref="D42:D46"/>
    <mergeCell ref="K42:K46"/>
    <mergeCell ref="L42:L46"/>
    <mergeCell ref="A18:A22"/>
    <mergeCell ref="B18:B22"/>
    <mergeCell ref="C18:C22"/>
    <mergeCell ref="D18:D22"/>
    <mergeCell ref="K18:K22"/>
    <mergeCell ref="L18:L22"/>
    <mergeCell ref="A52:A56"/>
    <mergeCell ref="B52:B56"/>
    <mergeCell ref="C52:C56"/>
    <mergeCell ref="D52:D56"/>
    <mergeCell ref="K52:K56"/>
    <mergeCell ref="L52:L56"/>
    <mergeCell ref="M52:M56"/>
    <mergeCell ref="N52:N56"/>
    <mergeCell ref="C47:C51"/>
    <mergeCell ref="D47:D51"/>
    <mergeCell ref="K47:K51"/>
    <mergeCell ref="L47:L51"/>
    <mergeCell ref="A47:A51"/>
    <mergeCell ref="B47:B51"/>
    <mergeCell ref="M57:M61"/>
    <mergeCell ref="N57:N61"/>
    <mergeCell ref="M67:M71"/>
    <mergeCell ref="N67:N71"/>
    <mergeCell ref="M47:M51"/>
    <mergeCell ref="N47:N51"/>
    <mergeCell ref="C33:C41"/>
    <mergeCell ref="D33:D41"/>
    <mergeCell ref="K33:K41"/>
    <mergeCell ref="L33:L41"/>
    <mergeCell ref="M62:M66"/>
    <mergeCell ref="N62:N66"/>
    <mergeCell ref="C62:C66"/>
    <mergeCell ref="D62:D66"/>
    <mergeCell ref="K62:K66"/>
    <mergeCell ref="L62:L66"/>
    <mergeCell ref="M42:M46"/>
    <mergeCell ref="N42:N46"/>
    <mergeCell ref="A67:A71"/>
    <mergeCell ref="B67:B71"/>
    <mergeCell ref="C67:C71"/>
    <mergeCell ref="D67:D71"/>
    <mergeCell ref="K67:K71"/>
    <mergeCell ref="L67:L71"/>
    <mergeCell ref="A57:A61"/>
    <mergeCell ref="B57:B61"/>
    <mergeCell ref="C57:C61"/>
    <mergeCell ref="D57:D61"/>
    <mergeCell ref="K57:K61"/>
    <mergeCell ref="L57:L61"/>
    <mergeCell ref="A62:A66"/>
    <mergeCell ref="B62:B66"/>
  </mergeCells>
  <conditionalFormatting sqref="A3:D3 E3:E71 H3:J71">
    <cfRule type="cellIs" dxfId="167" priority="779" operator="equal">
      <formula>"NO CUMPLE"</formula>
    </cfRule>
    <cfRule type="cellIs" dxfId="166" priority="778" operator="equal">
      <formula>"NO HABILITADO"</formula>
    </cfRule>
  </conditionalFormatting>
  <conditionalFormatting sqref="A8:D8">
    <cfRule type="cellIs" dxfId="165" priority="60" operator="equal">
      <formula>"NO CUMPLE"</formula>
    </cfRule>
    <cfRule type="cellIs" dxfId="164" priority="59" operator="equal">
      <formula>"NO HABILITADO"</formula>
    </cfRule>
  </conditionalFormatting>
  <conditionalFormatting sqref="A13:D13">
    <cfRule type="cellIs" dxfId="163" priority="55" operator="equal">
      <formula>"NO CUMPLE"</formula>
    </cfRule>
    <cfRule type="cellIs" dxfId="162" priority="54" operator="equal">
      <formula>"NO HABILITADO"</formula>
    </cfRule>
  </conditionalFormatting>
  <conditionalFormatting sqref="A18:D18">
    <cfRule type="cellIs" dxfId="161" priority="50" operator="equal">
      <formula>"NO CUMPLE"</formula>
    </cfRule>
    <cfRule type="cellIs" dxfId="160" priority="49" operator="equal">
      <formula>"NO HABILITADO"</formula>
    </cfRule>
  </conditionalFormatting>
  <conditionalFormatting sqref="A23:D23">
    <cfRule type="cellIs" dxfId="159" priority="44" operator="equal">
      <formula>"NO HABILITADO"</formula>
    </cfRule>
    <cfRule type="cellIs" dxfId="158" priority="45" operator="equal">
      <formula>"NO CUMPLE"</formula>
    </cfRule>
  </conditionalFormatting>
  <conditionalFormatting sqref="A28:D28">
    <cfRule type="cellIs" dxfId="157" priority="40" operator="equal">
      <formula>"NO CUMPLE"</formula>
    </cfRule>
    <cfRule type="cellIs" dxfId="156" priority="39" operator="equal">
      <formula>"NO HABILITADO"</formula>
    </cfRule>
  </conditionalFormatting>
  <conditionalFormatting sqref="A33:D42">
    <cfRule type="cellIs" dxfId="155" priority="29" operator="equal">
      <formula>"NO HABILITADO"</formula>
    </cfRule>
    <cfRule type="cellIs" dxfId="154" priority="30" operator="equal">
      <formula>"NO CUMPLE"</formula>
    </cfRule>
  </conditionalFormatting>
  <conditionalFormatting sqref="A47:D47">
    <cfRule type="cellIs" dxfId="153" priority="25" operator="equal">
      <formula>"NO CUMPLE"</formula>
    </cfRule>
    <cfRule type="cellIs" dxfId="152" priority="24" operator="equal">
      <formula>"NO HABILITADO"</formula>
    </cfRule>
  </conditionalFormatting>
  <conditionalFormatting sqref="A52:D52">
    <cfRule type="cellIs" dxfId="151" priority="19" operator="equal">
      <formula>"NO HABILITADO"</formula>
    </cfRule>
    <cfRule type="cellIs" dxfId="150" priority="20" operator="equal">
      <formula>"NO CUMPLE"</formula>
    </cfRule>
  </conditionalFormatting>
  <conditionalFormatting sqref="A57:D57">
    <cfRule type="cellIs" dxfId="149" priority="15" operator="equal">
      <formula>"NO CUMPLE"</formula>
    </cfRule>
    <cfRule type="cellIs" dxfId="148" priority="14" operator="equal">
      <formula>"NO HABILITADO"</formula>
    </cfRule>
  </conditionalFormatting>
  <conditionalFormatting sqref="A62:D62">
    <cfRule type="cellIs" dxfId="147" priority="9" operator="equal">
      <formula>"NO HABILITADO"</formula>
    </cfRule>
    <cfRule type="cellIs" dxfId="146" priority="10" operator="equal">
      <formula>"NO CUMPLE"</formula>
    </cfRule>
  </conditionalFormatting>
  <conditionalFormatting sqref="A67:D67">
    <cfRule type="cellIs" dxfId="145" priority="4" operator="equal">
      <formula>"NO HABILITADO"</formula>
    </cfRule>
    <cfRule type="cellIs" dxfId="144" priority="5" operator="equal">
      <formula>"NO CUMPLE"</formula>
    </cfRule>
  </conditionalFormatting>
  <conditionalFormatting sqref="A1:E2">
    <cfRule type="cellIs" dxfId="143" priority="767" operator="equal">
      <formula>"RECHAZADO"</formula>
    </cfRule>
  </conditionalFormatting>
  <conditionalFormatting sqref="F1 H1:N1 K2:N2 L3:N3 L8:N8 L13:N13 L18:N18 L23:N23 L28:N28 L33:N42 L47:N47 L52:N52 L57:N57 L62:N62 L67:N67">
    <cfRule type="cellIs" dxfId="142" priority="768" operator="equal">
      <formula>"NO"</formula>
    </cfRule>
  </conditionalFormatting>
  <conditionalFormatting sqref="F2:H2">
    <cfRule type="cellIs" dxfId="141" priority="764" operator="equal">
      <formula>"RECHAZADO"</formula>
    </cfRule>
  </conditionalFormatting>
  <conditionalFormatting sqref="K3">
    <cfRule type="cellIs" dxfId="140" priority="602" operator="equal">
      <formula>"NO HABILITADO"</formula>
    </cfRule>
    <cfRule type="cellIs" dxfId="139" priority="603" operator="equal">
      <formula>"NO CUMPLE"</formula>
    </cfRule>
  </conditionalFormatting>
  <conditionalFormatting sqref="K8">
    <cfRule type="cellIs" dxfId="138" priority="58" operator="equal">
      <formula>"NO CUMPLE"</formula>
    </cfRule>
    <cfRule type="cellIs" dxfId="137" priority="57" operator="equal">
      <formula>"NO HABILITADO"</formula>
    </cfRule>
  </conditionalFormatting>
  <conditionalFormatting sqref="K13">
    <cfRule type="cellIs" dxfId="136" priority="53" operator="equal">
      <formula>"NO CUMPLE"</formula>
    </cfRule>
    <cfRule type="cellIs" dxfId="135" priority="52" operator="equal">
      <formula>"NO HABILITADO"</formula>
    </cfRule>
  </conditionalFormatting>
  <conditionalFormatting sqref="K18">
    <cfRule type="cellIs" dxfId="134" priority="47" operator="equal">
      <formula>"NO HABILITADO"</formula>
    </cfRule>
    <cfRule type="cellIs" dxfId="133" priority="48" operator="equal">
      <formula>"NO CUMPLE"</formula>
    </cfRule>
  </conditionalFormatting>
  <conditionalFormatting sqref="K23">
    <cfRule type="cellIs" dxfId="132" priority="42" operator="equal">
      <formula>"NO HABILITADO"</formula>
    </cfRule>
    <cfRule type="cellIs" dxfId="131" priority="43" operator="equal">
      <formula>"NO CUMPLE"</formula>
    </cfRule>
  </conditionalFormatting>
  <conditionalFormatting sqref="K28">
    <cfRule type="cellIs" dxfId="130" priority="37" operator="equal">
      <formula>"NO HABILITADO"</formula>
    </cfRule>
    <cfRule type="cellIs" dxfId="129" priority="38" operator="equal">
      <formula>"NO CUMPLE"</formula>
    </cfRule>
  </conditionalFormatting>
  <conditionalFormatting sqref="K33:K42">
    <cfRule type="cellIs" dxfId="128" priority="28" operator="equal">
      <formula>"NO CUMPLE"</formula>
    </cfRule>
    <cfRule type="cellIs" dxfId="127" priority="27" operator="equal">
      <formula>"NO HABILITADO"</formula>
    </cfRule>
  </conditionalFormatting>
  <conditionalFormatting sqref="K47">
    <cfRule type="cellIs" dxfId="126" priority="22" operator="equal">
      <formula>"NO HABILITADO"</formula>
    </cfRule>
    <cfRule type="cellIs" dxfId="125" priority="23" operator="equal">
      <formula>"NO CUMPLE"</formula>
    </cfRule>
  </conditionalFormatting>
  <conditionalFormatting sqref="K52">
    <cfRule type="cellIs" dxfId="124" priority="17" operator="equal">
      <formula>"NO HABILITADO"</formula>
    </cfRule>
    <cfRule type="cellIs" dxfId="123" priority="18" operator="equal">
      <formula>"NO CUMPLE"</formula>
    </cfRule>
  </conditionalFormatting>
  <conditionalFormatting sqref="K57">
    <cfRule type="cellIs" dxfId="122" priority="13" operator="equal">
      <formula>"NO CUMPLE"</formula>
    </cfRule>
    <cfRule type="cellIs" dxfId="121" priority="12" operator="equal">
      <formula>"NO HABILITADO"</formula>
    </cfRule>
  </conditionalFormatting>
  <conditionalFormatting sqref="K62">
    <cfRule type="cellIs" dxfId="120" priority="7" operator="equal">
      <formula>"NO HABILITADO"</formula>
    </cfRule>
    <cfRule type="cellIs" dxfId="119" priority="8" operator="equal">
      <formula>"NO CUMPLE"</formula>
    </cfRule>
  </conditionalFormatting>
  <conditionalFormatting sqref="K67">
    <cfRule type="cellIs" dxfId="118" priority="3" operator="equal">
      <formula>"NO CUMPLE"</formula>
    </cfRule>
    <cfRule type="cellIs" dxfId="117" priority="2" operator="equal">
      <formula>"NO HABILITADO"</formula>
    </cfRule>
  </conditionalFormatting>
  <conditionalFormatting sqref="L1:L2 M1:N3">
    <cfRule type="cellIs" dxfId="116" priority="780" operator="equal">
      <formula>"NO CUMPLE"</formula>
    </cfRule>
  </conditionalFormatting>
  <conditionalFormatting sqref="M8:N8">
    <cfRule type="cellIs" dxfId="115" priority="61" operator="equal">
      <formula>"NO CUMPLE"</formula>
    </cfRule>
  </conditionalFormatting>
  <conditionalFormatting sqref="M13:N13">
    <cfRule type="cellIs" dxfId="114" priority="56" operator="equal">
      <formula>"NO CUMPLE"</formula>
    </cfRule>
  </conditionalFormatting>
  <conditionalFormatting sqref="M18:N18">
    <cfRule type="cellIs" dxfId="113" priority="1" operator="equal">
      <formula>"NO CUMPLE"</formula>
    </cfRule>
  </conditionalFormatting>
  <conditionalFormatting sqref="M23:N23">
    <cfRule type="cellIs" dxfId="112" priority="46" operator="equal">
      <formula>"NO CUMPLE"</formula>
    </cfRule>
  </conditionalFormatting>
  <conditionalFormatting sqref="M28:N28">
    <cfRule type="cellIs" dxfId="111" priority="41" operator="equal">
      <formula>"NO CUMPLE"</formula>
    </cfRule>
  </conditionalFormatting>
  <conditionalFormatting sqref="M33:N42">
    <cfRule type="cellIs" dxfId="110" priority="31" operator="equal">
      <formula>"NO CUMPLE"</formula>
    </cfRule>
  </conditionalFormatting>
  <conditionalFormatting sqref="M47:N47">
    <cfRule type="cellIs" dxfId="109" priority="26" operator="equal">
      <formula>"NO CUMPLE"</formula>
    </cfRule>
  </conditionalFormatting>
  <conditionalFormatting sqref="M52:N52">
    <cfRule type="cellIs" dxfId="108" priority="21" operator="equal">
      <formula>"NO CUMPLE"</formula>
    </cfRule>
  </conditionalFormatting>
  <conditionalFormatting sqref="M57:N57">
    <cfRule type="cellIs" dxfId="107" priority="16" operator="equal">
      <formula>"NO CUMPLE"</formula>
    </cfRule>
  </conditionalFormatting>
  <conditionalFormatting sqref="M62:N62">
    <cfRule type="cellIs" dxfId="106" priority="11" operator="equal">
      <formula>"NO CUMPLE"</formula>
    </cfRule>
  </conditionalFormatting>
  <conditionalFormatting sqref="M67:N67">
    <cfRule type="cellIs" dxfId="105" priority="6" operator="equal">
      <formula>"NO CUMPLE"</formula>
    </cfRule>
  </conditionalFormatting>
  <dataValidations count="1">
    <dataValidation type="list" allowBlank="1" showInputMessage="1" showErrorMessage="1" sqref="L3 L62 L8 L13 L18 L23 L28 L33:L42 L47 L52 L57 L67" xr:uid="{F3B07F45-385F-42F1-9558-B17FCE11DC5B}">
      <formula1>"SI,NO"</formula1>
    </dataValidation>
  </dataValidations>
  <pageMargins left="0.7" right="0.7" top="0.75" bottom="0.75" header="0.3" footer="0.3"/>
  <ignoredErrors>
    <ignoredError sqref="H3:H7" unlockedFormula="1"/>
  </ignoredErrors>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67B561CC-A10C-49F7-9CC9-16032AA3278B}">
          <x14:formula1>
            <xm:f>LISTADO!$F$2:$F$3</xm:f>
          </x14:formula1>
          <xm:sqref>I3:I71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AE968-6DC0-46C5-929B-1873D114E151}">
  <sheetPr>
    <tabColor rgb="FF92D050"/>
  </sheetPr>
  <dimension ref="A1:N67"/>
  <sheetViews>
    <sheetView zoomScaleNormal="100" workbookViewId="0">
      <pane xSplit="2" ySplit="2" topLeftCell="G28" activePane="bottomRight" state="frozen"/>
      <selection pane="topRight"/>
      <selection pane="bottomLeft"/>
      <selection pane="bottomRight" activeCell="J33" sqref="J33"/>
    </sheetView>
  </sheetViews>
  <sheetFormatPr baseColWidth="10" defaultColWidth="25.140625" defaultRowHeight="13.5" x14ac:dyDescent="0.3"/>
  <cols>
    <col min="1" max="1" width="9.5703125" style="89" customWidth="1"/>
    <col min="2" max="2" width="28.140625" style="97" customWidth="1"/>
    <col min="3" max="3" width="32.85546875" style="89" customWidth="1"/>
    <col min="4" max="4" width="29" style="89" customWidth="1"/>
    <col min="5" max="5" width="40.85546875" style="98" customWidth="1"/>
    <col min="6" max="9" width="17" style="99" customWidth="1"/>
    <col min="10" max="10" width="50" style="99" customWidth="1"/>
    <col min="11" max="11" width="17.42578125" style="89" customWidth="1"/>
    <col min="12" max="12" width="25.140625" style="89"/>
    <col min="13" max="13" width="16" style="89" customWidth="1"/>
    <col min="14" max="14" width="46" style="89" customWidth="1"/>
    <col min="15" max="16384" width="25.140625" style="89"/>
  </cols>
  <sheetData>
    <row r="1" spans="1:14" ht="48.75" customHeight="1" x14ac:dyDescent="0.3">
      <c r="A1" s="269" t="s">
        <v>85</v>
      </c>
      <c r="B1" s="263" t="s">
        <v>15</v>
      </c>
      <c r="C1" s="263" t="s">
        <v>151</v>
      </c>
      <c r="D1" s="263" t="s">
        <v>87</v>
      </c>
      <c r="E1" s="263" t="s">
        <v>88</v>
      </c>
      <c r="F1" s="265" t="s">
        <v>89</v>
      </c>
      <c r="G1" s="266"/>
      <c r="H1" s="263" t="s">
        <v>90</v>
      </c>
      <c r="I1" s="267" t="s">
        <v>91</v>
      </c>
      <c r="J1" s="267" t="s">
        <v>92</v>
      </c>
      <c r="K1" s="267" t="s">
        <v>152</v>
      </c>
      <c r="L1" s="244" t="s">
        <v>153</v>
      </c>
      <c r="M1" s="245"/>
      <c r="N1" s="246"/>
    </row>
    <row r="2" spans="1:14" ht="36.75" customHeight="1" thickBot="1" x14ac:dyDescent="0.35">
      <c r="A2" s="270"/>
      <c r="B2" s="264"/>
      <c r="C2" s="264"/>
      <c r="D2" s="264"/>
      <c r="E2" s="264"/>
      <c r="F2" s="90" t="s">
        <v>95</v>
      </c>
      <c r="G2" s="90" t="s">
        <v>96</v>
      </c>
      <c r="H2" s="264"/>
      <c r="I2" s="268"/>
      <c r="J2" s="268"/>
      <c r="K2" s="268"/>
      <c r="L2" s="91" t="s">
        <v>97</v>
      </c>
      <c r="M2" s="92" t="s">
        <v>98</v>
      </c>
      <c r="N2" s="93" t="s">
        <v>99</v>
      </c>
    </row>
    <row r="3" spans="1:14" ht="22.5" customHeight="1" x14ac:dyDescent="0.3">
      <c r="A3" s="209">
        <v>1</v>
      </c>
      <c r="B3" s="212" t="str" cm="1">
        <f t="array" aca="1" ref="B3" ca="1">IF(INDIRECT("Consolidado!B"&amp;LISTADO!Q2)="","",INDIRECT("Consolidado!B"&amp;LISTADO!Q2))</f>
        <v>ARES SECURITY LTDA: NIT 900.599.147-1</v>
      </c>
      <c r="C3" s="215" t="s">
        <v>154</v>
      </c>
      <c r="D3" s="233" t="s">
        <v>155</v>
      </c>
      <c r="E3" s="94"/>
      <c r="F3" s="114"/>
      <c r="G3" s="114"/>
      <c r="H3" s="104">
        <f>DATEDIF(F3,G3,"m")</f>
        <v>0</v>
      </c>
      <c r="I3" s="95"/>
      <c r="J3" s="77"/>
      <c r="K3" s="252">
        <f>SUMIFS(H3:H7,I3:I7,"CUMPLE")</f>
        <v>0</v>
      </c>
      <c r="L3" s="224" t="s">
        <v>101</v>
      </c>
      <c r="M3" s="227">
        <f>IF(L3="",0,IF(L3="SI",IF(K3=0,0,IF(K3&lt;24,10,23)),0))</f>
        <v>0</v>
      </c>
      <c r="N3" s="238" t="s">
        <v>156</v>
      </c>
    </row>
    <row r="4" spans="1:14" x14ac:dyDescent="0.3">
      <c r="A4" s="209"/>
      <c r="B4" s="212"/>
      <c r="C4" s="215"/>
      <c r="D4" s="218"/>
      <c r="E4" s="78"/>
      <c r="F4" s="115"/>
      <c r="G4" s="115"/>
      <c r="H4" s="79">
        <f>DATEDIF(F4,G4,"m")</f>
        <v>0</v>
      </c>
      <c r="I4" s="80"/>
      <c r="J4" s="81"/>
      <c r="K4" s="252"/>
      <c r="L4" s="224"/>
      <c r="M4" s="227"/>
      <c r="N4" s="238"/>
    </row>
    <row r="5" spans="1:14" x14ac:dyDescent="0.3">
      <c r="A5" s="209"/>
      <c r="B5" s="212"/>
      <c r="C5" s="215"/>
      <c r="D5" s="218"/>
      <c r="E5" s="78"/>
      <c r="F5" s="115"/>
      <c r="G5" s="115"/>
      <c r="H5" s="79">
        <f t="shared" ref="H5:H34" si="0">DATEDIF(F5,G5,"m")</f>
        <v>0</v>
      </c>
      <c r="I5" s="80"/>
      <c r="J5" s="81"/>
      <c r="K5" s="252"/>
      <c r="L5" s="224"/>
      <c r="M5" s="227"/>
      <c r="N5" s="238"/>
    </row>
    <row r="6" spans="1:14" x14ac:dyDescent="0.3">
      <c r="A6" s="209"/>
      <c r="B6" s="212"/>
      <c r="C6" s="215"/>
      <c r="D6" s="218"/>
      <c r="E6" s="78"/>
      <c r="F6" s="115"/>
      <c r="G6" s="115"/>
      <c r="H6" s="79">
        <f t="shared" si="0"/>
        <v>0</v>
      </c>
      <c r="I6" s="80"/>
      <c r="J6" s="81"/>
      <c r="K6" s="252"/>
      <c r="L6" s="224"/>
      <c r="M6" s="227"/>
      <c r="N6" s="238"/>
    </row>
    <row r="7" spans="1:14" ht="14.25" thickBot="1" x14ac:dyDescent="0.35">
      <c r="A7" s="210"/>
      <c r="B7" s="213"/>
      <c r="C7" s="216"/>
      <c r="D7" s="219"/>
      <c r="E7" s="82"/>
      <c r="F7" s="116"/>
      <c r="G7" s="116"/>
      <c r="H7" s="83">
        <f t="shared" si="0"/>
        <v>0</v>
      </c>
      <c r="I7" s="84"/>
      <c r="J7" s="85"/>
      <c r="K7" s="253"/>
      <c r="L7" s="225"/>
      <c r="M7" s="228"/>
      <c r="N7" s="239"/>
    </row>
    <row r="8" spans="1:14" ht="108" x14ac:dyDescent="0.3">
      <c r="A8" s="208">
        <v>2</v>
      </c>
      <c r="B8" s="212" t="str" cm="1">
        <f t="array" aca="1" ref="B8" ca="1">IF(INDIRECT("Consolidado!B"&amp;LISTADO!Q7)="","",INDIRECT("Consolidado!B"&amp;LISTADO!Q7))</f>
        <v>GERMAN MONTENEGRO FAJARDO AUDITORES &amp; ASESORES S.A.S. BIC 900.335.334-8</v>
      </c>
      <c r="C8" s="214" t="s">
        <v>157</v>
      </c>
      <c r="D8" s="217" t="s">
        <v>158</v>
      </c>
      <c r="E8" s="74" t="s">
        <v>159</v>
      </c>
      <c r="F8" s="173">
        <v>43945</v>
      </c>
      <c r="G8" s="173">
        <v>45576</v>
      </c>
      <c r="H8" s="75">
        <f t="shared" si="0"/>
        <v>53</v>
      </c>
      <c r="I8" s="76" t="s">
        <v>2</v>
      </c>
      <c r="J8" s="77" t="s">
        <v>106</v>
      </c>
      <c r="K8" s="251">
        <f>SUMIFS(H8:H12,I8:I12,"CUMPLE")</f>
        <v>53</v>
      </c>
      <c r="L8" s="223" t="s">
        <v>101</v>
      </c>
      <c r="M8" s="226">
        <f>IF(L8="",0,IF(L8="SI",IF(K8=0,0,IF(K8&lt;24,10,23)),0))</f>
        <v>23</v>
      </c>
      <c r="N8" s="235" t="s">
        <v>106</v>
      </c>
    </row>
    <row r="9" spans="1:14" x14ac:dyDescent="0.3">
      <c r="A9" s="209"/>
      <c r="B9" s="212"/>
      <c r="C9" s="215"/>
      <c r="D9" s="218"/>
      <c r="E9" s="78"/>
      <c r="F9" s="115"/>
      <c r="G9" s="115"/>
      <c r="H9" s="79">
        <f t="shared" si="0"/>
        <v>0</v>
      </c>
      <c r="I9" s="80"/>
      <c r="J9" s="81"/>
      <c r="K9" s="252"/>
      <c r="L9" s="224"/>
      <c r="M9" s="227"/>
      <c r="N9" s="238"/>
    </row>
    <row r="10" spans="1:14" x14ac:dyDescent="0.3">
      <c r="A10" s="209"/>
      <c r="B10" s="212"/>
      <c r="C10" s="215"/>
      <c r="D10" s="218"/>
      <c r="E10" s="78"/>
      <c r="F10" s="115"/>
      <c r="G10" s="115"/>
      <c r="H10" s="79">
        <f t="shared" si="0"/>
        <v>0</v>
      </c>
      <c r="I10" s="80"/>
      <c r="J10" s="81"/>
      <c r="K10" s="252"/>
      <c r="L10" s="224"/>
      <c r="M10" s="227"/>
      <c r="N10" s="238"/>
    </row>
    <row r="11" spans="1:14" x14ac:dyDescent="0.3">
      <c r="A11" s="209"/>
      <c r="B11" s="212"/>
      <c r="C11" s="215"/>
      <c r="D11" s="218"/>
      <c r="E11" s="78"/>
      <c r="F11" s="115"/>
      <c r="G11" s="115"/>
      <c r="H11" s="79">
        <f t="shared" si="0"/>
        <v>0</v>
      </c>
      <c r="I11" s="80"/>
      <c r="J11" s="81"/>
      <c r="K11" s="252"/>
      <c r="L11" s="224"/>
      <c r="M11" s="227"/>
      <c r="N11" s="238"/>
    </row>
    <row r="12" spans="1:14" ht="14.25" thickBot="1" x14ac:dyDescent="0.35">
      <c r="A12" s="210"/>
      <c r="B12" s="213"/>
      <c r="C12" s="216"/>
      <c r="D12" s="219"/>
      <c r="E12" s="82"/>
      <c r="F12" s="116"/>
      <c r="G12" s="116"/>
      <c r="H12" s="83">
        <f t="shared" si="0"/>
        <v>0</v>
      </c>
      <c r="I12" s="84"/>
      <c r="J12" s="85"/>
      <c r="K12" s="253"/>
      <c r="L12" s="225"/>
      <c r="M12" s="228"/>
      <c r="N12" s="239"/>
    </row>
    <row r="13" spans="1:14" x14ac:dyDescent="0.3">
      <c r="A13" s="208">
        <v>3</v>
      </c>
      <c r="B13" s="212" t="str" cm="1">
        <f t="array" aca="1" ref="B13" ca="1">IF(INDIRECT("Consolidado!B"&amp;LISTADO!Q12)="","",INDIRECT("Consolidado!B"&amp;LISTADO!Q12))</f>
        <v>JFS CONSULTORES S.A.S. -BIC 901.542.814-2</v>
      </c>
      <c r="C13" s="214" t="s">
        <v>160</v>
      </c>
      <c r="D13" s="217">
        <v>79434669</v>
      </c>
      <c r="E13" s="74" t="s">
        <v>161</v>
      </c>
      <c r="F13" s="173">
        <v>41162</v>
      </c>
      <c r="G13" s="173">
        <v>42229</v>
      </c>
      <c r="H13" s="75">
        <f t="shared" si="0"/>
        <v>35</v>
      </c>
      <c r="I13" s="76" t="s">
        <v>2</v>
      </c>
      <c r="J13" s="77"/>
      <c r="K13" s="251">
        <f>SUMIFS(H13:H17,I13:I17,"CUMPLE")</f>
        <v>35</v>
      </c>
      <c r="L13" s="223" t="s">
        <v>101</v>
      </c>
      <c r="M13" s="226">
        <f>IF(L13="",0,IF(L13="SI",IF(K13=0,0,IF(K13&lt;24,10,23)),0))</f>
        <v>23</v>
      </c>
      <c r="N13" s="229"/>
    </row>
    <row r="14" spans="1:14" x14ac:dyDescent="0.3">
      <c r="A14" s="209"/>
      <c r="B14" s="212"/>
      <c r="C14" s="215"/>
      <c r="D14" s="218"/>
      <c r="E14" s="78"/>
      <c r="F14" s="115"/>
      <c r="G14" s="115"/>
      <c r="H14" s="79">
        <f t="shared" si="0"/>
        <v>0</v>
      </c>
      <c r="I14" s="80"/>
      <c r="J14" s="81"/>
      <c r="K14" s="252"/>
      <c r="L14" s="224"/>
      <c r="M14" s="227"/>
      <c r="N14" s="254"/>
    </row>
    <row r="15" spans="1:14" x14ac:dyDescent="0.3">
      <c r="A15" s="209"/>
      <c r="B15" s="212"/>
      <c r="C15" s="215"/>
      <c r="D15" s="218"/>
      <c r="E15" s="78"/>
      <c r="F15" s="115"/>
      <c r="G15" s="115"/>
      <c r="H15" s="79">
        <f t="shared" si="0"/>
        <v>0</v>
      </c>
      <c r="I15" s="80"/>
      <c r="J15" s="81"/>
      <c r="K15" s="252"/>
      <c r="L15" s="224"/>
      <c r="M15" s="227"/>
      <c r="N15" s="254"/>
    </row>
    <row r="16" spans="1:14" x14ac:dyDescent="0.3">
      <c r="A16" s="209"/>
      <c r="B16" s="212"/>
      <c r="C16" s="215"/>
      <c r="D16" s="218"/>
      <c r="E16" s="78"/>
      <c r="F16" s="115"/>
      <c r="G16" s="115"/>
      <c r="H16" s="79">
        <f t="shared" si="0"/>
        <v>0</v>
      </c>
      <c r="I16" s="80"/>
      <c r="J16" s="81"/>
      <c r="K16" s="252"/>
      <c r="L16" s="224"/>
      <c r="M16" s="227"/>
      <c r="N16" s="254"/>
    </row>
    <row r="17" spans="1:14" ht="14.25" thickBot="1" x14ac:dyDescent="0.35">
      <c r="A17" s="210"/>
      <c r="B17" s="213"/>
      <c r="C17" s="216"/>
      <c r="D17" s="219"/>
      <c r="E17" s="82"/>
      <c r="F17" s="116"/>
      <c r="G17" s="116"/>
      <c r="H17" s="83">
        <f t="shared" si="0"/>
        <v>0</v>
      </c>
      <c r="I17" s="84"/>
      <c r="J17" s="85"/>
      <c r="K17" s="253"/>
      <c r="L17" s="225"/>
      <c r="M17" s="228"/>
      <c r="N17" s="255"/>
    </row>
    <row r="18" spans="1:14" ht="108" x14ac:dyDescent="0.3">
      <c r="A18" s="208">
        <v>4</v>
      </c>
      <c r="B18" s="212" t="str" cm="1">
        <f t="array" aca="1" ref="B18" ca="1">IF(INDIRECT("Consolidado!B"&amp;LISTADO!Q17)="","",INDIRECT("Consolidado!B"&amp;LISTADO!Q17))</f>
        <v>SCAIPROYEKTA S.A.S. BIC: NIT 901.476.977-1</v>
      </c>
      <c r="C18" s="214" t="s">
        <v>162</v>
      </c>
      <c r="D18" s="217">
        <v>11522785</v>
      </c>
      <c r="E18" s="74" t="s">
        <v>163</v>
      </c>
      <c r="F18" s="146">
        <v>43205</v>
      </c>
      <c r="G18" s="146">
        <v>44013</v>
      </c>
      <c r="H18" s="75">
        <f t="shared" si="0"/>
        <v>26</v>
      </c>
      <c r="I18" s="76" t="s">
        <v>2</v>
      </c>
      <c r="J18" s="77" t="s">
        <v>113</v>
      </c>
      <c r="K18" s="251">
        <f>SUMIFS(H18:H22,I18:I22,"CUMPLE")</f>
        <v>26</v>
      </c>
      <c r="L18" s="223" t="s">
        <v>101</v>
      </c>
      <c r="M18" s="226">
        <f>IF(L18="",0,IF(L18="SI",IF(K18=0,0,IF(K18&lt;24,10,23)),0))</f>
        <v>23</v>
      </c>
      <c r="N18" s="229"/>
    </row>
    <row r="19" spans="1:14" ht="313.5" customHeight="1" x14ac:dyDescent="0.3">
      <c r="A19" s="209"/>
      <c r="B19" s="212"/>
      <c r="C19" s="215"/>
      <c r="D19" s="218"/>
      <c r="E19" s="78" t="s">
        <v>163</v>
      </c>
      <c r="F19" s="67">
        <v>41743</v>
      </c>
      <c r="G19" s="67">
        <v>44963</v>
      </c>
      <c r="H19" s="79">
        <f t="shared" si="0"/>
        <v>105</v>
      </c>
      <c r="I19" s="80" t="s">
        <v>9</v>
      </c>
      <c r="J19" s="81" t="s">
        <v>164</v>
      </c>
      <c r="K19" s="252"/>
      <c r="L19" s="224"/>
      <c r="M19" s="227"/>
      <c r="N19" s="254"/>
    </row>
    <row r="20" spans="1:14" x14ac:dyDescent="0.3">
      <c r="A20" s="209"/>
      <c r="B20" s="212"/>
      <c r="C20" s="215"/>
      <c r="D20" s="218"/>
      <c r="E20" s="78"/>
      <c r="F20" s="115"/>
      <c r="G20" s="115"/>
      <c r="H20" s="79">
        <f t="shared" si="0"/>
        <v>0</v>
      </c>
      <c r="I20" s="80"/>
      <c r="J20" s="81"/>
      <c r="K20" s="252"/>
      <c r="L20" s="224"/>
      <c r="M20" s="227"/>
      <c r="N20" s="254"/>
    </row>
    <row r="21" spans="1:14" x14ac:dyDescent="0.3">
      <c r="A21" s="209"/>
      <c r="B21" s="212"/>
      <c r="C21" s="215"/>
      <c r="D21" s="218"/>
      <c r="E21" s="78"/>
      <c r="F21" s="115"/>
      <c r="G21" s="115"/>
      <c r="H21" s="79">
        <f t="shared" si="0"/>
        <v>0</v>
      </c>
      <c r="I21" s="80"/>
      <c r="J21" s="81"/>
      <c r="K21" s="252"/>
      <c r="L21" s="224"/>
      <c r="M21" s="227"/>
      <c r="N21" s="254"/>
    </row>
    <row r="22" spans="1:14" ht="14.25" thickBot="1" x14ac:dyDescent="0.35">
      <c r="A22" s="210"/>
      <c r="B22" s="213"/>
      <c r="C22" s="216"/>
      <c r="D22" s="219"/>
      <c r="E22" s="82"/>
      <c r="F22" s="116"/>
      <c r="G22" s="116"/>
      <c r="H22" s="83">
        <f t="shared" si="0"/>
        <v>0</v>
      </c>
      <c r="I22" s="84"/>
      <c r="J22" s="85"/>
      <c r="K22" s="253"/>
      <c r="L22" s="225"/>
      <c r="M22" s="228"/>
      <c r="N22" s="255"/>
    </row>
    <row r="23" spans="1:14" ht="81" x14ac:dyDescent="0.3">
      <c r="A23" s="208">
        <v>5</v>
      </c>
      <c r="B23" s="212" t="str" cm="1">
        <f t="array" aca="1" ref="B23" ca="1">IF(INDIRECT("Consolidado!B"&amp;LISTADO!Q22)="","",INDIRECT("Consolidado!B"&amp;LISTADO!Q22))</f>
        <v xml:space="preserve">UT GREM-NOVAC </v>
      </c>
      <c r="C23" s="214" t="s">
        <v>165</v>
      </c>
      <c r="D23" s="217">
        <v>5787214</v>
      </c>
      <c r="E23" s="74" t="s">
        <v>119</v>
      </c>
      <c r="F23" s="173">
        <v>41654</v>
      </c>
      <c r="G23" s="173">
        <v>44986</v>
      </c>
      <c r="H23" s="75">
        <f t="shared" si="0"/>
        <v>109</v>
      </c>
      <c r="I23" s="76" t="s">
        <v>2</v>
      </c>
      <c r="J23" s="77" t="s">
        <v>120</v>
      </c>
      <c r="K23" s="251">
        <f>SUMIFS(H23:H27,I23:I27,"CUMPLE")</f>
        <v>109</v>
      </c>
      <c r="L23" s="223" t="s">
        <v>101</v>
      </c>
      <c r="M23" s="226">
        <f>IF(L23="",0,IF(L23="SI",IF(K23=0,0,IF(K23&lt;24,10,23)),0))</f>
        <v>23</v>
      </c>
      <c r="N23" s="235" t="s">
        <v>120</v>
      </c>
    </row>
    <row r="24" spans="1:14" x14ac:dyDescent="0.3">
      <c r="A24" s="209"/>
      <c r="B24" s="212"/>
      <c r="C24" s="215"/>
      <c r="D24" s="218"/>
      <c r="E24" s="78"/>
      <c r="F24" s="115"/>
      <c r="G24" s="115"/>
      <c r="H24" s="79">
        <f t="shared" si="0"/>
        <v>0</v>
      </c>
      <c r="I24" s="80"/>
      <c r="J24" s="81"/>
      <c r="K24" s="252"/>
      <c r="L24" s="224"/>
      <c r="M24" s="227"/>
      <c r="N24" s="238"/>
    </row>
    <row r="25" spans="1:14" x14ac:dyDescent="0.3">
      <c r="A25" s="209"/>
      <c r="B25" s="212"/>
      <c r="C25" s="215"/>
      <c r="D25" s="218"/>
      <c r="E25" s="78"/>
      <c r="F25" s="115"/>
      <c r="G25" s="115"/>
      <c r="H25" s="79">
        <f t="shared" si="0"/>
        <v>0</v>
      </c>
      <c r="I25" s="80"/>
      <c r="J25" s="81"/>
      <c r="K25" s="252"/>
      <c r="L25" s="224"/>
      <c r="M25" s="227"/>
      <c r="N25" s="238"/>
    </row>
    <row r="26" spans="1:14" x14ac:dyDescent="0.3">
      <c r="A26" s="209"/>
      <c r="B26" s="212"/>
      <c r="C26" s="215"/>
      <c r="D26" s="218"/>
      <c r="E26" s="78"/>
      <c r="F26" s="115"/>
      <c r="G26" s="115"/>
      <c r="H26" s="79">
        <f t="shared" si="0"/>
        <v>0</v>
      </c>
      <c r="I26" s="80"/>
      <c r="J26" s="81"/>
      <c r="K26" s="252"/>
      <c r="L26" s="224"/>
      <c r="M26" s="227"/>
      <c r="N26" s="238"/>
    </row>
    <row r="27" spans="1:14" ht="14.25" thickBot="1" x14ac:dyDescent="0.35">
      <c r="A27" s="209"/>
      <c r="B27" s="212"/>
      <c r="C27" s="215"/>
      <c r="D27" s="218"/>
      <c r="E27" s="107"/>
      <c r="F27" s="147"/>
      <c r="G27" s="147"/>
      <c r="H27" s="105">
        <f t="shared" si="0"/>
        <v>0</v>
      </c>
      <c r="I27" s="109"/>
      <c r="J27" s="148"/>
      <c r="K27" s="252"/>
      <c r="L27" s="224"/>
      <c r="M27" s="227"/>
      <c r="N27" s="238"/>
    </row>
    <row r="28" spans="1:14" ht="409.5" customHeight="1" x14ac:dyDescent="0.3">
      <c r="A28" s="208">
        <v>6</v>
      </c>
      <c r="B28" s="211" t="str" cm="1">
        <f t="array" aca="1" ref="B28" ca="1">IF(INDIRECT("Consolidado!B"&amp;LISTADO!Q27)="","",INDIRECT("Consolidado!B"&amp;LISTADO!Q27))</f>
        <v>SGA CONSULTORES S.A.S: NIT 901.549.833-4</v>
      </c>
      <c r="C28" s="256" t="s">
        <v>166</v>
      </c>
      <c r="D28" s="257">
        <v>79375504</v>
      </c>
      <c r="E28" s="6" t="s">
        <v>167</v>
      </c>
      <c r="F28" s="146">
        <v>39568</v>
      </c>
      <c r="G28" s="173"/>
      <c r="H28" s="75" t="str">
        <f>IF(G28="","",DATEDIF(F28,G28,"m"))</f>
        <v/>
      </c>
      <c r="I28" s="76" t="s">
        <v>9</v>
      </c>
      <c r="J28" s="175" t="s">
        <v>168</v>
      </c>
      <c r="K28" s="251">
        <f>SUMIFS(H28:H32,I28:I32,"CUMPLE")</f>
        <v>0</v>
      </c>
      <c r="L28" s="223" t="s">
        <v>101</v>
      </c>
      <c r="M28" s="226">
        <f>IF(L28="",0,IF(L28="SI",IF(K28=0,0,IF(K28&lt;24,10,23)),0))</f>
        <v>0</v>
      </c>
      <c r="N28" s="260" t="s">
        <v>169</v>
      </c>
    </row>
    <row r="29" spans="1:14" x14ac:dyDescent="0.3">
      <c r="A29" s="209"/>
      <c r="B29" s="212"/>
      <c r="C29" s="218"/>
      <c r="D29" s="258"/>
      <c r="E29" s="8"/>
      <c r="F29" s="115"/>
      <c r="G29" s="115"/>
      <c r="H29" s="79">
        <f t="shared" si="0"/>
        <v>0</v>
      </c>
      <c r="I29" s="80"/>
      <c r="J29" s="81"/>
      <c r="K29" s="252"/>
      <c r="L29" s="224"/>
      <c r="M29" s="227"/>
      <c r="N29" s="261"/>
    </row>
    <row r="30" spans="1:14" x14ac:dyDescent="0.3">
      <c r="A30" s="209"/>
      <c r="B30" s="212"/>
      <c r="C30" s="218"/>
      <c r="D30" s="258"/>
      <c r="E30" s="8"/>
      <c r="F30" s="115"/>
      <c r="G30" s="115"/>
      <c r="H30" s="79">
        <f t="shared" si="0"/>
        <v>0</v>
      </c>
      <c r="I30" s="80"/>
      <c r="J30" s="81"/>
      <c r="K30" s="252"/>
      <c r="L30" s="224"/>
      <c r="M30" s="227"/>
      <c r="N30" s="261"/>
    </row>
    <row r="31" spans="1:14" x14ac:dyDescent="0.3">
      <c r="A31" s="209"/>
      <c r="B31" s="212"/>
      <c r="C31" s="218"/>
      <c r="D31" s="258"/>
      <c r="E31" s="8"/>
      <c r="F31" s="115"/>
      <c r="G31" s="115"/>
      <c r="H31" s="79">
        <f t="shared" si="0"/>
        <v>0</v>
      </c>
      <c r="I31" s="80"/>
      <c r="J31" s="81"/>
      <c r="K31" s="252"/>
      <c r="L31" s="224"/>
      <c r="M31" s="227"/>
      <c r="N31" s="261"/>
    </row>
    <row r="32" spans="1:14" ht="14.25" thickBot="1" x14ac:dyDescent="0.35">
      <c r="A32" s="210"/>
      <c r="B32" s="213"/>
      <c r="C32" s="219"/>
      <c r="D32" s="259"/>
      <c r="E32" s="30"/>
      <c r="F32" s="116"/>
      <c r="G32" s="116"/>
      <c r="H32" s="83">
        <f t="shared" si="0"/>
        <v>0</v>
      </c>
      <c r="I32" s="84"/>
      <c r="J32" s="85"/>
      <c r="K32" s="253"/>
      <c r="L32" s="225"/>
      <c r="M32" s="228"/>
      <c r="N32" s="262"/>
    </row>
    <row r="33" spans="1:14" ht="64.5" customHeight="1" x14ac:dyDescent="0.3">
      <c r="A33" s="209">
        <v>7</v>
      </c>
      <c r="B33" s="212" t="str" cm="1">
        <f t="array" aca="1" ref="B33" ca="1">IF(INDIRECT("Consolidado!B"&amp;LISTADO!Q32)="","",INDIRECT("Consolidado!B"&amp;LISTADO!Q32))</f>
        <v>SMARTY COLOMBIA SAS BIC: NIT 900249549-6</v>
      </c>
      <c r="C33" s="215" t="s">
        <v>170</v>
      </c>
      <c r="D33" s="233">
        <v>79598307</v>
      </c>
      <c r="E33" s="94" t="s">
        <v>125</v>
      </c>
      <c r="F33" s="149">
        <v>43656</v>
      </c>
      <c r="G33" s="149">
        <v>44396</v>
      </c>
      <c r="H33" s="104">
        <f t="shared" si="0"/>
        <v>24</v>
      </c>
      <c r="I33" s="95" t="s">
        <v>2</v>
      </c>
      <c r="J33" s="162" t="s">
        <v>254</v>
      </c>
      <c r="K33" s="252">
        <f>SUMIFS(H33:H37,I33:I37,"CUMPLE")</f>
        <v>24</v>
      </c>
      <c r="L33" s="224" t="s">
        <v>101</v>
      </c>
      <c r="M33" s="227">
        <f>IF(L33="",0,IF(L33="SI",IF(K33=0,0,IF(K33&lt;24,10,23)),0))</f>
        <v>23</v>
      </c>
      <c r="N33" s="238" t="s">
        <v>254</v>
      </c>
    </row>
    <row r="34" spans="1:14" x14ac:dyDescent="0.3">
      <c r="A34" s="209"/>
      <c r="B34" s="212"/>
      <c r="C34" s="215"/>
      <c r="D34" s="218"/>
      <c r="E34" s="78"/>
      <c r="F34" s="115"/>
      <c r="G34" s="115"/>
      <c r="H34" s="79">
        <f t="shared" si="0"/>
        <v>0</v>
      </c>
      <c r="I34" s="80"/>
      <c r="J34" s="81"/>
      <c r="K34" s="252"/>
      <c r="L34" s="224"/>
      <c r="M34" s="227"/>
      <c r="N34" s="238"/>
    </row>
    <row r="35" spans="1:14" x14ac:dyDescent="0.3">
      <c r="A35" s="209"/>
      <c r="B35" s="212"/>
      <c r="C35" s="215"/>
      <c r="D35" s="218"/>
      <c r="E35" s="78"/>
      <c r="F35" s="115"/>
      <c r="G35" s="115"/>
      <c r="H35" s="79">
        <f t="shared" ref="H35:H66" si="1">DATEDIF(F35,G35,"m")</f>
        <v>0</v>
      </c>
      <c r="I35" s="80"/>
      <c r="J35" s="81"/>
      <c r="K35" s="252"/>
      <c r="L35" s="224"/>
      <c r="M35" s="227"/>
      <c r="N35" s="238"/>
    </row>
    <row r="36" spans="1:14" x14ac:dyDescent="0.3">
      <c r="A36" s="209"/>
      <c r="B36" s="212"/>
      <c r="C36" s="215"/>
      <c r="D36" s="218"/>
      <c r="E36" s="78"/>
      <c r="F36" s="115"/>
      <c r="G36" s="115"/>
      <c r="H36" s="79">
        <f t="shared" si="1"/>
        <v>0</v>
      </c>
      <c r="I36" s="80"/>
      <c r="J36" s="81"/>
      <c r="K36" s="252"/>
      <c r="L36" s="224"/>
      <c r="M36" s="227"/>
      <c r="N36" s="238"/>
    </row>
    <row r="37" spans="1:14" ht="14.25" thickBot="1" x14ac:dyDescent="0.35">
      <c r="A37" s="210"/>
      <c r="B37" s="213"/>
      <c r="C37" s="216"/>
      <c r="D37" s="219"/>
      <c r="E37" s="82"/>
      <c r="F37" s="116"/>
      <c r="G37" s="116"/>
      <c r="H37" s="83">
        <f t="shared" si="1"/>
        <v>0</v>
      </c>
      <c r="I37" s="84"/>
      <c r="J37" s="85"/>
      <c r="K37" s="253"/>
      <c r="L37" s="225"/>
      <c r="M37" s="228"/>
      <c r="N37" s="239"/>
    </row>
    <row r="38" spans="1:14" x14ac:dyDescent="0.3">
      <c r="A38" s="208">
        <v>8</v>
      </c>
      <c r="B38" s="212" t="str" cm="1">
        <f t="array" aca="1" ref="B38" ca="1">IF(INDIRECT("Consolidado!B"&amp;LISTADO!Q37)="","",INDIRECT("Consolidado!B"&amp;LISTADO!Q37))</f>
        <v>CONSORCIO TOOL</v>
      </c>
      <c r="C38" s="214" t="s">
        <v>171</v>
      </c>
      <c r="D38" s="217" t="s">
        <v>172</v>
      </c>
      <c r="E38" s="74" t="s">
        <v>173</v>
      </c>
      <c r="F38" s="117">
        <v>40801</v>
      </c>
      <c r="G38" s="117">
        <v>45187</v>
      </c>
      <c r="H38" s="75">
        <f t="shared" si="1"/>
        <v>144</v>
      </c>
      <c r="I38" s="76" t="s">
        <v>2</v>
      </c>
      <c r="J38" s="77"/>
      <c r="K38" s="251">
        <f>SUMIFS(H38:H42,I38:I42,"CUMPLE")</f>
        <v>144</v>
      </c>
      <c r="L38" s="223" t="s">
        <v>101</v>
      </c>
      <c r="M38" s="226">
        <f>IF(L38="",0,IF(L38="SI",IF(K38=0,0,IF(K38&lt;24,10,23)),0))</f>
        <v>23</v>
      </c>
      <c r="N38" s="232"/>
    </row>
    <row r="39" spans="1:14" x14ac:dyDescent="0.3">
      <c r="A39" s="209"/>
      <c r="B39" s="212"/>
      <c r="C39" s="215"/>
      <c r="D39" s="218"/>
      <c r="E39" s="78"/>
      <c r="F39" s="115"/>
      <c r="G39" s="115"/>
      <c r="H39" s="79">
        <f t="shared" si="1"/>
        <v>0</v>
      </c>
      <c r="I39" s="80"/>
      <c r="J39" s="81"/>
      <c r="K39" s="252"/>
      <c r="L39" s="224"/>
      <c r="M39" s="227"/>
      <c r="N39" s="230"/>
    </row>
    <row r="40" spans="1:14" x14ac:dyDescent="0.3">
      <c r="A40" s="209"/>
      <c r="B40" s="212"/>
      <c r="C40" s="215"/>
      <c r="D40" s="218"/>
      <c r="E40" s="78"/>
      <c r="F40" s="115"/>
      <c r="G40" s="115"/>
      <c r="H40" s="79">
        <f t="shared" si="1"/>
        <v>0</v>
      </c>
      <c r="I40" s="80"/>
      <c r="J40" s="81"/>
      <c r="K40" s="252"/>
      <c r="L40" s="224"/>
      <c r="M40" s="227"/>
      <c r="N40" s="230"/>
    </row>
    <row r="41" spans="1:14" x14ac:dyDescent="0.3">
      <c r="A41" s="209"/>
      <c r="B41" s="212"/>
      <c r="C41" s="215"/>
      <c r="D41" s="218"/>
      <c r="E41" s="78"/>
      <c r="F41" s="115"/>
      <c r="G41" s="115"/>
      <c r="H41" s="79">
        <f t="shared" si="1"/>
        <v>0</v>
      </c>
      <c r="I41" s="80"/>
      <c r="J41" s="81"/>
      <c r="K41" s="252"/>
      <c r="L41" s="224"/>
      <c r="M41" s="227"/>
      <c r="N41" s="230"/>
    </row>
    <row r="42" spans="1:14" ht="14.25" thickBot="1" x14ac:dyDescent="0.35">
      <c r="A42" s="210"/>
      <c r="B42" s="213"/>
      <c r="C42" s="216"/>
      <c r="D42" s="219"/>
      <c r="E42" s="82"/>
      <c r="F42" s="116"/>
      <c r="G42" s="116"/>
      <c r="H42" s="83">
        <f t="shared" si="1"/>
        <v>0</v>
      </c>
      <c r="I42" s="84"/>
      <c r="J42" s="85"/>
      <c r="K42" s="253"/>
      <c r="L42" s="225"/>
      <c r="M42" s="228"/>
      <c r="N42" s="231"/>
    </row>
    <row r="43" spans="1:14" ht="81" x14ac:dyDescent="0.3">
      <c r="A43" s="208">
        <v>9</v>
      </c>
      <c r="B43" s="212" t="str" cm="1">
        <f t="array" aca="1" ref="B43" ca="1">IF(INDIRECT("Consolidado!B"&amp;LISTADO!Q42)="","",INDIRECT("Consolidado!B"&amp;LISTADO!Q42))</f>
        <v>CONSORCIO INTERVENTORÍA DE VIGILANCIA 2024</v>
      </c>
      <c r="C43" s="214" t="s">
        <v>174</v>
      </c>
      <c r="D43" s="217">
        <v>79966569</v>
      </c>
      <c r="E43" s="74" t="s">
        <v>175</v>
      </c>
      <c r="F43" s="117">
        <v>40681</v>
      </c>
      <c r="G43" s="117">
        <v>42902</v>
      </c>
      <c r="H43" s="75">
        <f t="shared" si="1"/>
        <v>72</v>
      </c>
      <c r="I43" s="76" t="s">
        <v>9</v>
      </c>
      <c r="J43" s="77" t="s">
        <v>176</v>
      </c>
      <c r="K43" s="251">
        <f>SUMIFS(H43:H47,I43:I47,"CUMPLE")</f>
        <v>0</v>
      </c>
      <c r="L43" s="223" t="s">
        <v>101</v>
      </c>
      <c r="M43" s="226">
        <f>IF(L43="",0,IF(L43="SI",IF(K43=0,0,IF(K43&lt;24,10,23)),0))</f>
        <v>0</v>
      </c>
      <c r="N43" s="232"/>
    </row>
    <row r="44" spans="1:14" ht="81" x14ac:dyDescent="0.3">
      <c r="A44" s="209"/>
      <c r="B44" s="212"/>
      <c r="C44" s="215"/>
      <c r="D44" s="218"/>
      <c r="E44" s="78" t="s">
        <v>177</v>
      </c>
      <c r="F44" s="115">
        <v>39276</v>
      </c>
      <c r="G44" s="115">
        <v>40231</v>
      </c>
      <c r="H44" s="79">
        <f t="shared" si="1"/>
        <v>31</v>
      </c>
      <c r="I44" s="80" t="s">
        <v>9</v>
      </c>
      <c r="J44" s="81" t="s">
        <v>176</v>
      </c>
      <c r="K44" s="252"/>
      <c r="L44" s="224"/>
      <c r="M44" s="227"/>
      <c r="N44" s="230"/>
    </row>
    <row r="45" spans="1:14" x14ac:dyDescent="0.3">
      <c r="A45" s="209"/>
      <c r="B45" s="212"/>
      <c r="C45" s="215"/>
      <c r="D45" s="218"/>
      <c r="E45" s="78"/>
      <c r="F45" s="115"/>
      <c r="G45" s="115"/>
      <c r="H45" s="79">
        <f t="shared" si="1"/>
        <v>0</v>
      </c>
      <c r="I45" s="80"/>
      <c r="J45" s="81"/>
      <c r="K45" s="252"/>
      <c r="L45" s="224"/>
      <c r="M45" s="227"/>
      <c r="N45" s="230"/>
    </row>
    <row r="46" spans="1:14" x14ac:dyDescent="0.3">
      <c r="A46" s="209"/>
      <c r="B46" s="212"/>
      <c r="C46" s="215"/>
      <c r="D46" s="218"/>
      <c r="E46" s="78"/>
      <c r="F46" s="115"/>
      <c r="G46" s="115"/>
      <c r="H46" s="79">
        <f t="shared" si="1"/>
        <v>0</v>
      </c>
      <c r="I46" s="80"/>
      <c r="J46" s="81"/>
      <c r="K46" s="252"/>
      <c r="L46" s="224"/>
      <c r="M46" s="227"/>
      <c r="N46" s="230"/>
    </row>
    <row r="47" spans="1:14" ht="14.25" thickBot="1" x14ac:dyDescent="0.35">
      <c r="A47" s="210"/>
      <c r="B47" s="213"/>
      <c r="C47" s="216"/>
      <c r="D47" s="219"/>
      <c r="E47" s="82"/>
      <c r="F47" s="116"/>
      <c r="G47" s="116"/>
      <c r="H47" s="83">
        <f t="shared" si="1"/>
        <v>0</v>
      </c>
      <c r="I47" s="84"/>
      <c r="J47" s="85"/>
      <c r="K47" s="253"/>
      <c r="L47" s="225"/>
      <c r="M47" s="228"/>
      <c r="N47" s="231"/>
    </row>
    <row r="48" spans="1:14" x14ac:dyDescent="0.3">
      <c r="A48" s="208">
        <v>10</v>
      </c>
      <c r="B48" s="212" t="str" cm="1">
        <f t="array" aca="1" ref="B48" ca="1">IF(INDIRECT("Consolidado!B"&amp;LISTADO!Q47)="","",INDIRECT("Consolidado!B"&amp;LISTADO!Q47))</f>
        <v>Consultora Central S.A.S BIC</v>
      </c>
      <c r="C48" s="214" t="s">
        <v>178</v>
      </c>
      <c r="D48" s="217">
        <v>70373312</v>
      </c>
      <c r="E48" s="74" t="s">
        <v>179</v>
      </c>
      <c r="F48" s="173">
        <v>38930</v>
      </c>
      <c r="G48" s="173">
        <v>39721</v>
      </c>
      <c r="H48" s="75">
        <f t="shared" si="1"/>
        <v>25</v>
      </c>
      <c r="I48" s="76" t="s">
        <v>2</v>
      </c>
      <c r="J48" s="77"/>
      <c r="K48" s="251">
        <f>SUMIFS(H48:H52,I48:I52,"CUMPLE")</f>
        <v>37</v>
      </c>
      <c r="L48" s="223" t="s">
        <v>101</v>
      </c>
      <c r="M48" s="226">
        <f>IF(L48="",0,IF(L48="SI",IF(K48=0,0,IF(K48&lt;24,10,23)),0))</f>
        <v>23</v>
      </c>
      <c r="N48" s="235" t="s">
        <v>113</v>
      </c>
    </row>
    <row r="49" spans="1:14" x14ac:dyDescent="0.3">
      <c r="A49" s="209"/>
      <c r="B49" s="212"/>
      <c r="C49" s="215"/>
      <c r="D49" s="218"/>
      <c r="E49" s="78" t="s">
        <v>180</v>
      </c>
      <c r="F49" s="174">
        <v>44029</v>
      </c>
      <c r="G49" s="174">
        <v>44407</v>
      </c>
      <c r="H49" s="79">
        <f t="shared" si="1"/>
        <v>12</v>
      </c>
      <c r="I49" s="80" t="s">
        <v>2</v>
      </c>
      <c r="J49" s="81"/>
      <c r="K49" s="252"/>
      <c r="L49" s="224"/>
      <c r="M49" s="227"/>
      <c r="N49" s="238"/>
    </row>
    <row r="50" spans="1:14" x14ac:dyDescent="0.3">
      <c r="A50" s="209"/>
      <c r="B50" s="212"/>
      <c r="C50" s="215"/>
      <c r="D50" s="218"/>
      <c r="E50" s="78"/>
      <c r="F50" s="115"/>
      <c r="G50" s="115"/>
      <c r="H50" s="79">
        <f t="shared" si="1"/>
        <v>0</v>
      </c>
      <c r="I50" s="80"/>
      <c r="J50" s="81"/>
      <c r="K50" s="252"/>
      <c r="L50" s="224"/>
      <c r="M50" s="227"/>
      <c r="N50" s="238"/>
    </row>
    <row r="51" spans="1:14" x14ac:dyDescent="0.3">
      <c r="A51" s="209"/>
      <c r="B51" s="212"/>
      <c r="C51" s="215"/>
      <c r="D51" s="218"/>
      <c r="E51" s="78"/>
      <c r="F51" s="115"/>
      <c r="G51" s="115"/>
      <c r="H51" s="79">
        <f t="shared" si="1"/>
        <v>0</v>
      </c>
      <c r="I51" s="80"/>
      <c r="J51" s="81"/>
      <c r="K51" s="252"/>
      <c r="L51" s="224"/>
      <c r="M51" s="227"/>
      <c r="N51" s="238"/>
    </row>
    <row r="52" spans="1:14" ht="69.75" customHeight="1" thickBot="1" x14ac:dyDescent="0.35">
      <c r="A52" s="210"/>
      <c r="B52" s="213"/>
      <c r="C52" s="216"/>
      <c r="D52" s="219"/>
      <c r="E52" s="82"/>
      <c r="F52" s="116"/>
      <c r="G52" s="116"/>
      <c r="H52" s="83">
        <f t="shared" si="1"/>
        <v>0</v>
      </c>
      <c r="I52" s="84"/>
      <c r="J52" s="85"/>
      <c r="K52" s="253"/>
      <c r="L52" s="225"/>
      <c r="M52" s="228"/>
      <c r="N52" s="239"/>
    </row>
    <row r="53" spans="1:14" x14ac:dyDescent="0.3">
      <c r="A53" s="208">
        <v>11</v>
      </c>
      <c r="B53" s="212" t="str" cm="1">
        <f t="array" aca="1" ref="B53" ca="1">IF(INDIRECT("Consolidado!B"&amp;LISTADO!Q52)="","",INDIRECT("Consolidado!B"&amp;LISTADO!Q52))</f>
        <v>CONSORCIO INTERVENCIÓN Y SEGURIDAD DISTRITAL</v>
      </c>
      <c r="C53" s="214" t="s">
        <v>141</v>
      </c>
      <c r="D53" s="217">
        <v>79459542</v>
      </c>
      <c r="E53" s="74" t="s">
        <v>181</v>
      </c>
      <c r="F53" s="173">
        <v>42393</v>
      </c>
      <c r="G53" s="173">
        <v>43200</v>
      </c>
      <c r="H53" s="75">
        <f t="shared" si="1"/>
        <v>26</v>
      </c>
      <c r="I53" s="76" t="s">
        <v>2</v>
      </c>
      <c r="J53" s="77"/>
      <c r="K53" s="251">
        <f>SUMIFS(H53:H57,I53:I57,"CUMPLE")</f>
        <v>26</v>
      </c>
      <c r="L53" s="223" t="s">
        <v>101</v>
      </c>
      <c r="M53" s="226">
        <f>IF(L53="",0,IF(L53="SI",IF(K53=0,0,IF(K53&lt;24,10,23)),0))</f>
        <v>23</v>
      </c>
      <c r="N53" s="229" t="s">
        <v>182</v>
      </c>
    </row>
    <row r="54" spans="1:14" x14ac:dyDescent="0.3">
      <c r="A54" s="209"/>
      <c r="B54" s="212"/>
      <c r="C54" s="215"/>
      <c r="D54" s="218"/>
      <c r="E54" s="78"/>
      <c r="F54" s="115"/>
      <c r="G54" s="115"/>
      <c r="H54" s="79">
        <f t="shared" si="1"/>
        <v>0</v>
      </c>
      <c r="I54" s="80"/>
      <c r="J54" s="81"/>
      <c r="K54" s="252"/>
      <c r="L54" s="224"/>
      <c r="M54" s="227"/>
      <c r="N54" s="230"/>
    </row>
    <row r="55" spans="1:14" x14ac:dyDescent="0.3">
      <c r="A55" s="209"/>
      <c r="B55" s="212"/>
      <c r="C55" s="215"/>
      <c r="D55" s="218"/>
      <c r="E55" s="78"/>
      <c r="F55" s="115"/>
      <c r="G55" s="115"/>
      <c r="H55" s="79">
        <f t="shared" si="1"/>
        <v>0</v>
      </c>
      <c r="I55" s="80"/>
      <c r="J55" s="81"/>
      <c r="K55" s="252"/>
      <c r="L55" s="224"/>
      <c r="M55" s="227"/>
      <c r="N55" s="230"/>
    </row>
    <row r="56" spans="1:14" x14ac:dyDescent="0.3">
      <c r="A56" s="209"/>
      <c r="B56" s="212"/>
      <c r="C56" s="215"/>
      <c r="D56" s="218"/>
      <c r="E56" s="78"/>
      <c r="F56" s="115"/>
      <c r="G56" s="115"/>
      <c r="H56" s="79">
        <f t="shared" si="1"/>
        <v>0</v>
      </c>
      <c r="I56" s="80"/>
      <c r="J56" s="81"/>
      <c r="K56" s="252"/>
      <c r="L56" s="224"/>
      <c r="M56" s="227"/>
      <c r="N56" s="230"/>
    </row>
    <row r="57" spans="1:14" ht="14.25" thickBot="1" x14ac:dyDescent="0.35">
      <c r="A57" s="210"/>
      <c r="B57" s="213"/>
      <c r="C57" s="216"/>
      <c r="D57" s="219"/>
      <c r="E57" s="82"/>
      <c r="F57" s="116"/>
      <c r="G57" s="116"/>
      <c r="H57" s="83">
        <f t="shared" si="1"/>
        <v>0</v>
      </c>
      <c r="I57" s="84"/>
      <c r="J57" s="85"/>
      <c r="K57" s="253"/>
      <c r="L57" s="225"/>
      <c r="M57" s="228"/>
      <c r="N57" s="231"/>
    </row>
    <row r="58" spans="1:14" ht="108" x14ac:dyDescent="0.3">
      <c r="A58" s="208">
        <v>12</v>
      </c>
      <c r="B58" s="212" t="str" cm="1">
        <f t="array" aca="1" ref="B58" ca="1">IF(INDIRECT("Consolidado!B"&amp;LISTADO!Q57)="","",INDIRECT("Consolidado!B"&amp;LISTADO!Q57))</f>
        <v>Strycon Energía: NIT 901.466.510-3</v>
      </c>
      <c r="C58" s="214" t="s">
        <v>183</v>
      </c>
      <c r="D58" s="217">
        <v>79638686</v>
      </c>
      <c r="E58" s="6" t="s">
        <v>184</v>
      </c>
      <c r="F58" s="177">
        <v>37377</v>
      </c>
      <c r="G58" s="177">
        <v>37852</v>
      </c>
      <c r="H58" s="75">
        <f t="shared" si="1"/>
        <v>15</v>
      </c>
      <c r="I58" s="76" t="s">
        <v>9</v>
      </c>
      <c r="J58" s="81" t="s">
        <v>185</v>
      </c>
      <c r="K58" s="251">
        <f>SUMIFS(H58:H62,I58:I62,"CUMPLE")</f>
        <v>32</v>
      </c>
      <c r="L58" s="223" t="s">
        <v>145</v>
      </c>
      <c r="M58" s="226">
        <f>IF(L58="",0,IF(L58="SI",IF(K58=0,0,IF(K58&lt;24,10,23)),0))</f>
        <v>0</v>
      </c>
      <c r="N58" s="229" t="s">
        <v>186</v>
      </c>
    </row>
    <row r="59" spans="1:14" x14ac:dyDescent="0.3">
      <c r="A59" s="209"/>
      <c r="B59" s="212"/>
      <c r="C59" s="215"/>
      <c r="D59" s="218"/>
      <c r="E59" s="8" t="s">
        <v>184</v>
      </c>
      <c r="F59" s="178">
        <v>37882</v>
      </c>
      <c r="G59" s="178">
        <v>38383</v>
      </c>
      <c r="H59" s="79">
        <f t="shared" si="1"/>
        <v>16</v>
      </c>
      <c r="I59" s="80" t="s">
        <v>2</v>
      </c>
      <c r="J59" s="81"/>
      <c r="K59" s="252"/>
      <c r="L59" s="224"/>
      <c r="M59" s="227"/>
      <c r="N59" s="254"/>
    </row>
    <row r="60" spans="1:14" x14ac:dyDescent="0.3">
      <c r="A60" s="209"/>
      <c r="B60" s="212"/>
      <c r="C60" s="215"/>
      <c r="D60" s="218"/>
      <c r="E60" s="8" t="s">
        <v>184</v>
      </c>
      <c r="F60" s="178">
        <v>38384</v>
      </c>
      <c r="G60" s="178">
        <v>38427</v>
      </c>
      <c r="H60" s="79">
        <f t="shared" si="1"/>
        <v>1</v>
      </c>
      <c r="I60" s="80" t="s">
        <v>2</v>
      </c>
      <c r="J60" s="81"/>
      <c r="K60" s="252"/>
      <c r="L60" s="224"/>
      <c r="M60" s="227"/>
      <c r="N60" s="254"/>
    </row>
    <row r="61" spans="1:14" x14ac:dyDescent="0.3">
      <c r="A61" s="209"/>
      <c r="B61" s="212"/>
      <c r="C61" s="215"/>
      <c r="D61" s="218"/>
      <c r="E61" s="8" t="s">
        <v>184</v>
      </c>
      <c r="F61" s="178">
        <v>40467</v>
      </c>
      <c r="G61" s="178">
        <v>40939</v>
      </c>
      <c r="H61" s="79">
        <f t="shared" si="1"/>
        <v>15</v>
      </c>
      <c r="I61" s="80" t="s">
        <v>2</v>
      </c>
      <c r="J61" s="81"/>
      <c r="K61" s="252"/>
      <c r="L61" s="224"/>
      <c r="M61" s="227"/>
      <c r="N61" s="254"/>
    </row>
    <row r="62" spans="1:14" ht="14.25" thickBot="1" x14ac:dyDescent="0.35">
      <c r="A62" s="210"/>
      <c r="B62" s="213"/>
      <c r="C62" s="216"/>
      <c r="D62" s="219"/>
      <c r="E62" s="82"/>
      <c r="F62" s="116"/>
      <c r="G62" s="116"/>
      <c r="H62" s="83">
        <f t="shared" si="1"/>
        <v>0</v>
      </c>
      <c r="I62" s="84"/>
      <c r="J62" s="85"/>
      <c r="K62" s="253"/>
      <c r="L62" s="225"/>
      <c r="M62" s="228"/>
      <c r="N62" s="255"/>
    </row>
    <row r="63" spans="1:14" x14ac:dyDescent="0.3">
      <c r="A63" s="208">
        <v>13</v>
      </c>
      <c r="B63" s="212" t="str" cm="1">
        <f t="array" aca="1" ref="B63" ca="1">IF(INDIRECT("Consolidado!B"&amp;LISTADO!Q62)="","",INDIRECT("Consolidado!B"&amp;LISTADO!Q62))</f>
        <v>ALIANZA INTEGRAL DE PROYECTOS SAS BIC: NIT 901.506.750-7</v>
      </c>
      <c r="C63" s="214" t="s">
        <v>187</v>
      </c>
      <c r="D63" s="217" t="s">
        <v>188</v>
      </c>
      <c r="E63" s="74" t="s">
        <v>189</v>
      </c>
      <c r="F63" s="117">
        <v>42940</v>
      </c>
      <c r="G63" s="117">
        <v>43565</v>
      </c>
      <c r="H63" s="75">
        <f t="shared" si="1"/>
        <v>20</v>
      </c>
      <c r="I63" s="76" t="s">
        <v>2</v>
      </c>
      <c r="J63" s="77"/>
      <c r="K63" s="251">
        <f>SUMIFS(H63:H67,I63:I67,"CUMPLE")</f>
        <v>32</v>
      </c>
      <c r="L63" s="223" t="s">
        <v>101</v>
      </c>
      <c r="M63" s="226">
        <f>IF(L63="",0,IF(L63="SI",IF(K63=0,0,IF(K63&lt;24,10,23)),0))</f>
        <v>23</v>
      </c>
      <c r="N63" s="232"/>
    </row>
    <row r="64" spans="1:14" x14ac:dyDescent="0.3">
      <c r="A64" s="209"/>
      <c r="B64" s="212"/>
      <c r="C64" s="215"/>
      <c r="D64" s="218"/>
      <c r="E64" s="78" t="s">
        <v>150</v>
      </c>
      <c r="F64" s="115">
        <v>44005</v>
      </c>
      <c r="G64" s="115">
        <v>44380</v>
      </c>
      <c r="H64" s="79">
        <f t="shared" si="1"/>
        <v>12</v>
      </c>
      <c r="I64" s="80" t="s">
        <v>2</v>
      </c>
      <c r="J64" s="81"/>
      <c r="K64" s="252"/>
      <c r="L64" s="224"/>
      <c r="M64" s="227"/>
      <c r="N64" s="230"/>
    </row>
    <row r="65" spans="1:14" x14ac:dyDescent="0.3">
      <c r="A65" s="209"/>
      <c r="B65" s="212"/>
      <c r="C65" s="215"/>
      <c r="D65" s="218"/>
      <c r="E65" s="78"/>
      <c r="F65" s="115"/>
      <c r="G65" s="115"/>
      <c r="H65" s="79">
        <f t="shared" si="1"/>
        <v>0</v>
      </c>
      <c r="I65" s="80"/>
      <c r="J65" s="81"/>
      <c r="K65" s="252"/>
      <c r="L65" s="224"/>
      <c r="M65" s="227"/>
      <c r="N65" s="230"/>
    </row>
    <row r="66" spans="1:14" x14ac:dyDescent="0.3">
      <c r="A66" s="209"/>
      <c r="B66" s="212"/>
      <c r="C66" s="215"/>
      <c r="D66" s="218"/>
      <c r="E66" s="78"/>
      <c r="F66" s="115"/>
      <c r="G66" s="115"/>
      <c r="H66" s="79">
        <f t="shared" si="1"/>
        <v>0</v>
      </c>
      <c r="I66" s="80"/>
      <c r="J66" s="81"/>
      <c r="K66" s="252"/>
      <c r="L66" s="224"/>
      <c r="M66" s="227"/>
      <c r="N66" s="230"/>
    </row>
    <row r="67" spans="1:14" ht="14.25" thickBot="1" x14ac:dyDescent="0.35">
      <c r="A67" s="210"/>
      <c r="B67" s="213"/>
      <c r="C67" s="216"/>
      <c r="D67" s="219"/>
      <c r="E67" s="82"/>
      <c r="F67" s="116"/>
      <c r="G67" s="116"/>
      <c r="H67" s="83">
        <f t="shared" ref="H67" si="2">DATEDIF(F67,G67,"m")</f>
        <v>0</v>
      </c>
      <c r="I67" s="84"/>
      <c r="J67" s="85"/>
      <c r="K67" s="253"/>
      <c r="L67" s="225"/>
      <c r="M67" s="228"/>
      <c r="N67" s="231"/>
    </row>
  </sheetData>
  <sheetProtection algorithmName="SHA-512" hashValue="tXpg9RoX5CiA8kDlteyojjqi8nG6fXR/ul8aTheSLll8HbmQjMaoiHdsGZ4gPzEIuuKKuiQ4GYo7XD9xwnsBxA==" saltValue="vXoWXlbuM7nfwjctl3d/Nw==" spinCount="100000" sheet="1" objects="1" scenarios="1"/>
  <mergeCells count="115">
    <mergeCell ref="M3:M7"/>
    <mergeCell ref="N3:N7"/>
    <mergeCell ref="J1:J2"/>
    <mergeCell ref="A8:A12"/>
    <mergeCell ref="B8:B12"/>
    <mergeCell ref="C8:C12"/>
    <mergeCell ref="D8:D12"/>
    <mergeCell ref="K8:K12"/>
    <mergeCell ref="L8:L12"/>
    <mergeCell ref="M8:M12"/>
    <mergeCell ref="N8:N12"/>
    <mergeCell ref="H1:H2"/>
    <mergeCell ref="I1:I2"/>
    <mergeCell ref="K1:K2"/>
    <mergeCell ref="L1:N1"/>
    <mergeCell ref="A3:A7"/>
    <mergeCell ref="B3:B7"/>
    <mergeCell ref="C3:C7"/>
    <mergeCell ref="D3:D7"/>
    <mergeCell ref="K3:K7"/>
    <mergeCell ref="L3:L7"/>
    <mergeCell ref="A1:A2"/>
    <mergeCell ref="B1:B2"/>
    <mergeCell ref="C1:C2"/>
    <mergeCell ref="D1:D2"/>
    <mergeCell ref="E1:E2"/>
    <mergeCell ref="F1:G1"/>
    <mergeCell ref="A18:A22"/>
    <mergeCell ref="B18:B22"/>
    <mergeCell ref="C18:C22"/>
    <mergeCell ref="D18:D22"/>
    <mergeCell ref="K18:K22"/>
    <mergeCell ref="L18:L22"/>
    <mergeCell ref="M18:M22"/>
    <mergeCell ref="N18:N22"/>
    <mergeCell ref="A13:A17"/>
    <mergeCell ref="B13:B17"/>
    <mergeCell ref="C13:C17"/>
    <mergeCell ref="D13:D17"/>
    <mergeCell ref="K13:K17"/>
    <mergeCell ref="L13:L17"/>
    <mergeCell ref="M13:M17"/>
    <mergeCell ref="N13:N17"/>
    <mergeCell ref="M23:M27"/>
    <mergeCell ref="N23:N27"/>
    <mergeCell ref="A28:A32"/>
    <mergeCell ref="B28:B32"/>
    <mergeCell ref="C28:C32"/>
    <mergeCell ref="D28:D32"/>
    <mergeCell ref="K28:K32"/>
    <mergeCell ref="L28:L32"/>
    <mergeCell ref="A23:A27"/>
    <mergeCell ref="B23:B27"/>
    <mergeCell ref="C23:C27"/>
    <mergeCell ref="D23:D27"/>
    <mergeCell ref="K23:K27"/>
    <mergeCell ref="L23:L27"/>
    <mergeCell ref="M28:M32"/>
    <mergeCell ref="N28:N32"/>
    <mergeCell ref="A38:A42"/>
    <mergeCell ref="B38:B42"/>
    <mergeCell ref="C38:C42"/>
    <mergeCell ref="D38:D42"/>
    <mergeCell ref="K38:K42"/>
    <mergeCell ref="L38:L42"/>
    <mergeCell ref="M38:M42"/>
    <mergeCell ref="N38:N42"/>
    <mergeCell ref="A33:A37"/>
    <mergeCell ref="B33:B37"/>
    <mergeCell ref="C33:C37"/>
    <mergeCell ref="D33:D37"/>
    <mergeCell ref="K33:K37"/>
    <mergeCell ref="L33:L37"/>
    <mergeCell ref="M33:M37"/>
    <mergeCell ref="N33:N37"/>
    <mergeCell ref="A53:A57"/>
    <mergeCell ref="B53:B57"/>
    <mergeCell ref="C53:C57"/>
    <mergeCell ref="D53:D57"/>
    <mergeCell ref="K53:K57"/>
    <mergeCell ref="L53:L57"/>
    <mergeCell ref="M53:M57"/>
    <mergeCell ref="N53:N57"/>
    <mergeCell ref="M43:M47"/>
    <mergeCell ref="N43:N47"/>
    <mergeCell ref="A48:A52"/>
    <mergeCell ref="B48:B52"/>
    <mergeCell ref="C48:C52"/>
    <mergeCell ref="D48:D52"/>
    <mergeCell ref="K48:K52"/>
    <mergeCell ref="L48:L52"/>
    <mergeCell ref="A43:A47"/>
    <mergeCell ref="B43:B47"/>
    <mergeCell ref="C43:C47"/>
    <mergeCell ref="D43:D47"/>
    <mergeCell ref="K43:K47"/>
    <mergeCell ref="L43:L47"/>
    <mergeCell ref="M48:M52"/>
    <mergeCell ref="N48:N52"/>
    <mergeCell ref="M63:M67"/>
    <mergeCell ref="N63:N67"/>
    <mergeCell ref="A63:A67"/>
    <mergeCell ref="B63:B67"/>
    <mergeCell ref="C63:C67"/>
    <mergeCell ref="D63:D67"/>
    <mergeCell ref="K63:K67"/>
    <mergeCell ref="L63:L67"/>
    <mergeCell ref="A58:A62"/>
    <mergeCell ref="B58:B62"/>
    <mergeCell ref="C58:C62"/>
    <mergeCell ref="D58:D62"/>
    <mergeCell ref="K58:K62"/>
    <mergeCell ref="L58:L62"/>
    <mergeCell ref="M58:M62"/>
    <mergeCell ref="N58:N62"/>
  </mergeCells>
  <conditionalFormatting sqref="A3:D3">
    <cfRule type="cellIs" dxfId="104" priority="248" operator="equal">
      <formula>"NO HABILITADO"</formula>
    </cfRule>
    <cfRule type="cellIs" dxfId="103" priority="249" operator="equal">
      <formula>"NO CUMPLE"</formula>
    </cfRule>
  </conditionalFormatting>
  <conditionalFormatting sqref="A8:D8 A53:D53">
    <cfRule type="cellIs" dxfId="102" priority="235" operator="equal">
      <formula>"NO CUMPLE"</formula>
    </cfRule>
    <cfRule type="cellIs" dxfId="101" priority="234" operator="equal">
      <formula>"NO HABILITADO"</formula>
    </cfRule>
  </conditionalFormatting>
  <conditionalFormatting sqref="A13:D13 A58:D58">
    <cfRule type="cellIs" dxfId="100" priority="225" operator="equal">
      <formula>"NO HABILITADO"</formula>
    </cfRule>
    <cfRule type="cellIs" dxfId="99" priority="226" operator="equal">
      <formula>"NO CUMPLE"</formula>
    </cfRule>
  </conditionalFormatting>
  <conditionalFormatting sqref="A18:D18">
    <cfRule type="cellIs" dxfId="98" priority="216" operator="equal">
      <formula>"NO HABILITADO"</formula>
    </cfRule>
    <cfRule type="cellIs" dxfId="97" priority="217" operator="equal">
      <formula>"NO CUMPLE"</formula>
    </cfRule>
  </conditionalFormatting>
  <conditionalFormatting sqref="A23:D23">
    <cfRule type="cellIs" dxfId="96" priority="207" operator="equal">
      <formula>"NO HABILITADO"</formula>
    </cfRule>
    <cfRule type="cellIs" dxfId="95" priority="208" operator="equal">
      <formula>"NO CUMPLE"</formula>
    </cfRule>
  </conditionalFormatting>
  <conditionalFormatting sqref="A28:D28">
    <cfRule type="cellIs" dxfId="94" priority="199" operator="equal">
      <formula>"NO CUMPLE"</formula>
    </cfRule>
    <cfRule type="cellIs" dxfId="93" priority="198" operator="equal">
      <formula>"NO HABILITADO"</formula>
    </cfRule>
  </conditionalFormatting>
  <conditionalFormatting sqref="A33:D33">
    <cfRule type="cellIs" dxfId="92" priority="190" operator="equal">
      <formula>"NO CUMPLE"</formula>
    </cfRule>
    <cfRule type="cellIs" dxfId="91" priority="189" operator="equal">
      <formula>"NO HABILITADO"</formula>
    </cfRule>
  </conditionalFormatting>
  <conditionalFormatting sqref="A38:D38">
    <cfRule type="cellIs" dxfId="90" priority="181" operator="equal">
      <formula>"NO CUMPLE"</formula>
    </cfRule>
    <cfRule type="cellIs" dxfId="89" priority="180" operator="equal">
      <formula>"NO HABILITADO"</formula>
    </cfRule>
  </conditionalFormatting>
  <conditionalFormatting sqref="A43:D43">
    <cfRule type="cellIs" dxfId="88" priority="172" operator="equal">
      <formula>"NO CUMPLE"</formula>
    </cfRule>
    <cfRule type="cellIs" dxfId="87" priority="171" operator="equal">
      <formula>"NO HABILITADO"</formula>
    </cfRule>
  </conditionalFormatting>
  <conditionalFormatting sqref="A48:D48">
    <cfRule type="cellIs" dxfId="86" priority="163" operator="equal">
      <formula>"NO CUMPLE"</formula>
    </cfRule>
    <cfRule type="cellIs" dxfId="85" priority="162" operator="equal">
      <formula>"NO HABILITADO"</formula>
    </cfRule>
  </conditionalFormatting>
  <conditionalFormatting sqref="A63:D63">
    <cfRule type="cellIs" dxfId="84" priority="139" operator="equal">
      <formula>"NO HABILITADO"</formula>
    </cfRule>
    <cfRule type="cellIs" dxfId="83" priority="140" operator="equal">
      <formula>"NO CUMPLE"</formula>
    </cfRule>
  </conditionalFormatting>
  <conditionalFormatting sqref="A1:E2 K1:N2 L3:N3 L8:N8 L13:N13 L18:N18 L23:N23 L28:N28 L33:N33 L38:N38 L43:N43 L48:M48 L53:N53 L58:N58 L63:N63">
    <cfRule type="cellIs" dxfId="82" priority="244" operator="equal">
      <formula>"RECHAZADO"</formula>
    </cfRule>
  </conditionalFormatting>
  <conditionalFormatting sqref="E3:E67">
    <cfRule type="cellIs" dxfId="81" priority="5" operator="equal">
      <formula>"NO HABILITADO"</formula>
    </cfRule>
    <cfRule type="cellIs" dxfId="80" priority="6" operator="equal">
      <formula>"NO CUMPLE"</formula>
    </cfRule>
  </conditionalFormatting>
  <conditionalFormatting sqref="F1">
    <cfRule type="cellIs" dxfId="79" priority="245" operator="equal">
      <formula>"RECHAZADO"</formula>
    </cfRule>
  </conditionalFormatting>
  <conditionalFormatting sqref="F2:H2">
    <cfRule type="cellIs" dxfId="78" priority="241" operator="equal">
      <formula>"RECHAZADO"</formula>
    </cfRule>
  </conditionalFormatting>
  <conditionalFormatting sqref="H1:J1">
    <cfRule type="cellIs" dxfId="77" priority="10" operator="equal">
      <formula>"RECHAZADO"</formula>
    </cfRule>
  </conditionalFormatting>
  <conditionalFormatting sqref="H3:J67">
    <cfRule type="cellIs" dxfId="76" priority="3" operator="equal">
      <formula>"NO HABILITADO"</formula>
    </cfRule>
    <cfRule type="cellIs" dxfId="75" priority="4" operator="equal">
      <formula>"NO CUMPLE"</formula>
    </cfRule>
  </conditionalFormatting>
  <conditionalFormatting sqref="K3">
    <cfRule type="cellIs" dxfId="74" priority="238" operator="equal">
      <formula>"NO CUMPLE"</formula>
    </cfRule>
    <cfRule type="cellIs" dxfId="73" priority="237" operator="equal">
      <formula>"NO HABILITADO"</formula>
    </cfRule>
  </conditionalFormatting>
  <conditionalFormatting sqref="K8">
    <cfRule type="cellIs" dxfId="72" priority="228" operator="equal">
      <formula>"NO HABILITADO"</formula>
    </cfRule>
    <cfRule type="cellIs" dxfId="71" priority="229" operator="equal">
      <formula>"NO CUMPLE"</formula>
    </cfRule>
  </conditionalFormatting>
  <conditionalFormatting sqref="K13">
    <cfRule type="cellIs" dxfId="70" priority="219" operator="equal">
      <formula>"NO HABILITADO"</formula>
    </cfRule>
    <cfRule type="cellIs" dxfId="69" priority="220" operator="equal">
      <formula>"NO CUMPLE"</formula>
    </cfRule>
  </conditionalFormatting>
  <conditionalFormatting sqref="K18">
    <cfRule type="cellIs" dxfId="68" priority="211" operator="equal">
      <formula>"NO CUMPLE"</formula>
    </cfRule>
    <cfRule type="cellIs" dxfId="67" priority="210" operator="equal">
      <formula>"NO HABILITADO"</formula>
    </cfRule>
  </conditionalFormatting>
  <conditionalFormatting sqref="K23">
    <cfRule type="cellIs" dxfId="66" priority="201" operator="equal">
      <formula>"NO HABILITADO"</formula>
    </cfRule>
    <cfRule type="cellIs" dxfId="65" priority="202" operator="equal">
      <formula>"NO CUMPLE"</formula>
    </cfRule>
  </conditionalFormatting>
  <conditionalFormatting sqref="K28">
    <cfRule type="cellIs" dxfId="64" priority="193" operator="equal">
      <formula>"NO CUMPLE"</formula>
    </cfRule>
    <cfRule type="cellIs" dxfId="63" priority="192" operator="equal">
      <formula>"NO HABILITADO"</formula>
    </cfRule>
  </conditionalFormatting>
  <conditionalFormatting sqref="K33">
    <cfRule type="cellIs" dxfId="62" priority="184" operator="equal">
      <formula>"NO CUMPLE"</formula>
    </cfRule>
    <cfRule type="cellIs" dxfId="61" priority="183" operator="equal">
      <formula>"NO HABILITADO"</formula>
    </cfRule>
  </conditionalFormatting>
  <conditionalFormatting sqref="K38">
    <cfRule type="cellIs" dxfId="60" priority="174" operator="equal">
      <formula>"NO HABILITADO"</formula>
    </cfRule>
    <cfRule type="cellIs" dxfId="59" priority="175" operator="equal">
      <formula>"NO CUMPLE"</formula>
    </cfRule>
  </conditionalFormatting>
  <conditionalFormatting sqref="K43">
    <cfRule type="cellIs" dxfId="58" priority="166" operator="equal">
      <formula>"NO CUMPLE"</formula>
    </cfRule>
    <cfRule type="cellIs" dxfId="57" priority="165" operator="equal">
      <formula>"NO HABILITADO"</formula>
    </cfRule>
  </conditionalFormatting>
  <conditionalFormatting sqref="K48">
    <cfRule type="cellIs" dxfId="56" priority="157" operator="equal">
      <formula>"NO CUMPLE"</formula>
    </cfRule>
    <cfRule type="cellIs" dxfId="55" priority="156" operator="equal">
      <formula>"NO HABILITADO"</formula>
    </cfRule>
  </conditionalFormatting>
  <conditionalFormatting sqref="K53">
    <cfRule type="cellIs" dxfId="54" priority="149" operator="equal">
      <formula>"NO HABILITADO"</formula>
    </cfRule>
    <cfRule type="cellIs" dxfId="53" priority="150" operator="equal">
      <formula>"NO CUMPLE"</formula>
    </cfRule>
  </conditionalFormatting>
  <conditionalFormatting sqref="K58">
    <cfRule type="cellIs" dxfId="52" priority="143" operator="equal">
      <formula>"NO CUMPLE"</formula>
    </cfRule>
    <cfRule type="cellIs" dxfId="51" priority="142" operator="equal">
      <formula>"NO HABILITADO"</formula>
    </cfRule>
  </conditionalFormatting>
  <conditionalFormatting sqref="K63">
    <cfRule type="cellIs" dxfId="50" priority="134" operator="equal">
      <formula>"NO CUMPLE"</formula>
    </cfRule>
    <cfRule type="cellIs" dxfId="49" priority="133" operator="equal">
      <formula>"NO HABILITADO"</formula>
    </cfRule>
  </conditionalFormatting>
  <conditionalFormatting sqref="L1:L2 M1:N3">
    <cfRule type="cellIs" dxfId="48" priority="250" operator="equal">
      <formula>"NO CUMPLE"</formula>
    </cfRule>
  </conditionalFormatting>
  <conditionalFormatting sqref="M8:N8">
    <cfRule type="cellIs" dxfId="47" priority="236" operator="equal">
      <formula>"NO CUMPLE"</formula>
    </cfRule>
  </conditionalFormatting>
  <conditionalFormatting sqref="M13:N13">
    <cfRule type="cellIs" dxfId="46" priority="227" operator="equal">
      <formula>"NO CUMPLE"</formula>
    </cfRule>
  </conditionalFormatting>
  <conditionalFormatting sqref="M18:N18">
    <cfRule type="cellIs" dxfId="45" priority="218" operator="equal">
      <formula>"NO CUMPLE"</formula>
    </cfRule>
  </conditionalFormatting>
  <conditionalFormatting sqref="M23:N23">
    <cfRule type="cellIs" dxfId="44" priority="7" operator="equal">
      <formula>"NO CUMPLE"</formula>
    </cfRule>
  </conditionalFormatting>
  <conditionalFormatting sqref="M28:N28">
    <cfRule type="cellIs" dxfId="43" priority="200" operator="equal">
      <formula>"NO CUMPLE"</formula>
    </cfRule>
  </conditionalFormatting>
  <conditionalFormatting sqref="M33:N33">
    <cfRule type="cellIs" dxfId="42" priority="191" operator="equal">
      <formula>"NO CUMPLE"</formula>
    </cfRule>
  </conditionalFormatting>
  <conditionalFormatting sqref="M38:N38">
    <cfRule type="cellIs" dxfId="41" priority="182" operator="equal">
      <formula>"NO CUMPLE"</formula>
    </cfRule>
  </conditionalFormatting>
  <conditionalFormatting sqref="M43:N43">
    <cfRule type="cellIs" dxfId="40" priority="173" operator="equal">
      <formula>"NO CUMPLE"</formula>
    </cfRule>
  </conditionalFormatting>
  <conditionalFormatting sqref="M48:N48">
    <cfRule type="cellIs" dxfId="39" priority="1" operator="equal">
      <formula>"NO CUMPLE"</formula>
    </cfRule>
  </conditionalFormatting>
  <conditionalFormatting sqref="M53:N53">
    <cfRule type="cellIs" dxfId="38" priority="155" operator="equal">
      <formula>"NO CUMPLE"</formula>
    </cfRule>
  </conditionalFormatting>
  <conditionalFormatting sqref="M58:N58">
    <cfRule type="cellIs" dxfId="37" priority="148" operator="equal">
      <formula>"NO CUMPLE"</formula>
    </cfRule>
  </conditionalFormatting>
  <conditionalFormatting sqref="M63:N63">
    <cfRule type="cellIs" dxfId="36" priority="141" operator="equal">
      <formula>"NO CUMPLE"</formula>
    </cfRule>
  </conditionalFormatting>
  <conditionalFormatting sqref="N48">
    <cfRule type="cellIs" dxfId="35" priority="2" operator="equal">
      <formula>"NO"</formula>
    </cfRule>
  </conditionalFormatting>
  <dataValidations count="1">
    <dataValidation type="list" allowBlank="1" showInputMessage="1" showErrorMessage="1" sqref="L3 L8 L13 L18 L23 L28 L33 L38 L43 L48 L58 L63 L53" xr:uid="{FC29EA39-38A0-4510-8D08-41EB4B3B2F2E}">
      <formula1>"SI,NO"</formula1>
    </dataValidation>
  </dataValidations>
  <pageMargins left="0.7" right="0.7" top="0.75" bottom="0.75" header="0.3" footer="0.3"/>
  <ignoredErrors>
    <ignoredError sqref="H3:H27 H29:H67" unlockedFormula="1"/>
  </ignoredErrors>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5635C24B-2467-44BB-92C8-B5C2EF0DB0A9}">
          <x14:formula1>
            <xm:f>LISTADO!$F$2:$F$3</xm:f>
          </x14:formula1>
          <xm:sqref>I3:I67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16A6D-E84E-42D8-97CB-BF1C6A2B7FB3}">
  <sheetPr>
    <tabColor rgb="FF92D050"/>
  </sheetPr>
  <dimension ref="A1:F21"/>
  <sheetViews>
    <sheetView zoomScaleNormal="100" workbookViewId="0">
      <pane xSplit="2" ySplit="8" topLeftCell="C9" activePane="bottomRight" state="frozen"/>
      <selection pane="topRight"/>
      <selection pane="bottomLeft"/>
      <selection pane="bottomRight" activeCell="B15" sqref="B15"/>
    </sheetView>
  </sheetViews>
  <sheetFormatPr baseColWidth="10" defaultColWidth="11.42578125" defaultRowHeight="13.5" x14ac:dyDescent="0.3"/>
  <cols>
    <col min="1" max="1" width="10.85546875" style="69" customWidth="1"/>
    <col min="2" max="2" width="56.7109375" style="69" customWidth="1"/>
    <col min="3" max="3" width="26.7109375" style="69" customWidth="1"/>
    <col min="4" max="4" width="23" style="69" customWidth="1"/>
    <col min="5" max="5" width="52" style="69" customWidth="1"/>
    <col min="6" max="7" width="23" style="69" customWidth="1"/>
    <col min="8" max="16384" width="11.42578125" style="69"/>
  </cols>
  <sheetData>
    <row r="1" spans="1:6" s="126" customFormat="1" ht="40.5" hidden="1" x14ac:dyDescent="0.25">
      <c r="B1" s="88"/>
      <c r="C1" s="88"/>
      <c r="D1" s="127" t="s">
        <v>190</v>
      </c>
      <c r="E1" s="127">
        <v>20</v>
      </c>
    </row>
    <row r="2" spans="1:6" s="126" customFormat="1" ht="54" hidden="1" x14ac:dyDescent="0.25">
      <c r="B2" s="88"/>
      <c r="C2" s="88"/>
      <c r="D2" s="127" t="s">
        <v>191</v>
      </c>
      <c r="E2" s="127">
        <v>10</v>
      </c>
    </row>
    <row r="3" spans="1:6" s="126" customFormat="1" hidden="1" x14ac:dyDescent="0.25">
      <c r="B3" s="88"/>
      <c r="C3" s="88"/>
      <c r="D3" s="127" t="s">
        <v>192</v>
      </c>
      <c r="E3" s="127">
        <v>0</v>
      </c>
    </row>
    <row r="4" spans="1:6" s="126" customFormat="1" ht="51" hidden="1" x14ac:dyDescent="0.25">
      <c r="A4" s="15" t="s">
        <v>193</v>
      </c>
      <c r="B4" s="15" t="s">
        <v>194</v>
      </c>
      <c r="C4" s="16"/>
      <c r="D4" s="88"/>
    </row>
    <row r="5" spans="1:6" s="126" customFormat="1" hidden="1" x14ac:dyDescent="0.25">
      <c r="C5" s="88"/>
      <c r="D5" s="88"/>
      <c r="E5" s="88"/>
    </row>
    <row r="6" spans="1:6" s="126" customFormat="1" x14ac:dyDescent="0.25">
      <c r="C6" s="88"/>
      <c r="D6" s="88"/>
      <c r="E6" s="88"/>
    </row>
    <row r="7" spans="1:6" s="88" customFormat="1" ht="34.5" customHeight="1" x14ac:dyDescent="0.25">
      <c r="A7" s="271" t="s">
        <v>85</v>
      </c>
      <c r="B7" s="272" t="s">
        <v>15</v>
      </c>
      <c r="C7" s="273" t="s">
        <v>195</v>
      </c>
      <c r="D7" s="273"/>
      <c r="E7" s="274"/>
      <c r="F7" s="274"/>
    </row>
    <row r="8" spans="1:6" s="88" customFormat="1" ht="36.75" customHeight="1" x14ac:dyDescent="0.25">
      <c r="A8" s="271"/>
      <c r="B8" s="272"/>
      <c r="C8" s="100" t="s">
        <v>193</v>
      </c>
      <c r="D8" s="100" t="s">
        <v>196</v>
      </c>
      <c r="E8" s="129" t="s">
        <v>194</v>
      </c>
      <c r="F8" s="100" t="s">
        <v>99</v>
      </c>
    </row>
    <row r="9" spans="1:6" s="126" customFormat="1" ht="28.9" customHeight="1" x14ac:dyDescent="0.25">
      <c r="A9" s="101">
        <v>1</v>
      </c>
      <c r="B9" s="131" t="str">
        <f>'[1]Habilitante Económico'!B3</f>
        <v>ARES SECURITY LTDA: NIT 900.599.147-1</v>
      </c>
      <c r="C9" s="53" t="s">
        <v>190</v>
      </c>
      <c r="D9" s="102" t="s">
        <v>101</v>
      </c>
      <c r="E9" s="130">
        <f t="shared" ref="E9:E21" si="0">IF(C9="","",IF(D9="SI",((IF(AND(C9=$D$1),$E$1,IF(AND(C9=$D$2),$E$2,IF(C9=$D$3,$E$3,0))))),"0"))</f>
        <v>20</v>
      </c>
      <c r="F9" s="128"/>
    </row>
    <row r="10" spans="1:6" ht="27" x14ac:dyDescent="0.3">
      <c r="A10" s="101">
        <v>2</v>
      </c>
      <c r="B10" s="131" t="str">
        <f>'[1]Habilitante Económico'!B4</f>
        <v>GERMAN MONTENEGRO FAJARDO AUDITORES &amp; ASESORES S.A.S. BIC 900.335.334-8</v>
      </c>
      <c r="C10" s="53" t="s">
        <v>190</v>
      </c>
      <c r="D10" s="102" t="s">
        <v>101</v>
      </c>
      <c r="E10" s="130">
        <f t="shared" si="0"/>
        <v>20</v>
      </c>
      <c r="F10" s="128"/>
    </row>
    <row r="11" spans="1:6" ht="27" x14ac:dyDescent="0.3">
      <c r="A11" s="101">
        <v>3</v>
      </c>
      <c r="B11" s="131" t="str">
        <f>'[1]Habilitante Económico'!B5</f>
        <v>JFS CONSULTORES S.A.S. -BIC 901.542.814-2</v>
      </c>
      <c r="C11" s="53" t="s">
        <v>190</v>
      </c>
      <c r="D11" s="102" t="s">
        <v>101</v>
      </c>
      <c r="E11" s="130">
        <f t="shared" si="0"/>
        <v>20</v>
      </c>
      <c r="F11" s="128"/>
    </row>
    <row r="12" spans="1:6" ht="27" x14ac:dyDescent="0.3">
      <c r="A12" s="101">
        <v>4</v>
      </c>
      <c r="B12" s="131" t="str">
        <f>'[1]Habilitante Económico'!B6</f>
        <v>SCAIPROYEKTA S.A.S. BIC: NIT 901.476.977-1</v>
      </c>
      <c r="C12" s="53" t="s">
        <v>190</v>
      </c>
      <c r="D12" s="102" t="s">
        <v>101</v>
      </c>
      <c r="E12" s="130">
        <f t="shared" si="0"/>
        <v>20</v>
      </c>
      <c r="F12" s="128"/>
    </row>
    <row r="13" spans="1:6" ht="27" x14ac:dyDescent="0.3">
      <c r="A13" s="101">
        <v>5</v>
      </c>
      <c r="B13" s="131" t="str">
        <f>'[1]Habilitante Económico'!B7</f>
        <v xml:space="preserve">UT GREM-NOVAC </v>
      </c>
      <c r="C13" s="53" t="s">
        <v>190</v>
      </c>
      <c r="D13" s="102" t="s">
        <v>101</v>
      </c>
      <c r="E13" s="130">
        <f t="shared" si="0"/>
        <v>20</v>
      </c>
      <c r="F13" s="128"/>
    </row>
    <row r="14" spans="1:6" ht="27" x14ac:dyDescent="0.3">
      <c r="A14" s="101">
        <v>6</v>
      </c>
      <c r="B14" s="131" t="str">
        <f>'[1]Habilitante Económico'!B8</f>
        <v>SGA CONSULTORES S.A.S: NIT 901.549.833-4</v>
      </c>
      <c r="C14" s="53" t="s">
        <v>190</v>
      </c>
      <c r="D14" s="102" t="s">
        <v>101</v>
      </c>
      <c r="E14" s="130">
        <f t="shared" si="0"/>
        <v>20</v>
      </c>
      <c r="F14" s="128"/>
    </row>
    <row r="15" spans="1:6" ht="27" x14ac:dyDescent="0.3">
      <c r="A15" s="101">
        <v>7</v>
      </c>
      <c r="B15" s="131" t="str">
        <f>'[1]Habilitante Económico'!B9</f>
        <v>SMARTY COLOMBIA SAS BIC: NIT 900249549-6</v>
      </c>
      <c r="C15" s="53" t="s">
        <v>190</v>
      </c>
      <c r="D15" s="102" t="s">
        <v>101</v>
      </c>
      <c r="E15" s="130">
        <f t="shared" si="0"/>
        <v>20</v>
      </c>
      <c r="F15" s="128"/>
    </row>
    <row r="16" spans="1:6" ht="27" x14ac:dyDescent="0.3">
      <c r="A16" s="101">
        <v>8</v>
      </c>
      <c r="B16" s="131" t="str">
        <f>'[1]Habilitante Económico'!B10</f>
        <v>CONSORCIO TOOL</v>
      </c>
      <c r="C16" s="53" t="s">
        <v>190</v>
      </c>
      <c r="D16" s="102" t="s">
        <v>101</v>
      </c>
      <c r="E16" s="130">
        <f t="shared" si="0"/>
        <v>20</v>
      </c>
      <c r="F16" s="128"/>
    </row>
    <row r="17" spans="1:6" ht="27" x14ac:dyDescent="0.3">
      <c r="A17" s="101">
        <v>9</v>
      </c>
      <c r="B17" s="131" t="str">
        <f>'[1]Habilitante Económico'!B11</f>
        <v>CONSORCIO INTERVENTORÍA DE VIGILANCIA 2024</v>
      </c>
      <c r="C17" s="53" t="s">
        <v>190</v>
      </c>
      <c r="D17" s="102" t="s">
        <v>101</v>
      </c>
      <c r="E17" s="130">
        <f t="shared" si="0"/>
        <v>20</v>
      </c>
      <c r="F17" s="128"/>
    </row>
    <row r="18" spans="1:6" ht="27" x14ac:dyDescent="0.3">
      <c r="A18" s="101">
        <v>10</v>
      </c>
      <c r="B18" s="131" t="str">
        <f>'[1]Habilitante Económico'!B12</f>
        <v>Consultora Central S.A.S BIC</v>
      </c>
      <c r="C18" s="53" t="s">
        <v>190</v>
      </c>
      <c r="D18" s="102" t="s">
        <v>101</v>
      </c>
      <c r="E18" s="130">
        <f t="shared" si="0"/>
        <v>20</v>
      </c>
      <c r="F18" s="128"/>
    </row>
    <row r="19" spans="1:6" ht="27" x14ac:dyDescent="0.3">
      <c r="A19" s="101">
        <v>11</v>
      </c>
      <c r="B19" s="131" t="str">
        <f>'[1]Habilitante Económico'!B13</f>
        <v>CONSORCIO INTERVENCIÓN Y SEGURIDAD DISTRITAL</v>
      </c>
      <c r="C19" s="53" t="s">
        <v>190</v>
      </c>
      <c r="D19" s="102" t="s">
        <v>101</v>
      </c>
      <c r="E19" s="130">
        <f t="shared" si="0"/>
        <v>20</v>
      </c>
      <c r="F19" s="128"/>
    </row>
    <row r="20" spans="1:6" ht="27" x14ac:dyDescent="0.3">
      <c r="A20" s="101">
        <v>12</v>
      </c>
      <c r="B20" s="131" t="str">
        <f>'[1]Habilitante Económico'!B14</f>
        <v>Strycon Energía: NIT 901.466.510-3</v>
      </c>
      <c r="C20" s="53" t="s">
        <v>190</v>
      </c>
      <c r="D20" s="102" t="s">
        <v>101</v>
      </c>
      <c r="E20" s="130">
        <f t="shared" si="0"/>
        <v>20</v>
      </c>
      <c r="F20" s="128"/>
    </row>
    <row r="21" spans="1:6" ht="27" x14ac:dyDescent="0.3">
      <c r="A21" s="101">
        <v>13</v>
      </c>
      <c r="B21" s="131" t="str">
        <f>'[1]Habilitante Económico'!B15</f>
        <v>ALIANZA INTEGRAL DE PROYECTOS SAS BIC: NIT 901.506.750-7</v>
      </c>
      <c r="C21" s="53" t="s">
        <v>190</v>
      </c>
      <c r="D21" s="102" t="s">
        <v>101</v>
      </c>
      <c r="E21" s="130">
        <f t="shared" si="0"/>
        <v>20</v>
      </c>
      <c r="F21" s="128"/>
    </row>
  </sheetData>
  <sheetProtection algorithmName="SHA-512" hashValue="4j54zl+kQ65LCISflmyZ9y+Kl4vtHJKNKTHYciHn8/lbFL5A0XLMfHufrMmDYjm7cplt8tiaow/JjMINJWVOXw==" saltValue="BzLM/9H/UvaG7gwtQDglYg==" spinCount="100000" sheet="1" objects="1" scenarios="1"/>
  <mergeCells count="3">
    <mergeCell ref="A7:A8"/>
    <mergeCell ref="B7:B8"/>
    <mergeCell ref="C7:F7"/>
  </mergeCells>
  <conditionalFormatting sqref="A4:C4 A9:F21">
    <cfRule type="cellIs" dxfId="34" priority="129" operator="equal">
      <formula>"NO HABILITADO"</formula>
    </cfRule>
  </conditionalFormatting>
  <conditionalFormatting sqref="A1:J4 A7:XFD8 F9:XFD9">
    <cfRule type="cellIs" dxfId="33" priority="131" operator="equal">
      <formula>"RECHAZADO"</formula>
    </cfRule>
  </conditionalFormatting>
  <conditionalFormatting sqref="C9:D21">
    <cfRule type="cellIs" dxfId="32" priority="18" operator="equal">
      <formula>"RECHAZADO"</formula>
    </cfRule>
  </conditionalFormatting>
  <conditionalFormatting sqref="C7:F8 A9:B21">
    <cfRule type="cellIs" dxfId="31" priority="20" operator="equal">
      <formula>"NO CUMPLE"</formula>
    </cfRule>
  </conditionalFormatting>
  <conditionalFormatting sqref="E9:E21">
    <cfRule type="cellIs" dxfId="30" priority="130" operator="equal">
      <formula>"No Cumple"</formula>
    </cfRule>
  </conditionalFormatting>
  <conditionalFormatting sqref="E10:E21">
    <cfRule type="cellIs" dxfId="29" priority="122" operator="equal">
      <formula>"NO HABILITADO"</formula>
    </cfRule>
    <cfRule type="cellIs" dxfId="28" priority="124" operator="equal">
      <formula>"NO CUMPLE"</formula>
    </cfRule>
  </conditionalFormatting>
  <conditionalFormatting sqref="E9:F21">
    <cfRule type="cellIs" dxfId="27" priority="19" operator="equal">
      <formula>"NO CUMPLE"</formula>
    </cfRule>
  </conditionalFormatting>
  <conditionalFormatting sqref="F10:F21">
    <cfRule type="cellIs" dxfId="26" priority="121" operator="equal">
      <formula>"RECHAZADO"</formula>
    </cfRule>
  </conditionalFormatting>
  <dataValidations count="2">
    <dataValidation type="list" allowBlank="1" showInputMessage="1" showErrorMessage="1" sqref="D9:D21" xr:uid="{E5AA470A-9047-4E1A-B6FB-6A689D41D959}">
      <formula1>"SI,NO"</formula1>
    </dataValidation>
    <dataValidation type="list" allowBlank="1" showInputMessage="1" showErrorMessage="1" sqref="C9:C21" xr:uid="{40E24751-E644-481F-84CE-CA78C6300392}">
      <formula1>$D$1:$D$3</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06B83-58C9-4F57-801A-AB57C0BE2087}">
  <sheetPr>
    <tabColor rgb="FF92D050"/>
  </sheetPr>
  <dimension ref="A1:I20"/>
  <sheetViews>
    <sheetView zoomScale="115" zoomScaleNormal="115" workbookViewId="0">
      <pane xSplit="2" ySplit="7" topLeftCell="C9" activePane="bottomRight" state="frozen"/>
      <selection pane="topRight"/>
      <selection pane="bottomLeft"/>
      <selection pane="bottomRight" activeCell="A20" sqref="A20"/>
    </sheetView>
  </sheetViews>
  <sheetFormatPr baseColWidth="10" defaultColWidth="11.42578125" defaultRowHeight="12.75" x14ac:dyDescent="0.25"/>
  <cols>
    <col min="1" max="1" width="13.85546875" style="132" customWidth="1"/>
    <col min="2" max="2" width="66.28515625" style="132" customWidth="1"/>
    <col min="3" max="3" width="67.5703125" style="133" customWidth="1"/>
    <col min="4" max="6" width="20.140625" style="133" customWidth="1"/>
    <col min="7" max="7" width="25.85546875" style="132" customWidth="1"/>
    <col min="8" max="9" width="21.42578125" style="132" customWidth="1"/>
    <col min="10" max="16384" width="11.42578125" style="132"/>
  </cols>
  <sheetData>
    <row r="1" spans="1:9" ht="13.5" hidden="1" x14ac:dyDescent="0.25">
      <c r="B1" s="133"/>
      <c r="C1" s="134"/>
      <c r="D1" s="133" t="s">
        <v>101</v>
      </c>
      <c r="E1" s="134"/>
      <c r="F1" s="134"/>
    </row>
    <row r="2" spans="1:9" ht="13.5" hidden="1" x14ac:dyDescent="0.25">
      <c r="B2" s="133"/>
      <c r="C2" s="134"/>
      <c r="D2" s="133" t="s">
        <v>145</v>
      </c>
      <c r="E2" s="134"/>
      <c r="F2" s="134"/>
    </row>
    <row r="3" spans="1:9" ht="38.25" hidden="1" x14ac:dyDescent="0.25">
      <c r="A3" s="15" t="s">
        <v>193</v>
      </c>
      <c r="B3" s="15" t="s">
        <v>194</v>
      </c>
      <c r="C3" s="16"/>
      <c r="F3" s="132"/>
    </row>
    <row r="4" spans="1:9" hidden="1" x14ac:dyDescent="0.25"/>
    <row r="6" spans="1:9" ht="44.25" customHeight="1" x14ac:dyDescent="0.25">
      <c r="A6" s="275" t="s">
        <v>85</v>
      </c>
      <c r="B6" s="276" t="s">
        <v>15</v>
      </c>
      <c r="C6" s="277" t="s">
        <v>197</v>
      </c>
      <c r="D6" s="277"/>
      <c r="E6" s="277"/>
      <c r="F6" s="277"/>
      <c r="G6" s="277"/>
      <c r="H6" s="277"/>
      <c r="I6" s="277"/>
    </row>
    <row r="7" spans="1:9" ht="67.5" x14ac:dyDescent="0.25">
      <c r="A7" s="275"/>
      <c r="B7" s="276"/>
      <c r="C7" s="17" t="s">
        <v>198</v>
      </c>
      <c r="D7" s="17" t="s">
        <v>199</v>
      </c>
      <c r="E7" s="17" t="s">
        <v>200</v>
      </c>
      <c r="F7" s="17" t="s">
        <v>201</v>
      </c>
      <c r="G7" s="17" t="s">
        <v>202</v>
      </c>
      <c r="H7" s="17" t="s">
        <v>203</v>
      </c>
      <c r="I7" s="138" t="s">
        <v>204</v>
      </c>
    </row>
    <row r="8" spans="1:9" s="133" customFormat="1" ht="12.75" customHeight="1" x14ac:dyDescent="0.25">
      <c r="A8" s="14">
        <v>1</v>
      </c>
      <c r="B8" s="137" t="str">
        <f>'6. E.E de Mujeres'!B9</f>
        <v>ARES SECURITY LTDA: NIT 900.599.147-1</v>
      </c>
      <c r="C8" s="135" t="s">
        <v>205</v>
      </c>
      <c r="D8" s="136" t="s">
        <v>145</v>
      </c>
      <c r="E8" s="136" t="s">
        <v>206</v>
      </c>
      <c r="F8" s="136" t="s">
        <v>206</v>
      </c>
      <c r="G8" s="136" t="s">
        <v>145</v>
      </c>
      <c r="H8" s="136" t="s">
        <v>207</v>
      </c>
      <c r="I8" s="139">
        <f>IF(C8&lt;&gt;"",IF(AND(D8="SI",E8="SI",F8="SI",G8="SI"),1,0),"")</f>
        <v>0</v>
      </c>
    </row>
    <row r="9" spans="1:9" ht="25.5" x14ac:dyDescent="0.25">
      <c r="A9" s="14">
        <v>2</v>
      </c>
      <c r="B9" s="137" t="str">
        <f>'6. E.E de Mujeres'!B10</f>
        <v>GERMAN MONTENEGRO FAJARDO AUDITORES &amp; ASESORES S.A.S. BIC 900.335.334-8</v>
      </c>
      <c r="C9" s="135" t="str">
        <f>B9</f>
        <v>GERMAN MONTENEGRO FAJARDO AUDITORES &amp; ASESORES S.A.S. BIC 900.335.334-8</v>
      </c>
      <c r="D9" s="136" t="s">
        <v>101</v>
      </c>
      <c r="E9" s="136" t="s">
        <v>101</v>
      </c>
      <c r="F9" s="136" t="s">
        <v>101</v>
      </c>
      <c r="G9" s="136" t="s">
        <v>101</v>
      </c>
      <c r="H9" s="136"/>
      <c r="I9" s="139">
        <f t="shared" ref="I9:I20" si="0">IF(C9&lt;&gt;"",IF(AND(D9="SI",E9="SI",F9="SI",G9="SI"),1,0),"")</f>
        <v>1</v>
      </c>
    </row>
    <row r="10" spans="1:9" ht="21.75" customHeight="1" x14ac:dyDescent="0.25">
      <c r="A10" s="14">
        <v>3</v>
      </c>
      <c r="B10" s="137" t="str">
        <f>'6. E.E de Mujeres'!B11</f>
        <v>JFS CONSULTORES S.A.S. -BIC 901.542.814-2</v>
      </c>
      <c r="C10" s="135" t="str">
        <f>B10</f>
        <v>JFS CONSULTORES S.A.S. -BIC 901.542.814-2</v>
      </c>
      <c r="D10" s="136" t="s">
        <v>101</v>
      </c>
      <c r="E10" s="136" t="s">
        <v>101</v>
      </c>
      <c r="F10" s="136" t="s">
        <v>101</v>
      </c>
      <c r="G10" s="136" t="s">
        <v>101</v>
      </c>
      <c r="H10" s="136"/>
      <c r="I10" s="139">
        <f t="shared" si="0"/>
        <v>1</v>
      </c>
    </row>
    <row r="11" spans="1:9" x14ac:dyDescent="0.25">
      <c r="A11" s="14">
        <v>4</v>
      </c>
      <c r="B11" s="137" t="str">
        <f>'6. E.E de Mujeres'!B12</f>
        <v>SCAIPROYEKTA S.A.S. BIC: NIT 901.476.977-1</v>
      </c>
      <c r="C11" s="135" t="str">
        <f>B11</f>
        <v>SCAIPROYEKTA S.A.S. BIC: NIT 901.476.977-1</v>
      </c>
      <c r="D11" s="136" t="s">
        <v>101</v>
      </c>
      <c r="E11" s="136" t="s">
        <v>101</v>
      </c>
      <c r="F11" s="136" t="s">
        <v>101</v>
      </c>
      <c r="G11" s="136" t="s">
        <v>101</v>
      </c>
      <c r="H11" s="136"/>
      <c r="I11" s="139">
        <f t="shared" si="0"/>
        <v>1</v>
      </c>
    </row>
    <row r="12" spans="1:9" x14ac:dyDescent="0.25">
      <c r="A12" s="14">
        <v>5</v>
      </c>
      <c r="B12" s="137" t="str">
        <f>'6. E.E de Mujeres'!B13</f>
        <v xml:space="preserve">UT GREM-NOVAC </v>
      </c>
      <c r="C12" s="135" t="s">
        <v>208</v>
      </c>
      <c r="D12" s="136" t="s">
        <v>101</v>
      </c>
      <c r="E12" s="136" t="s">
        <v>101</v>
      </c>
      <c r="F12" s="136" t="s">
        <v>101</v>
      </c>
      <c r="G12" s="136" t="s">
        <v>101</v>
      </c>
      <c r="H12" s="136"/>
      <c r="I12" s="139">
        <f t="shared" si="0"/>
        <v>1</v>
      </c>
    </row>
    <row r="13" spans="1:9" x14ac:dyDescent="0.25">
      <c r="A13" s="14">
        <v>6</v>
      </c>
      <c r="B13" s="137" t="str">
        <f>'6. E.E de Mujeres'!B14</f>
        <v>SGA CONSULTORES S.A.S: NIT 901.549.833-4</v>
      </c>
      <c r="C13" s="135" t="str">
        <f>B13</f>
        <v>SGA CONSULTORES S.A.S: NIT 901.549.833-4</v>
      </c>
      <c r="D13" s="136" t="s">
        <v>101</v>
      </c>
      <c r="E13" s="136" t="s">
        <v>101</v>
      </c>
      <c r="F13" s="136" t="s">
        <v>101</v>
      </c>
      <c r="G13" s="136" t="s">
        <v>101</v>
      </c>
      <c r="H13" s="136"/>
      <c r="I13" s="139">
        <f t="shared" si="0"/>
        <v>1</v>
      </c>
    </row>
    <row r="14" spans="1:9" x14ac:dyDescent="0.25">
      <c r="A14" s="14">
        <v>7</v>
      </c>
      <c r="B14" s="137" t="str">
        <f>'6. E.E de Mujeres'!B15</f>
        <v>SMARTY COLOMBIA SAS BIC: NIT 900249549-6</v>
      </c>
      <c r="C14" s="135" t="s">
        <v>63</v>
      </c>
      <c r="D14" s="136" t="s">
        <v>101</v>
      </c>
      <c r="E14" s="136" t="s">
        <v>101</v>
      </c>
      <c r="F14" s="136" t="s">
        <v>101</v>
      </c>
      <c r="G14" s="136" t="s">
        <v>101</v>
      </c>
      <c r="H14" s="136"/>
      <c r="I14" s="139">
        <f t="shared" si="0"/>
        <v>1</v>
      </c>
    </row>
    <row r="15" spans="1:9" x14ac:dyDescent="0.25">
      <c r="A15" s="14">
        <v>8</v>
      </c>
      <c r="B15" s="137" t="str">
        <f>'6. E.E de Mujeres'!B16</f>
        <v>CONSORCIO TOOL</v>
      </c>
      <c r="C15" s="135" t="str">
        <f>B15</f>
        <v>CONSORCIO TOOL</v>
      </c>
      <c r="D15" s="136" t="s">
        <v>101</v>
      </c>
      <c r="E15" s="136" t="s">
        <v>101</v>
      </c>
      <c r="F15" s="136" t="s">
        <v>101</v>
      </c>
      <c r="G15" s="136" t="s">
        <v>101</v>
      </c>
      <c r="H15" s="136"/>
      <c r="I15" s="139">
        <f t="shared" si="0"/>
        <v>1</v>
      </c>
    </row>
    <row r="16" spans="1:9" x14ac:dyDescent="0.25">
      <c r="A16" s="14">
        <v>9</v>
      </c>
      <c r="B16" s="137" t="str">
        <f>'6. E.E de Mujeres'!B17</f>
        <v>CONSORCIO INTERVENTORÍA DE VIGILANCIA 2024</v>
      </c>
      <c r="C16" s="135" t="s">
        <v>209</v>
      </c>
      <c r="D16" s="136" t="s">
        <v>101</v>
      </c>
      <c r="E16" s="136" t="s">
        <v>101</v>
      </c>
      <c r="F16" s="136" t="s">
        <v>101</v>
      </c>
      <c r="G16" s="136" t="s">
        <v>101</v>
      </c>
      <c r="H16" s="136"/>
      <c r="I16" s="139">
        <f t="shared" si="0"/>
        <v>1</v>
      </c>
    </row>
    <row r="17" spans="1:9" x14ac:dyDescent="0.25">
      <c r="A17" s="14">
        <v>10</v>
      </c>
      <c r="B17" s="137" t="str">
        <f>'6. E.E de Mujeres'!B18</f>
        <v>Consultora Central S.A.S BIC</v>
      </c>
      <c r="C17" s="135" t="str">
        <f>B17</f>
        <v>Consultora Central S.A.S BIC</v>
      </c>
      <c r="D17" s="136" t="s">
        <v>101</v>
      </c>
      <c r="E17" s="136" t="s">
        <v>101</v>
      </c>
      <c r="F17" s="136" t="s">
        <v>101</v>
      </c>
      <c r="G17" s="136" t="s">
        <v>101</v>
      </c>
      <c r="H17" s="136"/>
      <c r="I17" s="139">
        <f t="shared" si="0"/>
        <v>1</v>
      </c>
    </row>
    <row r="18" spans="1:9" x14ac:dyDescent="0.25">
      <c r="A18" s="14">
        <v>11</v>
      </c>
      <c r="B18" s="137" t="str">
        <f>'6. E.E de Mujeres'!B19</f>
        <v>CONSORCIO INTERVENCIÓN Y SEGURIDAD DISTRITAL</v>
      </c>
      <c r="C18" s="135" t="s">
        <v>210</v>
      </c>
      <c r="D18" s="136" t="s">
        <v>101</v>
      </c>
      <c r="E18" s="136" t="s">
        <v>101</v>
      </c>
      <c r="F18" s="136" t="s">
        <v>101</v>
      </c>
      <c r="G18" s="136" t="s">
        <v>101</v>
      </c>
      <c r="H18" s="136"/>
      <c r="I18" s="139">
        <f t="shared" si="0"/>
        <v>1</v>
      </c>
    </row>
    <row r="19" spans="1:9" x14ac:dyDescent="0.25">
      <c r="A19" s="14">
        <v>12</v>
      </c>
      <c r="B19" s="137" t="str">
        <f>'6. E.E de Mujeres'!B20</f>
        <v>Strycon Energía: NIT 901.466.510-3</v>
      </c>
      <c r="C19" s="135" t="str">
        <f>B19</f>
        <v>Strycon Energía: NIT 901.466.510-3</v>
      </c>
      <c r="D19" s="136" t="s">
        <v>101</v>
      </c>
      <c r="E19" s="136" t="s">
        <v>101</v>
      </c>
      <c r="F19" s="136" t="s">
        <v>101</v>
      </c>
      <c r="G19" s="136" t="s">
        <v>101</v>
      </c>
      <c r="H19" s="136"/>
      <c r="I19" s="139">
        <f t="shared" si="0"/>
        <v>1</v>
      </c>
    </row>
    <row r="20" spans="1:9" x14ac:dyDescent="0.25">
      <c r="A20" s="14">
        <v>13</v>
      </c>
      <c r="B20" s="137" t="str">
        <f>'6. E.E de Mujeres'!B21</f>
        <v>ALIANZA INTEGRAL DE PROYECTOS SAS BIC: NIT 901.506.750-7</v>
      </c>
      <c r="C20" s="135" t="s">
        <v>211</v>
      </c>
      <c r="D20" s="136" t="s">
        <v>101</v>
      </c>
      <c r="E20" s="136" t="s">
        <v>101</v>
      </c>
      <c r="F20" s="136" t="s">
        <v>101</v>
      </c>
      <c r="G20" s="136" t="s">
        <v>101</v>
      </c>
      <c r="H20" s="136"/>
      <c r="I20" s="139">
        <f t="shared" si="0"/>
        <v>1</v>
      </c>
    </row>
  </sheetData>
  <sheetProtection algorithmName="SHA-512" hashValue="bfMjoymNC8ap12UdGh/ed/4Lq35FrDlquDA2ruNzBZtFecrpgS9mWcqovnlzT+M5QDEyo1tO+1hBiHjDIeZeIQ==" saltValue="XgPBoAl1mIK5BZGs+TVkpA==" spinCount="100000" sheet="1" objects="1" scenarios="1"/>
  <mergeCells count="3">
    <mergeCell ref="A6:A7"/>
    <mergeCell ref="B6:B7"/>
    <mergeCell ref="C6:I6"/>
  </mergeCells>
  <conditionalFormatting sqref="A8:B20">
    <cfRule type="cellIs" dxfId="25" priority="3" operator="equal">
      <formula>"NO CUMPLE"</formula>
    </cfRule>
  </conditionalFormatting>
  <conditionalFormatting sqref="A3:C3">
    <cfRule type="cellIs" dxfId="24" priority="10" operator="equal">
      <formula>"NO HABILITADO"</formula>
    </cfRule>
  </conditionalFormatting>
  <conditionalFormatting sqref="A1:F3 A6:C6 J6:XFD20 A7:B7 A21:XFD1048576">
    <cfRule type="cellIs" dxfId="23" priority="11" operator="equal">
      <formula>"RECHAZADO"</formula>
    </cfRule>
  </conditionalFormatting>
  <conditionalFormatting sqref="A8:I20">
    <cfRule type="cellIs" dxfId="22" priority="1" operator="equal">
      <formula>"NO HABILITADO"</formula>
    </cfRule>
  </conditionalFormatting>
  <conditionalFormatting sqref="C6">
    <cfRule type="cellIs" dxfId="21" priority="12" operator="equal">
      <formula>"NO CUMPLE"</formula>
    </cfRule>
  </conditionalFormatting>
  <conditionalFormatting sqref="C7:H7">
    <cfRule type="cellIs" dxfId="20" priority="9" operator="equal">
      <formula>"NO HABILITADO"</formula>
    </cfRule>
  </conditionalFormatting>
  <conditionalFormatting sqref="I7:I20">
    <cfRule type="cellIs" dxfId="19" priority="5" operator="equal">
      <formula>"NO HABILITADO"</formula>
    </cfRule>
  </conditionalFormatting>
  <dataValidations count="2">
    <dataValidation type="list" allowBlank="1" showInputMessage="1" showErrorMessage="1" sqref="E8:F20" xr:uid="{8BEE8F34-F300-4FD9-9418-1DCC1DC6ABD3}">
      <formula1>"SI,NO,NO ANEXA"</formula1>
    </dataValidation>
    <dataValidation type="list" allowBlank="1" showInputMessage="1" showErrorMessage="1" sqref="D8:D20 G8:G20" xr:uid="{0056F17D-074F-4B52-988B-3AEE8C68F826}">
      <formula1>$D$1:$D$2</formula1>
    </dataValidation>
  </dataValidation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601ED-E8C2-47AE-9B40-C839D8442F8D}">
  <sheetPr>
    <tabColor rgb="FF92D050"/>
  </sheetPr>
  <dimension ref="A1:J21"/>
  <sheetViews>
    <sheetView topLeftCell="B6" zoomScale="115" zoomScaleNormal="115" workbookViewId="0">
      <selection activeCell="C22" sqref="C22"/>
    </sheetView>
  </sheetViews>
  <sheetFormatPr baseColWidth="10" defaultColWidth="11.42578125" defaultRowHeight="12.75" x14ac:dyDescent="0.25"/>
  <cols>
    <col min="1" max="1" width="19" style="132" customWidth="1"/>
    <col min="2" max="2" width="65.140625" style="132" customWidth="1"/>
    <col min="3" max="3" width="66.85546875" style="132" customWidth="1"/>
    <col min="4" max="4" width="19.85546875" style="133" customWidth="1"/>
    <col min="5" max="5" width="17.5703125" style="133" customWidth="1"/>
    <col min="6" max="6" width="19.42578125" style="133" customWidth="1"/>
    <col min="7" max="7" width="16.42578125" style="133" customWidth="1"/>
    <col min="8" max="8" width="19.85546875" style="133" customWidth="1"/>
    <col min="9" max="9" width="54" style="132" customWidth="1"/>
    <col min="10" max="10" width="19.140625" style="132" customWidth="1"/>
    <col min="11" max="16384" width="11.42578125" style="132"/>
  </cols>
  <sheetData>
    <row r="1" spans="1:10" ht="123" hidden="1" customHeight="1" x14ac:dyDescent="0.25">
      <c r="B1" s="133"/>
      <c r="C1" s="133"/>
      <c r="D1" s="133" t="s">
        <v>101</v>
      </c>
      <c r="E1" s="133" t="s">
        <v>2</v>
      </c>
      <c r="H1" s="132" t="s">
        <v>212</v>
      </c>
    </row>
    <row r="2" spans="1:10" ht="75" hidden="1" customHeight="1" x14ac:dyDescent="0.25">
      <c r="B2" s="133"/>
      <c r="C2" s="133"/>
      <c r="D2" s="133" t="s">
        <v>145</v>
      </c>
      <c r="E2" s="133" t="s">
        <v>9</v>
      </c>
      <c r="H2" s="132" t="s">
        <v>213</v>
      </c>
    </row>
    <row r="3" spans="1:10" ht="81" hidden="1" customHeight="1" x14ac:dyDescent="0.25">
      <c r="A3" s="12" t="s">
        <v>193</v>
      </c>
      <c r="B3" s="12" t="s">
        <v>194</v>
      </c>
      <c r="C3" s="13"/>
      <c r="D3" s="13"/>
      <c r="E3" s="13"/>
      <c r="F3" s="13"/>
      <c r="G3" s="13"/>
      <c r="H3" s="132" t="s">
        <v>214</v>
      </c>
    </row>
    <row r="4" spans="1:10" ht="103.5" hidden="1" customHeight="1" x14ac:dyDescent="0.25">
      <c r="H4" s="143" t="s">
        <v>206</v>
      </c>
    </row>
    <row r="5" spans="1:10" ht="15" customHeight="1" x14ac:dyDescent="0.25"/>
    <row r="6" spans="1:10" ht="17.25" customHeight="1" x14ac:dyDescent="0.25">
      <c r="A6" s="278" t="s">
        <v>85</v>
      </c>
      <c r="B6" s="281" t="s">
        <v>15</v>
      </c>
      <c r="C6" s="277" t="s">
        <v>215</v>
      </c>
      <c r="D6" s="277"/>
      <c r="E6" s="277"/>
      <c r="F6" s="277"/>
      <c r="G6" s="277"/>
      <c r="H6" s="277"/>
      <c r="I6" s="277"/>
      <c r="J6" s="277"/>
    </row>
    <row r="7" spans="1:10" ht="57.75" customHeight="1" x14ac:dyDescent="0.25">
      <c r="A7" s="279"/>
      <c r="B7" s="282"/>
      <c r="C7" s="284" t="s">
        <v>216</v>
      </c>
      <c r="D7" s="284" t="s">
        <v>217</v>
      </c>
      <c r="E7" s="18" t="s">
        <v>218</v>
      </c>
      <c r="F7" s="21" t="s">
        <v>219</v>
      </c>
      <c r="G7" s="286" t="s">
        <v>220</v>
      </c>
      <c r="H7" s="286" t="s">
        <v>202</v>
      </c>
      <c r="I7" s="284" t="s">
        <v>203</v>
      </c>
      <c r="J7" s="288" t="s">
        <v>221</v>
      </c>
    </row>
    <row r="8" spans="1:10" ht="35.25" customHeight="1" x14ac:dyDescent="0.25">
      <c r="A8" s="280"/>
      <c r="B8" s="283"/>
      <c r="C8" s="285"/>
      <c r="D8" s="285"/>
      <c r="E8" s="12" t="s">
        <v>222</v>
      </c>
      <c r="F8" s="12" t="s">
        <v>222</v>
      </c>
      <c r="G8" s="287"/>
      <c r="H8" s="287"/>
      <c r="I8" s="285"/>
      <c r="J8" s="289"/>
    </row>
    <row r="9" spans="1:10" x14ac:dyDescent="0.25">
      <c r="A9" s="14">
        <v>1</v>
      </c>
      <c r="B9" s="142" t="str">
        <f>'7. Calidad de Mipyme'!B8</f>
        <v>ARES SECURITY LTDA: NIT 900.599.147-1</v>
      </c>
      <c r="C9" s="140" t="s">
        <v>205</v>
      </c>
      <c r="D9" s="136" t="s">
        <v>206</v>
      </c>
      <c r="E9" s="136"/>
      <c r="F9" s="136"/>
      <c r="G9" s="136" t="s">
        <v>9</v>
      </c>
      <c r="H9" s="136"/>
      <c r="I9" s="141" t="s">
        <v>207</v>
      </c>
      <c r="J9" s="20">
        <f>IF(G9="","",IF(G9="CUMPLE",IF(H9="SI",0.25,0),0))</f>
        <v>0</v>
      </c>
    </row>
    <row r="10" spans="1:10" ht="25.5" x14ac:dyDescent="0.25">
      <c r="A10" s="14">
        <v>2</v>
      </c>
      <c r="B10" s="142" t="str">
        <f>'7. Calidad de Mipyme'!B9</f>
        <v>GERMAN MONTENEGRO FAJARDO AUDITORES &amp; ASESORES S.A.S. BIC 900.335.334-8</v>
      </c>
      <c r="C10" s="140" t="str">
        <f>B10</f>
        <v>GERMAN MONTENEGRO FAJARDO AUDITORES &amp; ASESORES S.A.S. BIC 900.335.334-8</v>
      </c>
      <c r="D10" s="136" t="s">
        <v>212</v>
      </c>
      <c r="E10" s="136" t="s">
        <v>145</v>
      </c>
      <c r="F10" s="136" t="s">
        <v>101</v>
      </c>
      <c r="G10" s="136" t="s">
        <v>2</v>
      </c>
      <c r="H10" s="136" t="s">
        <v>101</v>
      </c>
      <c r="I10" s="141"/>
      <c r="J10" s="20">
        <f>IF(G10="","",IF(G10="CUMPLE",IF(H10="SI",0.25,0),0))</f>
        <v>0.25</v>
      </c>
    </row>
    <row r="11" spans="1:10" x14ac:dyDescent="0.25">
      <c r="A11" s="14">
        <v>3</v>
      </c>
      <c r="B11" s="142" t="str">
        <f>'7. Calidad de Mipyme'!B10</f>
        <v>JFS CONSULTORES S.A.S. -BIC 901.542.814-2</v>
      </c>
      <c r="C11" s="140" t="str">
        <f>B11</f>
        <v>JFS CONSULTORES S.A.S. -BIC 901.542.814-2</v>
      </c>
      <c r="D11" s="136" t="s">
        <v>212</v>
      </c>
      <c r="E11" s="136" t="s">
        <v>101</v>
      </c>
      <c r="F11" s="136"/>
      <c r="G11" s="136" t="s">
        <v>2</v>
      </c>
      <c r="H11" s="136" t="s">
        <v>101</v>
      </c>
      <c r="I11" s="141"/>
      <c r="J11" s="20">
        <f t="shared" ref="J11:J21" si="0">IF(G11="","",IF(G11="CUMPLE",IF(H11="SI",0.25,0),0))</f>
        <v>0.25</v>
      </c>
    </row>
    <row r="12" spans="1:10" x14ac:dyDescent="0.25">
      <c r="A12" s="14">
        <v>4</v>
      </c>
      <c r="B12" s="142" t="str">
        <f>'7. Calidad de Mipyme'!B11</f>
        <v>SCAIPROYEKTA S.A.S. BIC: NIT 901.476.977-1</v>
      </c>
      <c r="C12" s="140" t="str">
        <f>B12</f>
        <v>SCAIPROYEKTA S.A.S. BIC: NIT 901.476.977-1</v>
      </c>
      <c r="D12" s="136" t="s">
        <v>212</v>
      </c>
      <c r="E12" s="136" t="s">
        <v>101</v>
      </c>
      <c r="F12" s="136"/>
      <c r="G12" s="136" t="s">
        <v>2</v>
      </c>
      <c r="H12" s="136" t="s">
        <v>101</v>
      </c>
      <c r="I12" s="141"/>
      <c r="J12" s="20">
        <f t="shared" si="0"/>
        <v>0.25</v>
      </c>
    </row>
    <row r="13" spans="1:10" ht="25.5" x14ac:dyDescent="0.25">
      <c r="A13" s="14">
        <v>5</v>
      </c>
      <c r="B13" s="142" t="str">
        <f>'7. Calidad de Mipyme'!B12</f>
        <v xml:space="preserve">UT GREM-NOVAC </v>
      </c>
      <c r="C13" s="140" t="s">
        <v>223</v>
      </c>
      <c r="D13" s="136" t="s">
        <v>212</v>
      </c>
      <c r="E13" s="136" t="s">
        <v>101</v>
      </c>
      <c r="F13" s="136"/>
      <c r="G13" s="136" t="s">
        <v>2</v>
      </c>
      <c r="H13" s="136" t="s">
        <v>101</v>
      </c>
      <c r="I13" s="141"/>
      <c r="J13" s="20">
        <f t="shared" si="0"/>
        <v>0.25</v>
      </c>
    </row>
    <row r="14" spans="1:10" x14ac:dyDescent="0.25">
      <c r="A14" s="14">
        <v>6</v>
      </c>
      <c r="B14" s="142" t="str">
        <f>'7. Calidad de Mipyme'!B13</f>
        <v>SGA CONSULTORES S.A.S: NIT 901.549.833-4</v>
      </c>
      <c r="C14" s="140" t="str">
        <f>B14</f>
        <v>SGA CONSULTORES S.A.S: NIT 901.549.833-4</v>
      </c>
      <c r="D14" s="136" t="s">
        <v>212</v>
      </c>
      <c r="E14" s="136" t="s">
        <v>101</v>
      </c>
      <c r="F14" s="136"/>
      <c r="G14" s="136" t="s">
        <v>2</v>
      </c>
      <c r="H14" s="136" t="s">
        <v>101</v>
      </c>
      <c r="I14" s="141"/>
      <c r="J14" s="20">
        <f t="shared" si="0"/>
        <v>0.25</v>
      </c>
    </row>
    <row r="15" spans="1:10" x14ac:dyDescent="0.25">
      <c r="A15" s="14">
        <v>7</v>
      </c>
      <c r="B15" s="142" t="str">
        <f>'7. Calidad de Mipyme'!B14</f>
        <v>SMARTY COLOMBIA SAS BIC: NIT 900249549-6</v>
      </c>
      <c r="C15" s="140" t="s">
        <v>63</v>
      </c>
      <c r="D15" s="136" t="s">
        <v>212</v>
      </c>
      <c r="E15" s="136" t="s">
        <v>101</v>
      </c>
      <c r="F15" s="136"/>
      <c r="G15" s="136" t="s">
        <v>2</v>
      </c>
      <c r="H15" s="136" t="s">
        <v>101</v>
      </c>
      <c r="I15" s="141"/>
      <c r="J15" s="20">
        <f t="shared" si="0"/>
        <v>0.25</v>
      </c>
    </row>
    <row r="16" spans="1:10" x14ac:dyDescent="0.25">
      <c r="A16" s="14">
        <v>8</v>
      </c>
      <c r="B16" s="142" t="str">
        <f>'7. Calidad de Mipyme'!B15</f>
        <v>CONSORCIO TOOL</v>
      </c>
      <c r="C16" s="140" t="str">
        <f>B16</f>
        <v>CONSORCIO TOOL</v>
      </c>
      <c r="D16" s="136" t="s">
        <v>212</v>
      </c>
      <c r="E16" s="136" t="s">
        <v>101</v>
      </c>
      <c r="F16" s="136"/>
      <c r="G16" s="136" t="s">
        <v>2</v>
      </c>
      <c r="H16" s="136" t="s">
        <v>101</v>
      </c>
      <c r="I16" s="141"/>
      <c r="J16" s="20">
        <f t="shared" si="0"/>
        <v>0.25</v>
      </c>
    </row>
    <row r="17" spans="1:10" x14ac:dyDescent="0.25">
      <c r="A17" s="14">
        <v>9</v>
      </c>
      <c r="B17" s="142" t="str">
        <f>'7. Calidad de Mipyme'!B16</f>
        <v>CONSORCIO INTERVENTORÍA DE VIGILANCIA 2024</v>
      </c>
      <c r="C17" s="140" t="s">
        <v>224</v>
      </c>
      <c r="D17" s="136" t="s">
        <v>212</v>
      </c>
      <c r="E17" s="136" t="s">
        <v>101</v>
      </c>
      <c r="F17" s="136"/>
      <c r="G17" s="136" t="s">
        <v>2</v>
      </c>
      <c r="H17" s="136" t="s">
        <v>101</v>
      </c>
      <c r="I17" s="141"/>
      <c r="J17" s="20">
        <f t="shared" si="0"/>
        <v>0.25</v>
      </c>
    </row>
    <row r="18" spans="1:10" x14ac:dyDescent="0.25">
      <c r="A18" s="14">
        <v>10</v>
      </c>
      <c r="B18" s="142" t="str">
        <f>'7. Calidad de Mipyme'!B17</f>
        <v>Consultora Central S.A.S BIC</v>
      </c>
      <c r="C18" s="140" t="str">
        <f>B18</f>
        <v>Consultora Central S.A.S BIC</v>
      </c>
      <c r="D18" s="136" t="s">
        <v>212</v>
      </c>
      <c r="E18" s="136" t="s">
        <v>101</v>
      </c>
      <c r="F18" s="136"/>
      <c r="G18" s="136" t="s">
        <v>2</v>
      </c>
      <c r="H18" s="136" t="s">
        <v>101</v>
      </c>
      <c r="I18" s="141"/>
      <c r="J18" s="20">
        <f t="shared" si="0"/>
        <v>0.25</v>
      </c>
    </row>
    <row r="19" spans="1:10" x14ac:dyDescent="0.25">
      <c r="A19" s="14">
        <v>11</v>
      </c>
      <c r="B19" s="142" t="str">
        <f>'7. Calidad de Mipyme'!B18</f>
        <v>CONSORCIO INTERVENCIÓN Y SEGURIDAD DISTRITAL</v>
      </c>
      <c r="C19" s="140" t="s">
        <v>225</v>
      </c>
      <c r="D19" s="136" t="s">
        <v>212</v>
      </c>
      <c r="E19" s="136" t="s">
        <v>101</v>
      </c>
      <c r="F19" s="136" t="s">
        <v>145</v>
      </c>
      <c r="G19" s="136" t="s">
        <v>2</v>
      </c>
      <c r="H19" s="136" t="s">
        <v>101</v>
      </c>
      <c r="I19" s="141"/>
      <c r="J19" s="20">
        <f t="shared" si="0"/>
        <v>0.25</v>
      </c>
    </row>
    <row r="20" spans="1:10" x14ac:dyDescent="0.25">
      <c r="A20" s="14">
        <v>12</v>
      </c>
      <c r="B20" s="142" t="str">
        <f>'7. Calidad de Mipyme'!B19</f>
        <v>Strycon Energía: NIT 901.466.510-3</v>
      </c>
      <c r="C20" s="140" t="str">
        <f>B20</f>
        <v>Strycon Energía: NIT 901.466.510-3</v>
      </c>
      <c r="D20" s="136" t="s">
        <v>212</v>
      </c>
      <c r="E20" s="136" t="s">
        <v>101</v>
      </c>
      <c r="F20" s="136"/>
      <c r="G20" s="136" t="s">
        <v>2</v>
      </c>
      <c r="H20" s="136" t="s">
        <v>101</v>
      </c>
      <c r="I20" s="141"/>
      <c r="J20" s="20">
        <f t="shared" si="0"/>
        <v>0.25</v>
      </c>
    </row>
    <row r="21" spans="1:10" x14ac:dyDescent="0.25">
      <c r="A21" s="14">
        <v>13</v>
      </c>
      <c r="B21" s="142" t="str">
        <f>'7. Calidad de Mipyme'!B20</f>
        <v>ALIANZA INTEGRAL DE PROYECTOS SAS BIC: NIT 901.506.750-7</v>
      </c>
      <c r="C21" s="140" t="s">
        <v>211</v>
      </c>
      <c r="D21" s="136" t="s">
        <v>212</v>
      </c>
      <c r="E21" s="136" t="s">
        <v>101</v>
      </c>
      <c r="F21" s="136"/>
      <c r="G21" s="136" t="s">
        <v>2</v>
      </c>
      <c r="H21" s="136" t="s">
        <v>101</v>
      </c>
      <c r="I21" s="141"/>
      <c r="J21" s="20">
        <f t="shared" si="0"/>
        <v>0.25</v>
      </c>
    </row>
  </sheetData>
  <sheetProtection algorithmName="SHA-512" hashValue="f1mWPBBm69fZ+EuP4oCp47MS6/dOAa4IPTjV7y6rSjvDULw19YUHTIbE/0EnD4mmJqQTahAs0QAQJpQNoZt51Q==" saltValue="uBVO2lKBTXFFKr9ApVHAwA==" spinCount="100000" sheet="1" objects="1" scenarios="1"/>
  <mergeCells count="9">
    <mergeCell ref="A6:A8"/>
    <mergeCell ref="B6:B8"/>
    <mergeCell ref="C6:J6"/>
    <mergeCell ref="C7:C8"/>
    <mergeCell ref="D7:D8"/>
    <mergeCell ref="H7:H8"/>
    <mergeCell ref="I7:I8"/>
    <mergeCell ref="J7:J8"/>
    <mergeCell ref="G7:G8"/>
  </mergeCells>
  <conditionalFormatting sqref="A9:B21">
    <cfRule type="cellIs" dxfId="18" priority="3" operator="equal">
      <formula>"NO CUMPLE"</formula>
    </cfRule>
  </conditionalFormatting>
  <conditionalFormatting sqref="A1:G2 A3:H3 A6:C6 K6:XFD21 A22:XFD1048576">
    <cfRule type="cellIs" dxfId="17" priority="21" operator="equal">
      <formula>"RECHAZADO"</formula>
    </cfRule>
  </conditionalFormatting>
  <conditionalFormatting sqref="A3:G3 E8:G8">
    <cfRule type="cellIs" dxfId="16" priority="20" operator="equal">
      <formula>"NO HABILITADO"</formula>
    </cfRule>
  </conditionalFormatting>
  <conditionalFormatting sqref="A9:J21">
    <cfRule type="cellIs" dxfId="15" priority="1" operator="equal">
      <formula>"NO HABILITADO"</formula>
    </cfRule>
  </conditionalFormatting>
  <conditionalFormatting sqref="C6">
    <cfRule type="cellIs" dxfId="14" priority="22" operator="equal">
      <formula>"NO CUMPLE"</formula>
    </cfRule>
  </conditionalFormatting>
  <conditionalFormatting sqref="C7:J7">
    <cfRule type="cellIs" dxfId="13" priority="18" operator="equal">
      <formula>"NO HABILITADO"</formula>
    </cfRule>
  </conditionalFormatting>
  <dataValidations count="3">
    <dataValidation type="list" allowBlank="1" showInputMessage="1" showErrorMessage="1" sqref="E9:F21 H9:H21" xr:uid="{43A51132-1CEB-4C69-A935-84E4983B9236}">
      <formula1>$D$1:$D$2</formula1>
    </dataValidation>
    <dataValidation type="list" allowBlank="1" showInputMessage="1" showErrorMessage="1" sqref="G9:G21" xr:uid="{43E2A83A-C13A-4440-B250-B42FA13F22F4}">
      <formula1>$E$1:$E$2</formula1>
    </dataValidation>
    <dataValidation type="list" allowBlank="1" showInputMessage="1" showErrorMessage="1" sqref="D9:D21" xr:uid="{21EDC97F-69F1-466F-BB53-CEE795B65FB7}">
      <formula1>$H$1:$H$4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255CA-2498-475E-B8AF-5C4EE867EBCE}">
  <sheetPr>
    <tabColor rgb="FF92D050"/>
  </sheetPr>
  <dimension ref="A1:G20"/>
  <sheetViews>
    <sheetView zoomScaleNormal="100" workbookViewId="0">
      <pane xSplit="2" ySplit="6" topLeftCell="C9" activePane="bottomRight" state="frozen"/>
      <selection pane="topRight"/>
      <selection pane="bottomLeft"/>
      <selection pane="bottomRight" activeCell="C39" sqref="C39"/>
    </sheetView>
  </sheetViews>
  <sheetFormatPr baseColWidth="10" defaultColWidth="11.42578125" defaultRowHeight="12.75" x14ac:dyDescent="0.25"/>
  <cols>
    <col min="1" max="1" width="13.85546875" style="132" customWidth="1"/>
    <col min="2" max="2" width="72.7109375" style="132" customWidth="1"/>
    <col min="3" max="3" width="42.140625" style="132" customWidth="1"/>
    <col min="4" max="4" width="25" style="133" customWidth="1"/>
    <col min="5" max="5" width="29.7109375" style="133" customWidth="1"/>
    <col min="6" max="6" width="41.42578125" style="132" customWidth="1"/>
    <col min="7" max="16384" width="11.42578125" style="132"/>
  </cols>
  <sheetData>
    <row r="1" spans="1:7" ht="25.9" hidden="1" customHeight="1" x14ac:dyDescent="0.25">
      <c r="B1" s="133"/>
      <c r="C1" s="132" t="s">
        <v>226</v>
      </c>
      <c r="D1" s="133" t="s">
        <v>101</v>
      </c>
    </row>
    <row r="2" spans="1:7" ht="25.9" hidden="1" customHeight="1" x14ac:dyDescent="0.25">
      <c r="B2" s="133"/>
      <c r="C2" s="132" t="s">
        <v>227</v>
      </c>
      <c r="D2" s="133" t="s">
        <v>145</v>
      </c>
    </row>
    <row r="3" spans="1:7" ht="25.9" hidden="1" customHeight="1" x14ac:dyDescent="0.25">
      <c r="A3" s="12" t="s">
        <v>193</v>
      </c>
      <c r="B3" s="12" t="s">
        <v>194</v>
      </c>
      <c r="C3" s="132" t="s">
        <v>206</v>
      </c>
    </row>
    <row r="4" spans="1:7" ht="25.9" hidden="1" customHeight="1" x14ac:dyDescent="0.25"/>
    <row r="5" spans="1:7" ht="25.9" customHeight="1" x14ac:dyDescent="0.25"/>
    <row r="6" spans="1:7" ht="36.75" customHeight="1" x14ac:dyDescent="0.25">
      <c r="A6" s="275" t="s">
        <v>85</v>
      </c>
      <c r="B6" s="290" t="s">
        <v>15</v>
      </c>
      <c r="C6" s="277" t="s">
        <v>228</v>
      </c>
      <c r="D6" s="277"/>
      <c r="E6" s="277"/>
      <c r="F6" s="277"/>
      <c r="G6" s="277"/>
    </row>
    <row r="7" spans="1:7" ht="49.5" customHeight="1" x14ac:dyDescent="0.25">
      <c r="A7" s="275"/>
      <c r="B7" s="290"/>
      <c r="C7" s="12" t="s">
        <v>229</v>
      </c>
      <c r="D7" s="12" t="s">
        <v>230</v>
      </c>
      <c r="E7" s="19" t="s">
        <v>202</v>
      </c>
      <c r="F7" s="12" t="s">
        <v>203</v>
      </c>
      <c r="G7" s="12" t="s">
        <v>221</v>
      </c>
    </row>
    <row r="8" spans="1:7" x14ac:dyDescent="0.25">
      <c r="A8" s="14">
        <v>1</v>
      </c>
      <c r="B8" s="153" t="str">
        <f>Consolidado!B4</f>
        <v>ARES SECURITY LTDA: NIT 900.599.147-1</v>
      </c>
      <c r="C8" s="154" t="s">
        <v>205</v>
      </c>
      <c r="D8" s="136" t="s">
        <v>206</v>
      </c>
      <c r="E8" s="136" t="s">
        <v>145</v>
      </c>
      <c r="F8" s="136" t="s">
        <v>231</v>
      </c>
      <c r="G8" s="20">
        <f>IF(C8="","",IF(COUNTIF(D8,"FORMATO 17 A")+COUNTIF(D8,"FORMATO 17 B")+COUNTIF(E8,"SI")=2,0.25,0))</f>
        <v>0</v>
      </c>
    </row>
    <row r="9" spans="1:7" ht="38.25" x14ac:dyDescent="0.25">
      <c r="A9" s="14">
        <v>2</v>
      </c>
      <c r="B9" s="153" t="str">
        <f>Consolidado!B5</f>
        <v>GERMAN MONTENEGRO FAJARDO AUDITORES &amp; ASESORES S.A.S. BIC 900.335.334-8</v>
      </c>
      <c r="C9" s="154" t="str">
        <f>B9</f>
        <v>GERMAN MONTENEGRO FAJARDO AUDITORES &amp; ASESORES S.A.S. BIC 900.335.334-8</v>
      </c>
      <c r="D9" s="136" t="s">
        <v>226</v>
      </c>
      <c r="E9" s="136" t="s">
        <v>101</v>
      </c>
      <c r="F9" s="136"/>
      <c r="G9" s="20">
        <f t="shared" ref="G9:G20" si="0">IF(C9="","",IF(COUNTIF(D9,"FORMATO 17 A")+COUNTIF(D9,"FORMATO 17 B")+COUNTIF(E9,"SI")=2,0.25,0))</f>
        <v>0.25</v>
      </c>
    </row>
    <row r="10" spans="1:7" x14ac:dyDescent="0.25">
      <c r="A10" s="14">
        <v>3</v>
      </c>
      <c r="B10" s="153" t="str">
        <f>Consolidado!B6</f>
        <v>JFS CONSULTORES S.A.S. -BIC 901.542.814-2</v>
      </c>
      <c r="C10" s="154" t="str">
        <f>B10</f>
        <v>JFS CONSULTORES S.A.S. -BIC 901.542.814-2</v>
      </c>
      <c r="D10" s="136" t="s">
        <v>226</v>
      </c>
      <c r="E10" s="136" t="s">
        <v>101</v>
      </c>
      <c r="F10" s="136"/>
      <c r="G10" s="20">
        <f t="shared" si="0"/>
        <v>0.25</v>
      </c>
    </row>
    <row r="11" spans="1:7" x14ac:dyDescent="0.25">
      <c r="A11" s="14">
        <v>4</v>
      </c>
      <c r="B11" s="153" t="str">
        <f>Consolidado!B7</f>
        <v>SCAIPROYEKTA S.A.S. BIC: NIT 901.476.977-1</v>
      </c>
      <c r="C11" s="154" t="str">
        <f>B11</f>
        <v>SCAIPROYEKTA S.A.S. BIC: NIT 901.476.977-1</v>
      </c>
      <c r="D11" s="136" t="s">
        <v>226</v>
      </c>
      <c r="E11" s="136" t="s">
        <v>101</v>
      </c>
      <c r="F11" s="136"/>
      <c r="G11" s="20">
        <f t="shared" si="0"/>
        <v>0.25</v>
      </c>
    </row>
    <row r="12" spans="1:7" x14ac:dyDescent="0.25">
      <c r="A12" s="14">
        <v>5</v>
      </c>
      <c r="B12" s="153" t="str">
        <f>Consolidado!B8</f>
        <v xml:space="preserve">UT GREM-NOVAC </v>
      </c>
      <c r="C12" s="154" t="str">
        <f>B12</f>
        <v xml:space="preserve">UT GREM-NOVAC </v>
      </c>
      <c r="D12" s="136" t="s">
        <v>226</v>
      </c>
      <c r="E12" s="136" t="s">
        <v>101</v>
      </c>
      <c r="F12" s="136"/>
      <c r="G12" s="20">
        <f t="shared" si="0"/>
        <v>0.25</v>
      </c>
    </row>
    <row r="13" spans="1:7" x14ac:dyDescent="0.25">
      <c r="A13" s="14">
        <v>6</v>
      </c>
      <c r="B13" s="153" t="str">
        <f>Consolidado!B9</f>
        <v>SGA CONSULTORES S.A.S: NIT 901.549.833-4</v>
      </c>
      <c r="C13" s="154" t="str">
        <f>B13</f>
        <v>SGA CONSULTORES S.A.S: NIT 901.549.833-4</v>
      </c>
      <c r="D13" s="136" t="s">
        <v>226</v>
      </c>
      <c r="E13" s="136" t="s">
        <v>101</v>
      </c>
      <c r="F13" s="136"/>
      <c r="G13" s="20">
        <f t="shared" si="0"/>
        <v>0.25</v>
      </c>
    </row>
    <row r="14" spans="1:7" ht="20.25" customHeight="1" x14ac:dyDescent="0.25">
      <c r="A14" s="14">
        <v>7</v>
      </c>
      <c r="B14" s="153" t="str">
        <f>Consolidado!B10</f>
        <v>SMARTY COLOMBIA SAS BIC: NIT 900249549-6</v>
      </c>
      <c r="C14" s="154" t="s">
        <v>63</v>
      </c>
      <c r="D14" s="136" t="s">
        <v>226</v>
      </c>
      <c r="E14" s="136" t="s">
        <v>101</v>
      </c>
      <c r="F14" s="136"/>
      <c r="G14" s="20">
        <f t="shared" si="0"/>
        <v>0.25</v>
      </c>
    </row>
    <row r="15" spans="1:7" x14ac:dyDescent="0.25">
      <c r="A15" s="14">
        <v>8</v>
      </c>
      <c r="B15" s="153" t="str">
        <f>Consolidado!B11</f>
        <v>CONSORCIO TOOL</v>
      </c>
      <c r="C15" s="154" t="s">
        <v>232</v>
      </c>
      <c r="D15" s="136" t="s">
        <v>226</v>
      </c>
      <c r="E15" s="136" t="s">
        <v>101</v>
      </c>
      <c r="F15" s="136"/>
      <c r="G15" s="20">
        <f t="shared" si="0"/>
        <v>0.25</v>
      </c>
    </row>
    <row r="16" spans="1:7" x14ac:dyDescent="0.25">
      <c r="A16" s="14">
        <v>9</v>
      </c>
      <c r="B16" s="153" t="str">
        <f>Consolidado!B12</f>
        <v>CONSORCIO INTERVENTORÍA DE VIGILANCIA 2024</v>
      </c>
      <c r="C16" s="154" t="s">
        <v>70</v>
      </c>
      <c r="D16" s="136" t="s">
        <v>226</v>
      </c>
      <c r="E16" s="136" t="s">
        <v>101</v>
      </c>
      <c r="F16" s="136"/>
      <c r="G16" s="20">
        <f t="shared" si="0"/>
        <v>0.25</v>
      </c>
    </row>
    <row r="17" spans="1:7" x14ac:dyDescent="0.25">
      <c r="A17" s="14">
        <v>10</v>
      </c>
      <c r="B17" s="153" t="str">
        <f>Consolidado!B13</f>
        <v>Consultora Central S.A.S BIC</v>
      </c>
      <c r="C17" s="154" t="str">
        <f>B17</f>
        <v>Consultora Central S.A.S BIC</v>
      </c>
      <c r="D17" s="136" t="s">
        <v>226</v>
      </c>
      <c r="E17" s="136" t="s">
        <v>101</v>
      </c>
      <c r="F17" s="136"/>
      <c r="G17" s="20">
        <f t="shared" si="0"/>
        <v>0.25</v>
      </c>
    </row>
    <row r="18" spans="1:7" x14ac:dyDescent="0.25">
      <c r="A18" s="14">
        <v>11</v>
      </c>
      <c r="B18" s="153" t="str">
        <f>Consolidado!B14</f>
        <v>CONSORCIO INTERVENCIÓN Y SEGURIDAD DISTRITAL</v>
      </c>
      <c r="C18" s="154" t="s">
        <v>233</v>
      </c>
      <c r="D18" s="136" t="s">
        <v>226</v>
      </c>
      <c r="E18" s="136" t="s">
        <v>101</v>
      </c>
      <c r="F18" s="136"/>
      <c r="G18" s="20">
        <f t="shared" si="0"/>
        <v>0.25</v>
      </c>
    </row>
    <row r="19" spans="1:7" x14ac:dyDescent="0.25">
      <c r="A19" s="14">
        <v>12</v>
      </c>
      <c r="B19" s="153" t="str">
        <f>Consolidado!B15</f>
        <v>Strycon Energía: NIT 901.466.510-3</v>
      </c>
      <c r="C19" s="154" t="str">
        <f>B19</f>
        <v>Strycon Energía: NIT 901.466.510-3</v>
      </c>
      <c r="D19" s="136" t="s">
        <v>226</v>
      </c>
      <c r="E19" s="136" t="s">
        <v>101</v>
      </c>
      <c r="F19" s="136"/>
      <c r="G19" s="20">
        <f t="shared" si="0"/>
        <v>0.25</v>
      </c>
    </row>
    <row r="20" spans="1:7" ht="25.5" x14ac:dyDescent="0.25">
      <c r="A20" s="14">
        <v>13</v>
      </c>
      <c r="B20" s="153" t="str">
        <f>Consolidado!B16</f>
        <v>ALIANZA INTEGRAL DE PROYECTOS SAS BIC: NIT 901.506.750-7</v>
      </c>
      <c r="C20" s="154" t="s">
        <v>234</v>
      </c>
      <c r="D20" s="136" t="s">
        <v>226</v>
      </c>
      <c r="E20" s="136" t="s">
        <v>101</v>
      </c>
      <c r="F20" s="136"/>
      <c r="G20" s="20">
        <f t="shared" si="0"/>
        <v>0.25</v>
      </c>
    </row>
  </sheetData>
  <sheetProtection algorithmName="SHA-512" hashValue="cF2uDmWe5os6PzqeYpRiRtfkvpbU7TITXA5xoK6xsIqqwkgOZBliSv9ED6FYnWjiuzrDRuqFF79mnwG9amEhXg==" saltValue="c8Z72LCBq2h5pNs3C6Nb3w==" spinCount="100000" sheet="1" objects="1" scenarios="1"/>
  <mergeCells count="3">
    <mergeCell ref="A6:A7"/>
    <mergeCell ref="B6:B7"/>
    <mergeCell ref="C6:G6"/>
  </mergeCells>
  <conditionalFormatting sqref="A8:B20">
    <cfRule type="cellIs" dxfId="12" priority="3" operator="equal">
      <formula>"NO CUMPLE"</formula>
    </cfRule>
  </conditionalFormatting>
  <conditionalFormatting sqref="A1:D2 A3:E3 C6 A6:B7 A21:XFD1048576">
    <cfRule type="cellIs" dxfId="11" priority="7" operator="equal">
      <formula>"RECHAZADO"</formula>
    </cfRule>
  </conditionalFormatting>
  <conditionalFormatting sqref="A3:D3 F7:G20 A8:E20">
    <cfRule type="cellIs" dxfId="10" priority="6" operator="equal">
      <formula>"NO HABILITADO"</formula>
    </cfRule>
  </conditionalFormatting>
  <conditionalFormatting sqref="C6">
    <cfRule type="cellIs" dxfId="9" priority="8" operator="equal">
      <formula>"NO CUMPLE"</formula>
    </cfRule>
  </conditionalFormatting>
  <conditionalFormatting sqref="C7:E7">
    <cfRule type="cellIs" dxfId="8" priority="5" operator="equal">
      <formula>"NO HABILITADO"</formula>
    </cfRule>
  </conditionalFormatting>
  <conditionalFormatting sqref="H6:XFD20">
    <cfRule type="cellIs" dxfId="7" priority="4" operator="equal">
      <formula>"RECHAZADO"</formula>
    </cfRule>
  </conditionalFormatting>
  <dataValidations count="2">
    <dataValidation type="list" allowBlank="1" showInputMessage="1" showErrorMessage="1" sqref="E8:E20" xr:uid="{042E3B2D-B18E-4942-A38F-926B6B73FF76}">
      <formula1>$D$1:$D$2</formula1>
    </dataValidation>
    <dataValidation type="list" allowBlank="1" showInputMessage="1" showErrorMessage="1" sqref="D8:D20" xr:uid="{3EA041EB-8F20-46C7-9AA9-7582537A451E}">
      <formula1>$C$1:$C$3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5D0B9-37CD-4AA3-8E67-A71717FC4211}">
  <sheetPr>
    <tabColor rgb="FF00B0F0"/>
  </sheetPr>
  <dimension ref="A1:O22"/>
  <sheetViews>
    <sheetView tabSelected="1" topLeftCell="A3" zoomScale="70" zoomScaleNormal="70" workbookViewId="0">
      <selection activeCell="E12" sqref="E12"/>
    </sheetView>
  </sheetViews>
  <sheetFormatPr baseColWidth="10" defaultColWidth="11.42578125" defaultRowHeight="15" x14ac:dyDescent="0.25"/>
  <cols>
    <col min="1" max="1" width="16.140625" style="120" customWidth="1"/>
    <col min="2" max="2" width="77.42578125" style="120" customWidth="1"/>
    <col min="3" max="3" width="23" style="120" customWidth="1"/>
    <col min="4" max="4" width="18.7109375" style="120" customWidth="1"/>
    <col min="5" max="5" width="23" style="120" customWidth="1"/>
    <col min="6" max="6" width="21.42578125" style="120" customWidth="1"/>
    <col min="7" max="7" width="20" style="120" customWidth="1"/>
    <col min="8" max="8" width="20.7109375" style="120" customWidth="1"/>
    <col min="9" max="9" width="31.140625" style="120" bestFit="1" customWidth="1"/>
    <col min="10" max="10" width="24.140625" style="120" customWidth="1"/>
    <col min="11" max="14" width="20.7109375" style="120" customWidth="1"/>
    <col min="15" max="15" width="16" style="120" customWidth="1"/>
    <col min="16" max="16" width="22" style="120" customWidth="1"/>
    <col min="17" max="16384" width="11.42578125" style="120"/>
  </cols>
  <sheetData>
    <row r="1" spans="1:15" s="118" customFormat="1" ht="14.25" hidden="1" customHeight="1" x14ac:dyDescent="0.25">
      <c r="K1" s="118" t="s">
        <v>145</v>
      </c>
    </row>
    <row r="2" spans="1:15" s="22" customFormat="1" ht="14.25" hidden="1" customHeight="1" x14ac:dyDescent="0.25">
      <c r="K2" s="12"/>
      <c r="L2" s="291"/>
      <c r="M2" s="291"/>
      <c r="N2" s="291"/>
    </row>
    <row r="3" spans="1:15" s="119" customFormat="1" ht="86.25" customHeight="1" x14ac:dyDescent="0.25">
      <c r="A3" s="23" t="s">
        <v>14</v>
      </c>
      <c r="B3" s="121" t="s">
        <v>15</v>
      </c>
      <c r="C3" s="121" t="s">
        <v>235</v>
      </c>
      <c r="D3" s="121" t="s">
        <v>236</v>
      </c>
      <c r="E3" s="121" t="s">
        <v>237</v>
      </c>
      <c r="F3" s="121" t="s">
        <v>238</v>
      </c>
      <c r="G3" s="121" t="s">
        <v>239</v>
      </c>
      <c r="H3" s="121" t="s">
        <v>240</v>
      </c>
      <c r="I3" s="121" t="s">
        <v>241</v>
      </c>
      <c r="J3" s="121" t="s">
        <v>242</v>
      </c>
      <c r="K3" s="121" t="s">
        <v>243</v>
      </c>
      <c r="L3" s="121" t="s">
        <v>244</v>
      </c>
      <c r="M3" s="121" t="s">
        <v>245</v>
      </c>
      <c r="N3" s="121" t="s">
        <v>246</v>
      </c>
      <c r="O3" s="121" t="s">
        <v>247</v>
      </c>
    </row>
    <row r="4" spans="1:15" s="118" customFormat="1" ht="36.75" customHeight="1" x14ac:dyDescent="0.25">
      <c r="A4" s="24">
        <v>1</v>
      </c>
      <c r="B4" s="122" t="str">
        <f>'[1]Habilitante Económico'!B3</f>
        <v>ARES SECURITY LTDA: NIT 900.599.147-1</v>
      </c>
      <c r="C4" s="123" t="str">
        <f>'[1]Consolidado habilitante Técnico'!G3</f>
        <v>NO HABILITADO</v>
      </c>
      <c r="D4" s="123" t="str">
        <f>'[1]Habilitante Económico'!L3</f>
        <v>NO HABILITADO</v>
      </c>
      <c r="E4" s="123" t="s">
        <v>248</v>
      </c>
      <c r="F4" s="123" t="s">
        <v>248</v>
      </c>
      <c r="G4" s="176" t="str">
        <f>IF(COUNTIF(C4,"HABILITADO")+COUNTIF(D4,"HABILITADO")+COUNTIF(E4,"HABILITADO")+COUNTIF(F4,"HABILITADO")=4,"HABILITADO","RECHAZADO")</f>
        <v>RECHAZADO</v>
      </c>
      <c r="H4" s="171" t="str">
        <f>IF(G4="RECHAZADO","",VLOOKUP(B4,Hoja1!$B$2:$G$14,6,0))</f>
        <v/>
      </c>
      <c r="I4" s="125" t="str">
        <f>IF(G4="RECHAZADO","",'2. Exp. Adic.  Director Interv.'!M3)</f>
        <v/>
      </c>
      <c r="J4" s="124" t="str">
        <f>IF(G4="RECHAZADO","",'3. Exp. Adic.  Coord Operativo'!M3)</f>
        <v/>
      </c>
      <c r="K4" s="124" t="str">
        <f>IF(G4="RECHAZADO","",'4 Apoyo Industri Nacional'!E9)</f>
        <v/>
      </c>
      <c r="L4" s="124" t="str">
        <f>IF(G4="RECHAZADO","",'5. Personal Discapacidad'!I8)</f>
        <v/>
      </c>
      <c r="M4" s="124" t="str">
        <f>IF(G4="RECHAZADO","",'6. E.E de Mujeres'!J9)</f>
        <v/>
      </c>
      <c r="N4" s="124" t="str">
        <f>IF(G4="RECHAZADO","",'7. Calidad de Mipyme'!G8)</f>
        <v/>
      </c>
      <c r="O4" s="168">
        <f>SUM(H4:N4)</f>
        <v>0</v>
      </c>
    </row>
    <row r="5" spans="1:15" s="118" customFormat="1" ht="36.75" customHeight="1" x14ac:dyDescent="0.25">
      <c r="A5" s="25">
        <v>2</v>
      </c>
      <c r="B5" s="122" t="str">
        <f>'[1]Habilitante Económico'!B4</f>
        <v>GERMAN MONTENEGRO FAJARDO AUDITORES &amp; ASESORES S.A.S. BIC 900.335.334-8</v>
      </c>
      <c r="C5" s="123" t="str">
        <f>'[1]Consolidado habilitante Técnico'!G4</f>
        <v>HABILITADO</v>
      </c>
      <c r="D5" s="123" t="str">
        <f>'[1]Habilitante Económico'!L4</f>
        <v>HABILITADO</v>
      </c>
      <c r="E5" s="123" t="s">
        <v>249</v>
      </c>
      <c r="F5" s="123" t="s">
        <v>249</v>
      </c>
      <c r="G5" s="123" t="str">
        <f t="shared" ref="G5:G16" si="0">IF(COUNTIF(C5,"HABILITADO")+COUNTIF(D5,"HABILITADO")+COUNTIF(E5,"HABILITADO")+COUNTIF(F5,"HABILITADO")=4,"HABILITADO","NO HABILITADO")</f>
        <v>HABILITADO</v>
      </c>
      <c r="H5" s="171">
        <f>VLOOKUP(B5,Hoja1!$B$2:$G$14,6,0)</f>
        <v>29.833710650194533</v>
      </c>
      <c r="I5" s="125">
        <f>'2. Exp. Adic.  Director Interv.'!M8</f>
        <v>23</v>
      </c>
      <c r="J5" s="124">
        <f>'3. Exp. Adic.  Coord Operativo'!M8</f>
        <v>23</v>
      </c>
      <c r="K5" s="124">
        <f>'4 Apoyo Industri Nacional'!E10</f>
        <v>20</v>
      </c>
      <c r="L5" s="124">
        <f>'5. Personal Discapacidad'!I9</f>
        <v>1</v>
      </c>
      <c r="M5" s="124">
        <f>'6. E.E de Mujeres'!J10</f>
        <v>0.25</v>
      </c>
      <c r="N5" s="124">
        <f>'7. Calidad de Mipyme'!G9</f>
        <v>0.25</v>
      </c>
      <c r="O5" s="168">
        <f t="shared" ref="O5:O16" si="1">SUM(H5:N5)</f>
        <v>97.333710650194533</v>
      </c>
    </row>
    <row r="6" spans="1:15" s="118" customFormat="1" ht="36.75" customHeight="1" x14ac:dyDescent="0.25">
      <c r="A6" s="25">
        <v>3</v>
      </c>
      <c r="B6" s="122" t="str">
        <f>'[1]Habilitante Económico'!B5</f>
        <v>JFS CONSULTORES S.A.S. -BIC 901.542.814-2</v>
      </c>
      <c r="C6" s="123" t="str">
        <f>'[1]Consolidado habilitante Técnico'!G5</f>
        <v>HABILITADO</v>
      </c>
      <c r="D6" s="123" t="str">
        <f>'[1]Habilitante Económico'!L5</f>
        <v>HABILITADO</v>
      </c>
      <c r="E6" s="123" t="s">
        <v>249</v>
      </c>
      <c r="F6" s="123" t="s">
        <v>249</v>
      </c>
      <c r="G6" s="123" t="str">
        <f t="shared" si="0"/>
        <v>HABILITADO</v>
      </c>
      <c r="H6" s="171">
        <f>VLOOKUP(B6,Hoja1!$B$2:$G$14,6,0)</f>
        <v>29.63183085866936</v>
      </c>
      <c r="I6" s="125">
        <f>'2. Exp. Adic.  Director Interv.'!M13</f>
        <v>23</v>
      </c>
      <c r="J6" s="124">
        <f>'3. Exp. Adic.  Coord Operativo'!M13</f>
        <v>23</v>
      </c>
      <c r="K6" s="124">
        <f>'4 Apoyo Industri Nacional'!E11</f>
        <v>20</v>
      </c>
      <c r="L6" s="124">
        <f>'5. Personal Discapacidad'!I10</f>
        <v>1</v>
      </c>
      <c r="M6" s="124">
        <f>'6. E.E de Mujeres'!J11</f>
        <v>0.25</v>
      </c>
      <c r="N6" s="124">
        <f>'7. Calidad de Mipyme'!G10</f>
        <v>0.25</v>
      </c>
      <c r="O6" s="168">
        <f t="shared" si="1"/>
        <v>97.13183085866936</v>
      </c>
    </row>
    <row r="7" spans="1:15" s="118" customFormat="1" ht="36.75" customHeight="1" x14ac:dyDescent="0.25">
      <c r="A7" s="24">
        <v>4</v>
      </c>
      <c r="B7" s="122" t="str">
        <f>'[1]Habilitante Económico'!B6</f>
        <v>SCAIPROYEKTA S.A.S. BIC: NIT 901.476.977-1</v>
      </c>
      <c r="C7" s="123" t="str">
        <f>'[1]Consolidado habilitante Técnico'!G6</f>
        <v>HABILITADO</v>
      </c>
      <c r="D7" s="123" t="str">
        <f>'[1]Habilitante Económico'!L6</f>
        <v>HABILITADO</v>
      </c>
      <c r="E7" s="123" t="s">
        <v>249</v>
      </c>
      <c r="F7" s="123" t="s">
        <v>249</v>
      </c>
      <c r="G7" s="123" t="str">
        <f t="shared" si="0"/>
        <v>HABILITADO</v>
      </c>
      <c r="H7" s="171">
        <f>VLOOKUP(B7,Hoja1!$B$2:$G$14,6,0)</f>
        <v>19.136440924159594</v>
      </c>
      <c r="I7" s="125">
        <f>'2. Exp. Adic.  Director Interv.'!M18</f>
        <v>10</v>
      </c>
      <c r="J7" s="124">
        <f>'3. Exp. Adic.  Coord Operativo'!M18</f>
        <v>23</v>
      </c>
      <c r="K7" s="124">
        <f>'4 Apoyo Industri Nacional'!E12</f>
        <v>20</v>
      </c>
      <c r="L7" s="124">
        <f>'5. Personal Discapacidad'!I11</f>
        <v>1</v>
      </c>
      <c r="M7" s="124">
        <f>'6. E.E de Mujeres'!J12</f>
        <v>0.25</v>
      </c>
      <c r="N7" s="124">
        <f>'7. Calidad de Mipyme'!G11</f>
        <v>0.25</v>
      </c>
      <c r="O7" s="168">
        <f t="shared" si="1"/>
        <v>73.636440924159587</v>
      </c>
    </row>
    <row r="8" spans="1:15" s="118" customFormat="1" ht="36.75" customHeight="1" x14ac:dyDescent="0.25">
      <c r="A8" s="24">
        <v>5</v>
      </c>
      <c r="B8" s="122" t="str">
        <f>'[1]Habilitante Económico'!B7</f>
        <v xml:space="preserve">UT GREM-NOVAC </v>
      </c>
      <c r="C8" s="123" t="str">
        <f>'[1]Consolidado habilitante Técnico'!G7</f>
        <v>HABILITADO</v>
      </c>
      <c r="D8" s="123" t="str">
        <f>'[1]Habilitante Económico'!L7</f>
        <v>HABILITADO</v>
      </c>
      <c r="E8" s="123" t="s">
        <v>249</v>
      </c>
      <c r="F8" s="123" t="s">
        <v>249</v>
      </c>
      <c r="G8" s="123" t="str">
        <f t="shared" si="0"/>
        <v>HABILITADO</v>
      </c>
      <c r="H8" s="171">
        <f>VLOOKUP(B8,Hoja1!$B$2:$G$14,6,0)</f>
        <v>23.955069919334019</v>
      </c>
      <c r="I8" s="125">
        <f>'2. Exp. Adic.  Director Interv.'!M23</f>
        <v>23</v>
      </c>
      <c r="J8" s="124">
        <f>'3. Exp. Adic.  Coord Operativo'!M23</f>
        <v>23</v>
      </c>
      <c r="K8" s="124">
        <f>'4 Apoyo Industri Nacional'!E13</f>
        <v>20</v>
      </c>
      <c r="L8" s="124">
        <f>'5. Personal Discapacidad'!I12</f>
        <v>1</v>
      </c>
      <c r="M8" s="124">
        <f>'6. E.E de Mujeres'!J13</f>
        <v>0.25</v>
      </c>
      <c r="N8" s="124">
        <f>'7. Calidad de Mipyme'!G12</f>
        <v>0.25</v>
      </c>
      <c r="O8" s="168">
        <f t="shared" si="1"/>
        <v>91.455069919334022</v>
      </c>
    </row>
    <row r="9" spans="1:15" s="118" customFormat="1" ht="36.75" customHeight="1" x14ac:dyDescent="0.25">
      <c r="A9" s="24">
        <v>6</v>
      </c>
      <c r="B9" s="122" t="str">
        <f>'[1]Habilitante Económico'!B8</f>
        <v>SGA CONSULTORES S.A.S: NIT 901.549.833-4</v>
      </c>
      <c r="C9" s="123" t="str">
        <f>'[1]Consolidado habilitante Técnico'!G8</f>
        <v>NO HABILITADO</v>
      </c>
      <c r="D9" s="123" t="str">
        <f>'[1]Habilitante Económico'!L8</f>
        <v>HABILITADO</v>
      </c>
      <c r="E9" s="123" t="s">
        <v>249</v>
      </c>
      <c r="F9" s="123" t="s">
        <v>249</v>
      </c>
      <c r="G9" s="176" t="str">
        <f>IF(COUNTIF(C9,"HABILITADO")+COUNTIF(D9,"HABILITADO")+COUNTIF(E9,"HABILITADO")+COUNTIF(F9,"HABILITADO")=4,"HABILITADO","RECHAZADO")</f>
        <v>RECHAZADO</v>
      </c>
      <c r="H9" s="171" t="str">
        <f>IF(G9="RECHAZADO","",VLOOKUP(B9,Hoja1!$B$2:$G$14,6,0))</f>
        <v/>
      </c>
      <c r="I9" s="125" t="str">
        <f>IF(G9="RECHAZADO","",'2. Exp. Adic.  Director Interv.'!M28)</f>
        <v/>
      </c>
      <c r="J9" s="124" t="str">
        <f>IF(G9="RECHAZADO","",'3. Exp. Adic.  Coord Operativo'!M28)</f>
        <v/>
      </c>
      <c r="K9" s="124" t="str">
        <f>IF(G9="RECHAZADO","",'4 Apoyo Industri Nacional'!E14)</f>
        <v/>
      </c>
      <c r="L9" s="124" t="str">
        <f>IF(G9="RECHAZADO","",'5. Personal Discapacidad'!I13)</f>
        <v/>
      </c>
      <c r="M9" s="124" t="str">
        <f>IF(G9="RECHAZADO","",'6. E.E de Mujeres'!J14)</f>
        <v/>
      </c>
      <c r="N9" s="124" t="str">
        <f>IF(G9="RECHAZADO","",'7. Calidad de Mipyme'!G13)</f>
        <v/>
      </c>
      <c r="O9" s="168">
        <f t="shared" si="1"/>
        <v>0</v>
      </c>
    </row>
    <row r="10" spans="1:15" s="118" customFormat="1" ht="36.75" customHeight="1" x14ac:dyDescent="0.25">
      <c r="A10" s="24">
        <v>7</v>
      </c>
      <c r="B10" s="122" t="str">
        <f>'[1]Habilitante Económico'!B9</f>
        <v>SMARTY COLOMBIA SAS BIC: NIT 900249549-6</v>
      </c>
      <c r="C10" s="123" t="str">
        <f>'[1]Consolidado habilitante Técnico'!G9</f>
        <v>HABILITADO</v>
      </c>
      <c r="D10" s="123" t="str">
        <f>'[1]Habilitante Económico'!L9</f>
        <v>HABILITADO</v>
      </c>
      <c r="E10" s="123" t="s">
        <v>249</v>
      </c>
      <c r="F10" s="123" t="s">
        <v>249</v>
      </c>
      <c r="G10" s="123" t="str">
        <f t="shared" si="0"/>
        <v>HABILITADO</v>
      </c>
      <c r="H10" s="171">
        <f>VLOOKUP(B10,Hoja1!$B$2:$G$14,6,0)</f>
        <v>21.497239970919239</v>
      </c>
      <c r="I10" s="125">
        <f>'2. Exp. Adic.  Director Interv.'!M33</f>
        <v>23</v>
      </c>
      <c r="J10" s="124">
        <f>'3. Exp. Adic.  Coord Operativo'!M33</f>
        <v>23</v>
      </c>
      <c r="K10" s="124">
        <f>'4 Apoyo Industri Nacional'!E15</f>
        <v>20</v>
      </c>
      <c r="L10" s="124">
        <f>'5. Personal Discapacidad'!I14</f>
        <v>1</v>
      </c>
      <c r="M10" s="124">
        <f>'6. E.E de Mujeres'!J15</f>
        <v>0.25</v>
      </c>
      <c r="N10" s="124">
        <f>'7. Calidad de Mipyme'!G14</f>
        <v>0.25</v>
      </c>
      <c r="O10" s="168">
        <f>SUM(H10:N10)</f>
        <v>88.997239970919239</v>
      </c>
    </row>
    <row r="11" spans="1:15" s="118" customFormat="1" ht="36.75" customHeight="1" x14ac:dyDescent="0.25">
      <c r="A11" s="24">
        <v>8</v>
      </c>
      <c r="B11" s="122" t="str">
        <f>'[1]Habilitante Económico'!B10</f>
        <v>CONSORCIO TOOL</v>
      </c>
      <c r="C11" s="123" t="str">
        <f>'[1]Consolidado habilitante Técnico'!G10</f>
        <v>HABILITADO</v>
      </c>
      <c r="D11" s="123" t="str">
        <f>'[1]Habilitante Económico'!L10</f>
        <v>HABILITADO</v>
      </c>
      <c r="E11" s="123" t="s">
        <v>249</v>
      </c>
      <c r="F11" s="123" t="s">
        <v>249</v>
      </c>
      <c r="G11" s="123" t="str">
        <f t="shared" si="0"/>
        <v>HABILITADO</v>
      </c>
      <c r="H11" s="171">
        <f>VLOOKUP(B11,Hoja1!$B$2:$G$14,6,0)</f>
        <v>28.114918424710581</v>
      </c>
      <c r="I11" s="125">
        <f>'2. Exp. Adic.  Director Interv.'!M42</f>
        <v>23</v>
      </c>
      <c r="J11" s="124">
        <f>'3. Exp. Adic.  Coord Operativo'!M38</f>
        <v>23</v>
      </c>
      <c r="K11" s="124">
        <f>'4 Apoyo Industri Nacional'!E16</f>
        <v>20</v>
      </c>
      <c r="L11" s="124">
        <f>'5. Personal Discapacidad'!I15</f>
        <v>1</v>
      </c>
      <c r="M11" s="124">
        <f>'6. E.E de Mujeres'!J16</f>
        <v>0.25</v>
      </c>
      <c r="N11" s="124">
        <f>'7. Calidad de Mipyme'!G15</f>
        <v>0.25</v>
      </c>
      <c r="O11" s="168">
        <f t="shared" si="1"/>
        <v>95.614918424710581</v>
      </c>
    </row>
    <row r="12" spans="1:15" s="118" customFormat="1" ht="36.75" customHeight="1" x14ac:dyDescent="0.25">
      <c r="A12" s="24">
        <v>9</v>
      </c>
      <c r="B12" s="122" t="str">
        <f>'[1]Habilitante Económico'!B11</f>
        <v>CONSORCIO INTERVENTORÍA DE VIGILANCIA 2024</v>
      </c>
      <c r="C12" s="123" t="str">
        <f>'[1]Consolidado habilitante Técnico'!G11</f>
        <v>NO HABILITADO</v>
      </c>
      <c r="D12" s="123" t="str">
        <f>'[1]Habilitante Económico'!L11</f>
        <v>HABILITADO</v>
      </c>
      <c r="E12" s="123" t="s">
        <v>249</v>
      </c>
      <c r="F12" s="123" t="s">
        <v>249</v>
      </c>
      <c r="G12" s="176" t="str">
        <f>IF(COUNTIF(C12,"HABILITADO")+COUNTIF(D12,"HABILITADO")+COUNTIF(E12,"HABILITADO")+COUNTIF(F12,"HABILITADO")=4,"HABILITADO","RECHAZADO")</f>
        <v>RECHAZADO</v>
      </c>
      <c r="H12" s="171" t="str">
        <f>IF(G12="RECHAZADO","",VLOOKUP(B12,Hoja1!$B$2:$G$14,6,0))</f>
        <v/>
      </c>
      <c r="I12" s="125" t="str">
        <f>IF(G12="RECHAZADO","",'2. Exp. Adic.  Director Interv.'!M47)</f>
        <v/>
      </c>
      <c r="J12" s="124" t="str">
        <f>IF(G12="RECHAZADO","",'3. Exp. Adic.  Coord Operativo'!M43)</f>
        <v/>
      </c>
      <c r="K12" s="124" t="str">
        <f>IF(G12="RECHAZADO","",'4 Apoyo Industri Nacional'!E17)</f>
        <v/>
      </c>
      <c r="L12" s="124" t="str">
        <f>IF(G12="RECHAZADO","",'5. Personal Discapacidad'!I16)</f>
        <v/>
      </c>
      <c r="M12" s="124" t="str">
        <f>IF(G12="RECHAZADO","",'6. E.E de Mujeres'!J17)</f>
        <v/>
      </c>
      <c r="N12" s="124" t="str">
        <f>IF(G12="RECHAZADO","",'7. Calidad de Mipyme'!G16)</f>
        <v/>
      </c>
      <c r="O12" s="168">
        <f t="shared" si="1"/>
        <v>0</v>
      </c>
    </row>
    <row r="13" spans="1:15" s="118" customFormat="1" ht="36.75" customHeight="1" x14ac:dyDescent="0.25">
      <c r="A13" s="24">
        <v>10</v>
      </c>
      <c r="B13" s="122" t="str">
        <f>'[1]Habilitante Económico'!B12</f>
        <v>Consultora Central S.A.S BIC</v>
      </c>
      <c r="C13" s="123" t="str">
        <f>'[1]Consolidado habilitante Técnico'!G12</f>
        <v>HABILITADO</v>
      </c>
      <c r="D13" s="123" t="str">
        <f>'[1]Habilitante Económico'!L12</f>
        <v>HABILITADO</v>
      </c>
      <c r="E13" s="123" t="s">
        <v>249</v>
      </c>
      <c r="F13" s="123" t="s">
        <v>249</v>
      </c>
      <c r="G13" s="123" t="str">
        <f t="shared" si="0"/>
        <v>HABILITADO</v>
      </c>
      <c r="H13" s="171">
        <f>VLOOKUP(B13,Hoja1!$B$2:$G$14,6,0)</f>
        <v>26.874154434171345</v>
      </c>
      <c r="I13" s="125">
        <f>'2. Exp. Adic.  Director Interv.'!M52</f>
        <v>23</v>
      </c>
      <c r="J13" s="124">
        <f>'3. Exp. Adic.  Coord Operativo'!M48</f>
        <v>23</v>
      </c>
      <c r="K13" s="124">
        <f>'4 Apoyo Industri Nacional'!E18</f>
        <v>20</v>
      </c>
      <c r="L13" s="124">
        <f>'5. Personal Discapacidad'!I17</f>
        <v>1</v>
      </c>
      <c r="M13" s="124">
        <f>'6. E.E de Mujeres'!J18</f>
        <v>0.25</v>
      </c>
      <c r="N13" s="124">
        <f>'7. Calidad de Mipyme'!G17</f>
        <v>0.25</v>
      </c>
      <c r="O13" s="168">
        <f>SUM(H13:N13)</f>
        <v>94.374154434171345</v>
      </c>
    </row>
    <row r="14" spans="1:15" ht="36.75" customHeight="1" x14ac:dyDescent="0.25">
      <c r="A14" s="24">
        <v>11</v>
      </c>
      <c r="B14" s="122" t="str">
        <f>'[1]Habilitante Económico'!B13</f>
        <v>CONSORCIO INTERVENCIÓN Y SEGURIDAD DISTRITAL</v>
      </c>
      <c r="C14" s="123" t="str">
        <f>'[1]Consolidado habilitante Técnico'!G13</f>
        <v>HABILITADO</v>
      </c>
      <c r="D14" s="123" t="str">
        <f>'[1]Habilitante Económico'!L13</f>
        <v>HABILITADO</v>
      </c>
      <c r="E14" s="123" t="s">
        <v>249</v>
      </c>
      <c r="F14" s="123" t="s">
        <v>249</v>
      </c>
      <c r="G14" s="123" t="str">
        <f t="shared" si="0"/>
        <v>HABILITADO</v>
      </c>
      <c r="H14" s="171">
        <f>VLOOKUP(B14,Hoja1!$B$2:$G$14,6,0)</f>
        <v>30.540404739240309</v>
      </c>
      <c r="I14" s="125">
        <f>'2. Exp. Adic.  Director Interv.'!M57</f>
        <v>23</v>
      </c>
      <c r="J14" s="124">
        <f>'3. Exp. Adic.  Coord Operativo'!M53</f>
        <v>23</v>
      </c>
      <c r="K14" s="124">
        <f>'4 Apoyo Industri Nacional'!E19</f>
        <v>20</v>
      </c>
      <c r="L14" s="124">
        <f>'5. Personal Discapacidad'!I18</f>
        <v>1</v>
      </c>
      <c r="M14" s="124">
        <f>'6. E.E de Mujeres'!J19</f>
        <v>0.25</v>
      </c>
      <c r="N14" s="124">
        <f>'7. Calidad de Mipyme'!G18</f>
        <v>0.25</v>
      </c>
      <c r="O14" s="168">
        <f t="shared" si="1"/>
        <v>98.040404739240302</v>
      </c>
    </row>
    <row r="15" spans="1:15" ht="36.75" customHeight="1" x14ac:dyDescent="0.25">
      <c r="A15" s="25">
        <v>12</v>
      </c>
      <c r="B15" s="122" t="str">
        <f>'[1]Habilitante Económico'!B14</f>
        <v>Strycon Energía: NIT 901.466.510-3</v>
      </c>
      <c r="C15" s="123" t="str">
        <f>'[1]Consolidado habilitante Técnico'!G14</f>
        <v>NO HABILITADO</v>
      </c>
      <c r="D15" s="123" t="str">
        <f>'[1]Habilitante Económico'!L14</f>
        <v>HABILITADO</v>
      </c>
      <c r="E15" s="123" t="s">
        <v>249</v>
      </c>
      <c r="F15" s="123" t="s">
        <v>249</v>
      </c>
      <c r="G15" s="176" t="str">
        <f>IF(COUNTIF(C15,"HABILITADO")+COUNTIF(D15,"HABILITADO")+COUNTIF(E15,"HABILITADO")+COUNTIF(F15,"HABILITADO")=4,"HABILITADO","RECHAZADO")</f>
        <v>RECHAZADO</v>
      </c>
      <c r="H15" s="171" t="str">
        <f>IF(G15="RECHAZADO","",VLOOKUP(B15,Hoja1!$B$2:$G$14,6,0))</f>
        <v/>
      </c>
      <c r="I15" s="125" t="str">
        <f>IF(G12="RECHAZADO","",'2. Exp. Adic.  Director Interv.'!M62)</f>
        <v/>
      </c>
      <c r="J15" s="124" t="str">
        <f>IF(G12="RECHAZADO","",'3. Exp. Adic.  Coord Operativo'!M58)</f>
        <v/>
      </c>
      <c r="K15" s="124" t="str">
        <f>IF(G12="RECHAZADO","",'4 Apoyo Industri Nacional'!E20)</f>
        <v/>
      </c>
      <c r="L15" s="124" t="str">
        <f>IF(G12="RECHAZADO","",'5. Personal Discapacidad'!I19)</f>
        <v/>
      </c>
      <c r="M15" s="124" t="str">
        <f>IF(G12="RECHAZADO","",'6. E.E de Mujeres'!J20)</f>
        <v/>
      </c>
      <c r="N15" s="124" t="str">
        <f>IF(G12="RECHAZADO","",'7. Calidad de Mipyme'!G19)</f>
        <v/>
      </c>
      <c r="O15" s="168">
        <f t="shared" si="1"/>
        <v>0</v>
      </c>
    </row>
    <row r="16" spans="1:15" ht="36.75" customHeight="1" x14ac:dyDescent="0.25">
      <c r="A16" s="25">
        <v>13</v>
      </c>
      <c r="B16" s="122" t="str">
        <f>'[1]Habilitante Económico'!B15</f>
        <v>ALIANZA INTEGRAL DE PROYECTOS SAS BIC: NIT 901.506.750-7</v>
      </c>
      <c r="C16" s="123" t="str">
        <f>'[1]Consolidado habilitante Técnico'!G15</f>
        <v>HABILITADO</v>
      </c>
      <c r="D16" s="123" t="str">
        <f>'[1]Habilitante Económico'!L15</f>
        <v>HABILITADO</v>
      </c>
      <c r="E16" s="123" t="s">
        <v>249</v>
      </c>
      <c r="F16" s="123" t="s">
        <v>249</v>
      </c>
      <c r="G16" s="123" t="str">
        <f t="shared" si="0"/>
        <v>HABILITADO</v>
      </c>
      <c r="H16" s="171">
        <f>VLOOKUP(B16,Hoja1!$B$2:$G$14,6,0)</f>
        <v>30.801273320134097</v>
      </c>
      <c r="I16" s="125">
        <f>'2. Exp. Adic.  Director Interv.'!M67</f>
        <v>23</v>
      </c>
      <c r="J16" s="124">
        <f>'3. Exp. Adic.  Coord Operativo'!M63</f>
        <v>23</v>
      </c>
      <c r="K16" s="124">
        <f>'4 Apoyo Industri Nacional'!E21</f>
        <v>20</v>
      </c>
      <c r="L16" s="124">
        <f>'5. Personal Discapacidad'!I20</f>
        <v>1</v>
      </c>
      <c r="M16" s="124">
        <f>'6. E.E de Mujeres'!J21</f>
        <v>0.25</v>
      </c>
      <c r="N16" s="124">
        <f>'7. Calidad de Mipyme'!G20</f>
        <v>0.25</v>
      </c>
      <c r="O16" s="168">
        <f t="shared" si="1"/>
        <v>98.301273320134101</v>
      </c>
    </row>
    <row r="18" spans="3:15" x14ac:dyDescent="0.25">
      <c r="C18" s="292"/>
      <c r="D18" s="292"/>
      <c r="E18" s="292"/>
      <c r="F18" s="292"/>
      <c r="G18" s="292"/>
      <c r="H18" s="292"/>
      <c r="I18" s="292"/>
      <c r="J18" s="292"/>
      <c r="K18" s="292"/>
      <c r="L18" s="292"/>
      <c r="M18" s="292"/>
      <c r="N18" s="292"/>
      <c r="O18" s="292"/>
    </row>
    <row r="22" spans="3:15" x14ac:dyDescent="0.25">
      <c r="O22" s="155"/>
    </row>
  </sheetData>
  <autoFilter ref="A3:O3" xr:uid="{06DCDEE8-5DF9-4FC3-9677-51B1551B94EC}"/>
  <mergeCells count="2">
    <mergeCell ref="L2:N2"/>
    <mergeCell ref="C18:O18"/>
  </mergeCells>
  <conditionalFormatting sqref="A4:F16">
    <cfRule type="cellIs" dxfId="6" priority="6" operator="equal">
      <formula>"NO HABILITADO"</formula>
    </cfRule>
  </conditionalFormatting>
  <conditionalFormatting sqref="A2:J2 O2:XFD2 A3:XFD3 P4:XFD13">
    <cfRule type="cellIs" dxfId="5" priority="7" operator="equal">
      <formula>"NO HABILITADO"</formula>
    </cfRule>
  </conditionalFormatting>
  <conditionalFormatting sqref="G4:G16">
    <cfRule type="expression" dxfId="4" priority="1">
      <formula>G4="NO HABILITADO"</formula>
    </cfRule>
  </conditionalFormatting>
  <conditionalFormatting sqref="O4:O16">
    <cfRule type="expression" dxfId="3" priority="2">
      <formula>G4="HABILITADO"</formula>
    </cfRule>
    <cfRule type="expression" dxfId="2" priority="3">
      <formula>G4="NO HABILITADO"</formula>
    </cfRule>
  </conditionalFormatting>
  <pageMargins left="0.7" right="0.7" top="0.75" bottom="0.75" header="0.3" footer="0.3"/>
  <ignoredErrors>
    <ignoredError sqref="D4 O5:O9 O11:O12 C5:D9 C11:D16 D10 O14:O16" unlockedFormula="1"/>
  </ignoredErrors>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E7477-364B-4CE5-9E86-5DE0F5DCEE3B}">
  <dimension ref="A1:J17"/>
  <sheetViews>
    <sheetView workbookViewId="0">
      <selection activeCell="F20" sqref="F20:F21"/>
    </sheetView>
  </sheetViews>
  <sheetFormatPr baseColWidth="10" defaultColWidth="11.42578125" defaultRowHeight="15" x14ac:dyDescent="0.25"/>
  <cols>
    <col min="2" max="2" width="78.7109375" bestFit="1" customWidth="1"/>
    <col min="3" max="3" width="14.140625" customWidth="1"/>
    <col min="4" max="4" width="35.7109375" bestFit="1" customWidth="1"/>
    <col min="5" max="5" width="25" customWidth="1"/>
    <col min="6" max="6" width="25.5703125" customWidth="1"/>
    <col min="7" max="7" width="20.28515625" customWidth="1"/>
    <col min="10" max="10" width="11.42578125" hidden="1" customWidth="1"/>
  </cols>
  <sheetData>
    <row r="1" spans="1:10" ht="63" customHeight="1" x14ac:dyDescent="0.25">
      <c r="A1" s="161" t="s">
        <v>250</v>
      </c>
      <c r="B1" s="161" t="s">
        <v>15</v>
      </c>
      <c r="C1" s="161" t="s">
        <v>251</v>
      </c>
      <c r="D1" s="161" t="s">
        <v>252</v>
      </c>
      <c r="E1" s="161" t="s">
        <v>239</v>
      </c>
      <c r="F1" s="161" t="s">
        <v>252</v>
      </c>
      <c r="G1" s="161" t="s">
        <v>253</v>
      </c>
    </row>
    <row r="2" spans="1:10" ht="15" customHeight="1" x14ac:dyDescent="0.25">
      <c r="A2" s="157">
        <v>1</v>
      </c>
      <c r="B2" s="169" t="str">
        <f>Consolidado!B4</f>
        <v>ARES SECURITY LTDA: NIT 900.599.147-1</v>
      </c>
      <c r="C2" s="158">
        <v>1</v>
      </c>
      <c r="D2" s="159" t="str" cm="1">
        <f t="array" aca="1" ref="D2" ca="1">INDIRECT("1.EXP_ADICIONAL_PROP!AA"&amp;J2)</f>
        <v/>
      </c>
      <c r="E2" s="160" t="str">
        <f>Consolidado!G4</f>
        <v>RECHAZADO</v>
      </c>
      <c r="F2" s="159" t="str">
        <f>IF(E2="HABILITADO",D2,"")</f>
        <v/>
      </c>
      <c r="G2" s="170">
        <f>IFERROR(VLOOKUP(B2,[2]Asignación_Puntaje!$B$15:$E$23,4,0),0)</f>
        <v>0</v>
      </c>
      <c r="J2">
        <v>2</v>
      </c>
    </row>
    <row r="3" spans="1:10" ht="15" customHeight="1" x14ac:dyDescent="0.25">
      <c r="A3" s="157">
        <v>2</v>
      </c>
      <c r="B3" s="169" t="str">
        <f>Consolidado!B5</f>
        <v>GERMAN MONTENEGRO FAJARDO AUDITORES &amp; ASESORES S.A.S. BIC 900.335.334-8</v>
      </c>
      <c r="C3" s="158">
        <v>2</v>
      </c>
      <c r="D3" s="159" cm="1">
        <f t="array" aca="1" ref="D3" ca="1">INDIRECT("1.EXP_ADICIONAL_PROP!AA"&amp;J3)</f>
        <v>1042.31</v>
      </c>
      <c r="E3" s="160" t="str">
        <f>Consolidado!G5</f>
        <v>HABILITADO</v>
      </c>
      <c r="F3" s="159">
        <f t="shared" ref="F3:F14" ca="1" si="0">IF(E3="HABILITADO",D3,"")</f>
        <v>1042.31</v>
      </c>
      <c r="G3" s="170">
        <f>IFERROR(VLOOKUP(B3,[2]Asignación_Puntaje!$B$15:$E$23,4,0),0)</f>
        <v>29.833710650194533</v>
      </c>
      <c r="J3">
        <v>6</v>
      </c>
    </row>
    <row r="4" spans="1:10" ht="15" customHeight="1" x14ac:dyDescent="0.25">
      <c r="A4" s="157">
        <v>3</v>
      </c>
      <c r="B4" s="169" t="str">
        <f>Consolidado!B6</f>
        <v>JFS CONSULTORES S.A.S. -BIC 901.542.814-2</v>
      </c>
      <c r="C4" s="158">
        <v>3</v>
      </c>
      <c r="D4" s="159" cm="1">
        <f t="array" aca="1" ref="D4" ca="1">INDIRECT("1.EXP_ADICIONAL_PROP!AA"&amp;J4)</f>
        <v>1235.6691666666668</v>
      </c>
      <c r="E4" s="160" t="str">
        <f>Consolidado!G6</f>
        <v>HABILITADO</v>
      </c>
      <c r="F4" s="159">
        <f t="shared" ca="1" si="0"/>
        <v>1235.6691666666668</v>
      </c>
      <c r="G4" s="170">
        <f>IFERROR(VLOOKUP(B4,[2]Asignación_Puntaje!$B$15:$E$23,4,0),0)</f>
        <v>29.63183085866936</v>
      </c>
      <c r="J4">
        <v>10</v>
      </c>
    </row>
    <row r="5" spans="1:10" ht="15" customHeight="1" x14ac:dyDescent="0.25">
      <c r="A5" s="157">
        <v>4</v>
      </c>
      <c r="B5" s="169" t="str">
        <f>Consolidado!B7</f>
        <v>SCAIPROYEKTA S.A.S. BIC: NIT 901.476.977-1</v>
      </c>
      <c r="C5" s="158">
        <v>4</v>
      </c>
      <c r="D5" s="159" cm="1">
        <f t="array" aca="1" ref="D5" ca="1">INDIRECT("1.EXP_ADICIONAL_PROP!AA"&amp;J5)</f>
        <v>1602.3500000000001</v>
      </c>
      <c r="E5" s="160" t="str">
        <f>Consolidado!G7</f>
        <v>HABILITADO</v>
      </c>
      <c r="F5" s="159">
        <f t="shared" ca="1" si="0"/>
        <v>1602.3500000000001</v>
      </c>
      <c r="G5" s="170">
        <f>IFERROR(VLOOKUP(B5,[2]Asignación_Puntaje!$B$15:$E$23,4,0),0)</f>
        <v>19.136440924159594</v>
      </c>
      <c r="J5">
        <v>14</v>
      </c>
    </row>
    <row r="6" spans="1:10" ht="15" customHeight="1" x14ac:dyDescent="0.25">
      <c r="A6" s="157">
        <v>5</v>
      </c>
      <c r="B6" s="169" t="str">
        <f>Consolidado!B8</f>
        <v xml:space="preserve">UT GREM-NOVAC </v>
      </c>
      <c r="C6" s="158">
        <v>5</v>
      </c>
      <c r="D6" s="159" cm="1">
        <f t="array" aca="1" ref="D6" ca="1">INDIRECT("1.EXP_ADICIONAL_PROP!AA"&amp;J6)</f>
        <v>1434</v>
      </c>
      <c r="E6" s="160" t="str">
        <f>Consolidado!G8</f>
        <v>HABILITADO</v>
      </c>
      <c r="F6" s="159">
        <f t="shared" ca="1" si="0"/>
        <v>1434</v>
      </c>
      <c r="G6" s="170">
        <f>IFERROR(VLOOKUP(B6,[2]Asignación_Puntaje!$B$15:$E$23,4,0),0)</f>
        <v>23.955069919334019</v>
      </c>
      <c r="J6">
        <v>18</v>
      </c>
    </row>
    <row r="7" spans="1:10" ht="15" customHeight="1" x14ac:dyDescent="0.25">
      <c r="A7" s="157">
        <v>6</v>
      </c>
      <c r="B7" s="169" t="str">
        <f>Consolidado!B9</f>
        <v>SGA CONSULTORES S.A.S: NIT 901.549.833-4</v>
      </c>
      <c r="C7" s="158">
        <v>6</v>
      </c>
      <c r="D7" s="159" cm="1">
        <f t="array" aca="1" ref="D7" ca="1">INDIRECT("1.EXP_ADICIONAL_PROP!AA"&amp;J7)</f>
        <v>1250.6199999999999</v>
      </c>
      <c r="E7" s="160" t="str">
        <f>Consolidado!G9</f>
        <v>RECHAZADO</v>
      </c>
      <c r="F7" s="159" t="str">
        <f t="shared" si="0"/>
        <v/>
      </c>
      <c r="G7" s="170">
        <f>IFERROR(VLOOKUP(B7,[2]Asignación_Puntaje!$B$15:$E$23,4,0),0)</f>
        <v>0</v>
      </c>
      <c r="J7">
        <v>22</v>
      </c>
    </row>
    <row r="8" spans="1:10" ht="15" customHeight="1" x14ac:dyDescent="0.25">
      <c r="A8" s="157">
        <v>7</v>
      </c>
      <c r="B8" s="169" t="str">
        <f>Consolidado!B10</f>
        <v>SMARTY COLOMBIA SAS BIC: NIT 900249549-6</v>
      </c>
      <c r="C8" s="158">
        <v>7</v>
      </c>
      <c r="D8" s="159" cm="1">
        <f t="array" aca="1" ref="D8" ca="1">INDIRECT("1.EXP_ADICIONAL_PROP!AA"&amp;J8)</f>
        <v>1519.8700000000001</v>
      </c>
      <c r="E8" s="160" t="str">
        <f>Consolidado!G10</f>
        <v>HABILITADO</v>
      </c>
      <c r="F8" s="159">
        <f t="shared" ca="1" si="0"/>
        <v>1519.8700000000001</v>
      </c>
      <c r="G8" s="170">
        <f>IFERROR(VLOOKUP(B8,[2]Asignación_Puntaje!$B$15:$E$23,4,0),0)</f>
        <v>21.497239970919239</v>
      </c>
      <c r="J8">
        <v>26</v>
      </c>
    </row>
    <row r="9" spans="1:10" ht="15" customHeight="1" x14ac:dyDescent="0.25">
      <c r="A9" s="157">
        <v>8</v>
      </c>
      <c r="B9" s="169" t="str">
        <f>Consolidado!B11</f>
        <v>CONSORCIO TOOL</v>
      </c>
      <c r="C9" s="158">
        <v>8</v>
      </c>
      <c r="D9" s="159" cm="1">
        <f t="array" aca="1" ref="D9" ca="1">INDIRECT("1.EXP_ADICIONAL_PROP!AA"&amp;J9)</f>
        <v>982.2600000000001</v>
      </c>
      <c r="E9" s="160" t="str">
        <f>Consolidado!G11</f>
        <v>HABILITADO</v>
      </c>
      <c r="F9" s="159">
        <f t="shared" ca="1" si="0"/>
        <v>982.2600000000001</v>
      </c>
      <c r="G9" s="170">
        <f>IFERROR(VLOOKUP(B9,[2]Asignación_Puntaje!$B$15:$E$23,4,0),0)</f>
        <v>28.114918424710581</v>
      </c>
      <c r="J9">
        <v>30</v>
      </c>
    </row>
    <row r="10" spans="1:10" ht="15" customHeight="1" x14ac:dyDescent="0.25">
      <c r="A10" s="157">
        <v>9</v>
      </c>
      <c r="B10" s="169" t="str">
        <f>Consolidado!B12</f>
        <v>CONSORCIO INTERVENTORÍA DE VIGILANCIA 2024</v>
      </c>
      <c r="C10" s="158">
        <v>9</v>
      </c>
      <c r="D10" s="159" cm="1">
        <f t="array" aca="1" ref="D10" ca="1">INDIRECT("1.EXP_ADICIONAL_PROP!AA"&amp;J10)</f>
        <v>1057</v>
      </c>
      <c r="E10" s="160" t="str">
        <f>Consolidado!G12</f>
        <v>RECHAZADO</v>
      </c>
      <c r="F10" s="159" t="str">
        <f t="shared" si="0"/>
        <v/>
      </c>
      <c r="G10" s="170">
        <f>IFERROR(VLOOKUP(B10,[2]Asignación_Puntaje!$B$15:$E$23,4,0),0)</f>
        <v>0</v>
      </c>
      <c r="J10">
        <v>34</v>
      </c>
    </row>
    <row r="11" spans="1:10" ht="15" customHeight="1" x14ac:dyDescent="0.25">
      <c r="A11" s="157">
        <v>10</v>
      </c>
      <c r="B11" s="169" t="str">
        <f>Consolidado!B13</f>
        <v>Consultora Central S.A.S BIC</v>
      </c>
      <c r="C11" s="158">
        <v>10</v>
      </c>
      <c r="D11" s="159" cm="1">
        <f t="array" aca="1" ref="D11" ca="1">INDIRECT("1.EXP_ADICIONAL_PROP!AA"&amp;J11)</f>
        <v>1332.0149999999999</v>
      </c>
      <c r="E11" s="160" t="str">
        <f>Consolidado!G13</f>
        <v>HABILITADO</v>
      </c>
      <c r="F11" s="159">
        <f t="shared" ca="1" si="0"/>
        <v>1332.0149999999999</v>
      </c>
      <c r="G11" s="172">
        <f>IFERROR(VLOOKUP(B11,[2]Asignación_Puntaje!$B$15:$E$23,4,0),0)</f>
        <v>26.874154434171345</v>
      </c>
      <c r="J11">
        <v>38</v>
      </c>
    </row>
    <row r="12" spans="1:10" ht="15" customHeight="1" x14ac:dyDescent="0.25">
      <c r="A12" s="157">
        <v>11</v>
      </c>
      <c r="B12" s="169" t="str">
        <f>Consolidado!B14</f>
        <v>CONSORCIO INTERVENCIÓN Y SEGURIDAD DISTRITAL</v>
      </c>
      <c r="C12" s="158">
        <v>11</v>
      </c>
      <c r="D12" s="159" cm="1">
        <f t="array" aca="1" ref="D12" ca="1">INDIRECT("1.EXP_ADICIONAL_PROP!AA"&amp;J12)</f>
        <v>1067</v>
      </c>
      <c r="E12" s="160" t="str">
        <f>Consolidado!G14</f>
        <v>HABILITADO</v>
      </c>
      <c r="F12" s="159">
        <f t="shared" ca="1" si="0"/>
        <v>1067</v>
      </c>
      <c r="G12" s="172">
        <f>IFERROR(VLOOKUP(B12,[2]Asignación_Puntaje!$B$15:$E$23,4,0),0)</f>
        <v>30.540404739240309</v>
      </c>
      <c r="J12">
        <v>42</v>
      </c>
    </row>
    <row r="13" spans="1:10" ht="15" customHeight="1" x14ac:dyDescent="0.25">
      <c r="A13" s="157">
        <v>12</v>
      </c>
      <c r="B13" s="169" t="str">
        <f>Consolidado!B15</f>
        <v>Strycon Energía: NIT 901.466.510-3</v>
      </c>
      <c r="C13" s="158">
        <v>12</v>
      </c>
      <c r="D13" s="159" cm="1">
        <f t="array" aca="1" ref="D13" ca="1">INDIRECT("1.EXP_ADICIONAL_PROP!AA"&amp;J13)</f>
        <v>861.42</v>
      </c>
      <c r="E13" s="160" t="str">
        <f>Consolidado!G15</f>
        <v>RECHAZADO</v>
      </c>
      <c r="F13" s="159" t="str">
        <f t="shared" si="0"/>
        <v/>
      </c>
      <c r="G13" s="170">
        <f>IFERROR(VLOOKUP(B13,[2]Asignación_Puntaje!$B$15:$E$23,4,0),0)</f>
        <v>0</v>
      </c>
      <c r="J13">
        <v>46</v>
      </c>
    </row>
    <row r="14" spans="1:10" x14ac:dyDescent="0.25">
      <c r="A14" s="157">
        <v>13</v>
      </c>
      <c r="B14" s="169" t="str">
        <f>Consolidado!B16</f>
        <v>ALIANZA INTEGRAL DE PROYECTOS SAS BIC: NIT 901.506.750-7</v>
      </c>
      <c r="C14" s="158">
        <v>13</v>
      </c>
      <c r="D14" s="159" cm="1">
        <f t="array" aca="1" ref="D14" ca="1">INDIRECT("1.EXP_ADICIONAL_PROP!AA"&amp;J14)</f>
        <v>1076.1140499999999</v>
      </c>
      <c r="E14" s="160" t="str">
        <f>Consolidado!G16</f>
        <v>HABILITADO</v>
      </c>
      <c r="F14" s="159">
        <f t="shared" ca="1" si="0"/>
        <v>1076.1140499999999</v>
      </c>
      <c r="G14" s="170">
        <f>IFERROR(VLOOKUP(B14,[2]Asignación_Puntaje!$B$15:$E$23,4,0),0)</f>
        <v>30.801273320134097</v>
      </c>
      <c r="J14">
        <v>50</v>
      </c>
    </row>
    <row r="17" spans="4:4" x14ac:dyDescent="0.25">
      <c r="D17" s="156"/>
    </row>
  </sheetData>
  <autoFilter ref="A1:F14" xr:uid="{A62E7477-364B-4CE5-9E86-5DE0F5DCEE3B}"/>
  <conditionalFormatting sqref="E2:E14">
    <cfRule type="cellIs" dxfId="1" priority="1" operator="equal">
      <formula>"NO HABILITADO"</formula>
    </cfRule>
    <cfRule type="cellIs" dxfId="0" priority="2" operator="equal">
      <formula>"NO CUMPLE"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LISTADO</vt:lpstr>
      <vt:lpstr>1.EXP_ADICIONAL_PROP</vt:lpstr>
      <vt:lpstr>2. Exp. Adic.  Director Interv.</vt:lpstr>
      <vt:lpstr>3. Exp. Adic.  Coord Operativo</vt:lpstr>
      <vt:lpstr>4 Apoyo Industri Nacional</vt:lpstr>
      <vt:lpstr>5. Personal Discapacidad</vt:lpstr>
      <vt:lpstr>6. E.E de Mujeres</vt:lpstr>
      <vt:lpstr>7. Calidad de Mipyme</vt:lpstr>
      <vt:lpstr>Consolidado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CAMILO ANDRES VELASCO TRIANA</dc:creator>
  <cp:keywords/>
  <dc:description/>
  <cp:lastModifiedBy>CAMILO ANDRES VELASCO TRIANA</cp:lastModifiedBy>
  <cp:revision/>
  <dcterms:created xsi:type="dcterms:W3CDTF">2024-10-06T21:17:18Z</dcterms:created>
  <dcterms:modified xsi:type="dcterms:W3CDTF">2024-11-07T01:08:21Z</dcterms:modified>
  <cp:category/>
  <cp:contentStatus/>
</cp:coreProperties>
</file>