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defaultThemeVersion="166925"/>
  <mc:AlternateContent xmlns:mc="http://schemas.openxmlformats.org/markup-compatibility/2006">
    <mc:Choice Requires="x15">
      <x15ac:absPath xmlns:x15ac="http://schemas.microsoft.com/office/spreadsheetml/2010/11/ac" url="C:\Users\sergi\Downloads\"/>
    </mc:Choice>
  </mc:AlternateContent>
  <xr:revisionPtr revIDLastSave="342" documentId="8_{E9EA0953-605E-40FE-9690-B920C66E37B1}" xr6:coauthVersionLast="47" xr6:coauthVersionMax="47" xr10:uidLastSave="{354209C7-6BF6-44F6-B200-6CA099950007}"/>
  <bookViews>
    <workbookView xWindow="-108" yWindow="-108" windowWidth="23256" windowHeight="13896" tabRatio="644" firstSheet="2" activeTab="1" xr2:uid="{00000000-000D-0000-FFFF-FFFF00000000}"/>
  </bookViews>
  <sheets>
    <sheet name="PRESUPUESTO AGREGADO" sheetId="3" r:id="rId1"/>
    <sheet name="META CAPACITACION " sheetId="2" r:id="rId2"/>
    <sheet name="META DOTACION" sheetId="1" r:id="rId3"/>
  </sheets>
  <definedNames>
    <definedName name="_xlnm._FilterDatabase" localSheetId="2" hidden="1">'META DOTACION'!$L$3:$S$71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8" i="1" l="1"/>
  <c r="H48" i="1"/>
  <c r="F28" i="1"/>
  <c r="F27" i="1"/>
  <c r="F25" i="1"/>
  <c r="H25" i="1"/>
  <c r="Q35" i="2"/>
  <c r="R35" i="2" s="1"/>
  <c r="T35" i="2" s="1"/>
  <c r="N35" i="2"/>
  <c r="M35" i="2"/>
  <c r="Q34" i="2"/>
  <c r="R34" i="2" s="1"/>
  <c r="T34" i="2" s="1"/>
  <c r="O34" i="2"/>
  <c r="N34" i="2"/>
  <c r="M34" i="2"/>
  <c r="Q33" i="2"/>
  <c r="R33" i="2" s="1"/>
  <c r="T33" i="2" s="1"/>
  <c r="O33" i="2"/>
  <c r="N33" i="2"/>
  <c r="Q32" i="2"/>
  <c r="R32" i="2" s="1"/>
  <c r="T32" i="2" s="1"/>
  <c r="O32" i="2"/>
  <c r="N32" i="2"/>
  <c r="I31" i="2"/>
  <c r="I30" i="2"/>
  <c r="I29" i="2"/>
  <c r="Q28" i="2"/>
  <c r="R28" i="2" s="1"/>
  <c r="T28" i="2" s="1"/>
  <c r="N28" i="2"/>
  <c r="M28" i="2"/>
  <c r="Q26" i="2"/>
  <c r="R26" i="2" s="1"/>
  <c r="T26" i="2" s="1"/>
  <c r="O26" i="2"/>
  <c r="N26" i="2"/>
  <c r="M26" i="2"/>
  <c r="I25" i="2"/>
  <c r="E25" i="2"/>
  <c r="E24" i="2"/>
  <c r="I23" i="2"/>
  <c r="G23" i="2"/>
  <c r="E23" i="2"/>
  <c r="I22" i="2"/>
  <c r="G22" i="2"/>
  <c r="E22" i="2"/>
  <c r="Q21" i="2"/>
  <c r="R21" i="2" s="1"/>
  <c r="T21" i="2" s="1"/>
  <c r="O21" i="2"/>
  <c r="N21" i="2"/>
  <c r="M21" i="2"/>
  <c r="I20" i="2"/>
  <c r="G20" i="2"/>
  <c r="E20" i="2"/>
  <c r="Q18" i="2"/>
  <c r="R18" i="2" s="1"/>
  <c r="T18" i="2" s="1"/>
  <c r="O18" i="2"/>
  <c r="N18" i="2"/>
  <c r="M18" i="2"/>
  <c r="T16" i="2"/>
  <c r="T15" i="2"/>
  <c r="Q13" i="2"/>
  <c r="R13" i="2" s="1"/>
  <c r="T13" i="2" s="1"/>
  <c r="O13" i="2"/>
  <c r="N13" i="2"/>
  <c r="M13" i="2"/>
  <c r="G12" i="2"/>
  <c r="E12" i="2"/>
  <c r="G11" i="2"/>
  <c r="E11" i="2"/>
  <c r="I10" i="2"/>
  <c r="G10" i="2"/>
  <c r="E10" i="2"/>
  <c r="I8" i="2"/>
  <c r="G8" i="2"/>
  <c r="I7" i="2"/>
  <c r="G7" i="2"/>
  <c r="E7" i="2"/>
  <c r="I6" i="2"/>
  <c r="G6" i="2"/>
  <c r="E6" i="2"/>
  <c r="H42" i="1"/>
  <c r="F42" i="1"/>
  <c r="J15" i="1"/>
  <c r="H14" i="1"/>
  <c r="F10" i="1"/>
  <c r="H9" i="1"/>
  <c r="F9" i="1"/>
  <c r="J7" i="1"/>
  <c r="H7" i="1"/>
  <c r="J41" i="1"/>
  <c r="H41" i="1"/>
  <c r="J30" i="1"/>
  <c r="H30" i="1"/>
  <c r="H29" i="1"/>
  <c r="J24" i="1"/>
  <c r="H24" i="1"/>
  <c r="H54" i="1"/>
  <c r="P54" i="1" s="1"/>
  <c r="H45" i="1"/>
  <c r="H61" i="1"/>
  <c r="H60" i="1"/>
  <c r="F61" i="1"/>
  <c r="F60" i="1"/>
  <c r="P69" i="1"/>
  <c r="J66" i="1"/>
  <c r="P66" i="1" s="1"/>
  <c r="J28" i="1"/>
  <c r="J25" i="1"/>
  <c r="J19" i="1"/>
  <c r="P19" i="1" s="1"/>
  <c r="J18" i="1"/>
  <c r="J17" i="1"/>
  <c r="J16" i="1"/>
  <c r="J13" i="1"/>
  <c r="J11" i="1"/>
  <c r="J10" i="1"/>
  <c r="J9" i="1"/>
  <c r="F29" i="1"/>
  <c r="J27" i="1"/>
  <c r="F71" i="1"/>
  <c r="F55" i="1"/>
  <c r="F48" i="1"/>
  <c r="F41" i="1"/>
  <c r="F31" i="1"/>
  <c r="F30" i="1"/>
  <c r="F24" i="1"/>
  <c r="F12" i="1"/>
  <c r="F8" i="1"/>
  <c r="L8" i="1" s="1"/>
  <c r="F7" i="1"/>
  <c r="M14" i="1"/>
  <c r="Q14" i="1" s="1"/>
  <c r="S14" i="1" s="1"/>
  <c r="H6" i="1"/>
  <c r="H22" i="1"/>
  <c r="H31" i="1"/>
  <c r="P28" i="1"/>
  <c r="H27" i="1"/>
  <c r="P27" i="1" s="1"/>
  <c r="J22" i="1"/>
  <c r="P22" i="1" s="1"/>
  <c r="J6" i="1"/>
  <c r="P6" i="1" s="1"/>
  <c r="P71" i="1"/>
  <c r="N71" i="1"/>
  <c r="M71" i="1"/>
  <c r="Q71" i="1" s="1"/>
  <c r="S71" i="1" s="1"/>
  <c r="L71" i="1"/>
  <c r="P70" i="1"/>
  <c r="N70" i="1"/>
  <c r="M70" i="1"/>
  <c r="Q70" i="1" s="1"/>
  <c r="S70" i="1" s="1"/>
  <c r="L70" i="1"/>
  <c r="P68" i="1"/>
  <c r="N68" i="1"/>
  <c r="M68" i="1"/>
  <c r="Q68" i="1" s="1"/>
  <c r="S68" i="1" s="1"/>
  <c r="L68" i="1"/>
  <c r="P67" i="1"/>
  <c r="N67" i="1"/>
  <c r="M67" i="1"/>
  <c r="Q67" i="1" s="1"/>
  <c r="S67" i="1" s="1"/>
  <c r="L67" i="1"/>
  <c r="P65" i="1"/>
  <c r="N65" i="1"/>
  <c r="M65" i="1"/>
  <c r="Q65" i="1" s="1"/>
  <c r="S65" i="1" s="1"/>
  <c r="L65" i="1"/>
  <c r="P64" i="1"/>
  <c r="N64" i="1"/>
  <c r="M64" i="1"/>
  <c r="Q64" i="1" s="1"/>
  <c r="S64" i="1" s="1"/>
  <c r="L64" i="1"/>
  <c r="P63" i="1"/>
  <c r="N63" i="1"/>
  <c r="M63" i="1"/>
  <c r="Q63" i="1" s="1"/>
  <c r="S63" i="1" s="1"/>
  <c r="L63" i="1"/>
  <c r="P62" i="1"/>
  <c r="N62" i="1"/>
  <c r="M62" i="1"/>
  <c r="Q62" i="1" s="1"/>
  <c r="S62" i="1" s="1"/>
  <c r="L62" i="1"/>
  <c r="P61" i="1"/>
  <c r="N61" i="1"/>
  <c r="M61" i="1"/>
  <c r="Q61" i="1" s="1"/>
  <c r="S61" i="1" s="1"/>
  <c r="L61" i="1"/>
  <c r="P60" i="1"/>
  <c r="N60" i="1"/>
  <c r="M60" i="1"/>
  <c r="Q60" i="1" s="1"/>
  <c r="S60" i="1" s="1"/>
  <c r="L60" i="1"/>
  <c r="P59" i="1"/>
  <c r="N59" i="1"/>
  <c r="M59" i="1"/>
  <c r="Q59" i="1" s="1"/>
  <c r="S59" i="1" s="1"/>
  <c r="L59" i="1"/>
  <c r="P58" i="1"/>
  <c r="N58" i="1"/>
  <c r="M58" i="1"/>
  <c r="Q58" i="1" s="1"/>
  <c r="S58" i="1" s="1"/>
  <c r="L58" i="1"/>
  <c r="P57" i="1"/>
  <c r="N57" i="1"/>
  <c r="M57" i="1"/>
  <c r="Q57" i="1" s="1"/>
  <c r="S57" i="1" s="1"/>
  <c r="L57" i="1"/>
  <c r="P56" i="1"/>
  <c r="N56" i="1"/>
  <c r="M56" i="1"/>
  <c r="Q56" i="1" s="1"/>
  <c r="S56" i="1" s="1"/>
  <c r="L56" i="1"/>
  <c r="P55" i="1"/>
  <c r="N55" i="1"/>
  <c r="M55" i="1"/>
  <c r="Q55" i="1" s="1"/>
  <c r="S55" i="1" s="1"/>
  <c r="L55" i="1"/>
  <c r="N54" i="1"/>
  <c r="M54" i="1"/>
  <c r="Q54" i="1" s="1"/>
  <c r="S54" i="1" s="1"/>
  <c r="L54" i="1"/>
  <c r="P53" i="1"/>
  <c r="N53" i="1"/>
  <c r="M53" i="1"/>
  <c r="Q53" i="1" s="1"/>
  <c r="S53" i="1" s="1"/>
  <c r="L53" i="1"/>
  <c r="P52" i="1"/>
  <c r="N52" i="1"/>
  <c r="M52" i="1"/>
  <c r="Q52" i="1" s="1"/>
  <c r="S52" i="1" s="1"/>
  <c r="L52" i="1"/>
  <c r="P51" i="1"/>
  <c r="N51" i="1"/>
  <c r="M51" i="1"/>
  <c r="Q51" i="1" s="1"/>
  <c r="S51" i="1" s="1"/>
  <c r="L51" i="1"/>
  <c r="P50" i="1"/>
  <c r="N50" i="1"/>
  <c r="M50" i="1"/>
  <c r="Q50" i="1" s="1"/>
  <c r="S50" i="1" s="1"/>
  <c r="L50" i="1"/>
  <c r="P49" i="1"/>
  <c r="N49" i="1"/>
  <c r="M49" i="1"/>
  <c r="Q49" i="1" s="1"/>
  <c r="S49" i="1" s="1"/>
  <c r="L49" i="1"/>
  <c r="P48" i="1"/>
  <c r="N48" i="1"/>
  <c r="M48" i="1"/>
  <c r="Q48" i="1" s="1"/>
  <c r="S48" i="1" s="1"/>
  <c r="L48" i="1"/>
  <c r="P47" i="1"/>
  <c r="N47" i="1"/>
  <c r="M47" i="1"/>
  <c r="Q47" i="1" s="1"/>
  <c r="S47" i="1" s="1"/>
  <c r="L47" i="1"/>
  <c r="P46" i="1"/>
  <c r="N46" i="1"/>
  <c r="M46" i="1"/>
  <c r="Q46" i="1" s="1"/>
  <c r="S46" i="1" s="1"/>
  <c r="L46" i="1"/>
  <c r="P45" i="1"/>
  <c r="N45" i="1"/>
  <c r="M45" i="1"/>
  <c r="Q45" i="1" s="1"/>
  <c r="S45" i="1" s="1"/>
  <c r="L45" i="1"/>
  <c r="P44" i="1"/>
  <c r="N44" i="1"/>
  <c r="M44" i="1"/>
  <c r="Q44" i="1" s="1"/>
  <c r="S44" i="1" s="1"/>
  <c r="L44" i="1"/>
  <c r="P43" i="1"/>
  <c r="N43" i="1"/>
  <c r="M43" i="1"/>
  <c r="Q43" i="1" s="1"/>
  <c r="S43" i="1" s="1"/>
  <c r="L43" i="1"/>
  <c r="P42" i="1"/>
  <c r="N42" i="1"/>
  <c r="M42" i="1"/>
  <c r="L42" i="1"/>
  <c r="P41" i="1"/>
  <c r="N41" i="1"/>
  <c r="M41" i="1"/>
  <c r="Q41" i="1" s="1"/>
  <c r="S41" i="1" s="1"/>
  <c r="L41" i="1"/>
  <c r="P40" i="1"/>
  <c r="N40" i="1"/>
  <c r="M40" i="1"/>
  <c r="Q40" i="1" s="1"/>
  <c r="S40" i="1" s="1"/>
  <c r="L40" i="1"/>
  <c r="P39" i="1"/>
  <c r="N39" i="1"/>
  <c r="M39" i="1"/>
  <c r="Q39" i="1" s="1"/>
  <c r="S39" i="1" s="1"/>
  <c r="L39" i="1"/>
  <c r="P38" i="1"/>
  <c r="N38" i="1"/>
  <c r="M38" i="1"/>
  <c r="Q38" i="1" s="1"/>
  <c r="S38" i="1" s="1"/>
  <c r="L38" i="1"/>
  <c r="P37" i="1"/>
  <c r="N37" i="1"/>
  <c r="M37" i="1"/>
  <c r="Q37" i="1" s="1"/>
  <c r="S37" i="1" s="1"/>
  <c r="L37" i="1"/>
  <c r="P36" i="1"/>
  <c r="N36" i="1"/>
  <c r="M36" i="1"/>
  <c r="Q36" i="1" s="1"/>
  <c r="S36" i="1" s="1"/>
  <c r="L36" i="1"/>
  <c r="P35" i="1"/>
  <c r="N35" i="1"/>
  <c r="M35" i="1"/>
  <c r="Q35" i="1" s="1"/>
  <c r="S35" i="1" s="1"/>
  <c r="L35" i="1"/>
  <c r="P34" i="1"/>
  <c r="N34" i="1"/>
  <c r="M34" i="1"/>
  <c r="Q34" i="1" s="1"/>
  <c r="S34" i="1" s="1"/>
  <c r="L34" i="1"/>
  <c r="P33" i="1"/>
  <c r="N33" i="1"/>
  <c r="M33" i="1"/>
  <c r="Q33" i="1" s="1"/>
  <c r="S33" i="1" s="1"/>
  <c r="L33" i="1"/>
  <c r="P32" i="1"/>
  <c r="N32" i="1"/>
  <c r="M32" i="1"/>
  <c r="Q32" i="1" s="1"/>
  <c r="S32" i="1" s="1"/>
  <c r="L32" i="1"/>
  <c r="P31" i="1"/>
  <c r="N31" i="1"/>
  <c r="M31" i="1"/>
  <c r="Q31" i="1" s="1"/>
  <c r="S31" i="1" s="1"/>
  <c r="L31" i="1"/>
  <c r="P30" i="1"/>
  <c r="N30" i="1"/>
  <c r="M30" i="1"/>
  <c r="Q30" i="1" s="1"/>
  <c r="S30" i="1" s="1"/>
  <c r="L30" i="1"/>
  <c r="P29" i="1"/>
  <c r="N29" i="1"/>
  <c r="M29" i="1"/>
  <c r="Q29" i="1" s="1"/>
  <c r="S29" i="1" s="1"/>
  <c r="L29" i="1"/>
  <c r="P26" i="1"/>
  <c r="N26" i="1"/>
  <c r="M26" i="1"/>
  <c r="Q26" i="1" s="1"/>
  <c r="S26" i="1" s="1"/>
  <c r="L26" i="1"/>
  <c r="P25" i="1"/>
  <c r="N25" i="1"/>
  <c r="M25" i="1"/>
  <c r="Q25" i="1" s="1"/>
  <c r="S25" i="1" s="1"/>
  <c r="L25" i="1"/>
  <c r="P24" i="1"/>
  <c r="N24" i="1"/>
  <c r="M24" i="1"/>
  <c r="Q24" i="1" s="1"/>
  <c r="S24" i="1" s="1"/>
  <c r="L24" i="1"/>
  <c r="P23" i="1"/>
  <c r="N23" i="1"/>
  <c r="M23" i="1"/>
  <c r="Q23" i="1" s="1"/>
  <c r="S23" i="1" s="1"/>
  <c r="L23" i="1"/>
  <c r="P18" i="1"/>
  <c r="N18" i="1"/>
  <c r="M18" i="1"/>
  <c r="Q18" i="1" s="1"/>
  <c r="S18" i="1" s="1"/>
  <c r="L18" i="1"/>
  <c r="P17" i="1"/>
  <c r="N17" i="1"/>
  <c r="M17" i="1"/>
  <c r="Q17" i="1" s="1"/>
  <c r="S17" i="1" s="1"/>
  <c r="L17" i="1"/>
  <c r="P16" i="1"/>
  <c r="N16" i="1"/>
  <c r="M16" i="1"/>
  <c r="Q16" i="1" s="1"/>
  <c r="S16" i="1" s="1"/>
  <c r="L16" i="1"/>
  <c r="P15" i="1"/>
  <c r="N15" i="1"/>
  <c r="M15" i="1"/>
  <c r="Q15" i="1" s="1"/>
  <c r="S15" i="1" s="1"/>
  <c r="L15" i="1"/>
  <c r="P13" i="1"/>
  <c r="N13" i="1"/>
  <c r="M13" i="1"/>
  <c r="Q13" i="1" s="1"/>
  <c r="S13" i="1" s="1"/>
  <c r="L13" i="1"/>
  <c r="P12" i="1"/>
  <c r="N12" i="1"/>
  <c r="M12" i="1"/>
  <c r="Q12" i="1" s="1"/>
  <c r="S12" i="1" s="1"/>
  <c r="L12" i="1"/>
  <c r="P11" i="1"/>
  <c r="N11" i="1"/>
  <c r="M11" i="1"/>
  <c r="Q11" i="1" s="1"/>
  <c r="S11" i="1" s="1"/>
  <c r="L11" i="1"/>
  <c r="P10" i="1"/>
  <c r="N10" i="1"/>
  <c r="M10" i="1"/>
  <c r="Q10" i="1" s="1"/>
  <c r="S10" i="1" s="1"/>
  <c r="L10" i="1"/>
  <c r="P9" i="1"/>
  <c r="N9" i="1"/>
  <c r="M9" i="1"/>
  <c r="Q9" i="1" s="1"/>
  <c r="S9" i="1" s="1"/>
  <c r="L9" i="1"/>
  <c r="P8" i="1"/>
  <c r="N8" i="1"/>
  <c r="M8" i="1"/>
  <c r="Q8" i="1" s="1"/>
  <c r="S8" i="1" s="1"/>
  <c r="P7" i="1"/>
  <c r="N7" i="1"/>
  <c r="M7" i="1"/>
  <c r="Q7" i="1" s="1"/>
  <c r="S7" i="1" s="1"/>
  <c r="L7" i="1"/>
  <c r="L6" i="1"/>
  <c r="Q6" i="2" l="1"/>
  <c r="R6" i="2" s="1"/>
  <c r="T6" i="2" s="1"/>
  <c r="N6" i="2"/>
  <c r="M6" i="2"/>
  <c r="O6" i="2"/>
  <c r="P6" i="2" s="1"/>
  <c r="Q7" i="2"/>
  <c r="R7" i="2" s="1"/>
  <c r="T7" i="2" s="1"/>
  <c r="N7" i="2"/>
  <c r="M7" i="2"/>
  <c r="O7" i="2"/>
  <c r="P7" i="2" s="1"/>
  <c r="Q8" i="2"/>
  <c r="R8" i="2" s="1"/>
  <c r="T8" i="2" s="1"/>
  <c r="N8" i="2"/>
  <c r="M8" i="2"/>
  <c r="O8" i="2"/>
  <c r="P8" i="2" s="1"/>
  <c r="Q10" i="2"/>
  <c r="R10" i="2" s="1"/>
  <c r="T10" i="2" s="1"/>
  <c r="N10" i="2"/>
  <c r="M10" i="2"/>
  <c r="O10" i="2"/>
  <c r="P10" i="2" s="1"/>
  <c r="Q11" i="2"/>
  <c r="R11" i="2" s="1"/>
  <c r="T11" i="2" s="1"/>
  <c r="N11" i="2"/>
  <c r="M11" i="2"/>
  <c r="O11" i="2"/>
  <c r="P11" i="2" s="1"/>
  <c r="Q12" i="2"/>
  <c r="R12" i="2" s="1"/>
  <c r="T12" i="2" s="1"/>
  <c r="N12" i="2"/>
  <c r="M12" i="2"/>
  <c r="O12" i="2"/>
  <c r="P12" i="2" s="1"/>
  <c r="P13" i="2"/>
  <c r="P18" i="2"/>
  <c r="Q20" i="2"/>
  <c r="R20" i="2" s="1"/>
  <c r="T20" i="2" s="1"/>
  <c r="N20" i="2"/>
  <c r="M20" i="2"/>
  <c r="O20" i="2"/>
  <c r="P20" i="2" s="1"/>
  <c r="P21" i="2"/>
  <c r="Q22" i="2"/>
  <c r="R22" i="2" s="1"/>
  <c r="T22" i="2" s="1"/>
  <c r="N22" i="2"/>
  <c r="M22" i="2"/>
  <c r="O22" i="2"/>
  <c r="P22" i="2" s="1"/>
  <c r="Q23" i="2"/>
  <c r="R23" i="2" s="1"/>
  <c r="T23" i="2" s="1"/>
  <c r="N23" i="2"/>
  <c r="M23" i="2"/>
  <c r="O23" i="2"/>
  <c r="P23" i="2" s="1"/>
  <c r="Q24" i="2"/>
  <c r="R24" i="2" s="1"/>
  <c r="T24" i="2" s="1"/>
  <c r="O24" i="2"/>
  <c r="N24" i="2"/>
  <c r="M24" i="2"/>
  <c r="Q25" i="2"/>
  <c r="R25" i="2" s="1"/>
  <c r="T25" i="2" s="1"/>
  <c r="N25" i="2"/>
  <c r="M25" i="2"/>
  <c r="O25" i="2"/>
  <c r="P25" i="2" s="1"/>
  <c r="P26" i="2"/>
  <c r="Q29" i="2"/>
  <c r="R29" i="2" s="1"/>
  <c r="T29" i="2" s="1"/>
  <c r="O29" i="2"/>
  <c r="N29" i="2"/>
  <c r="M29" i="2"/>
  <c r="Q30" i="2"/>
  <c r="R30" i="2" s="1"/>
  <c r="T30" i="2" s="1"/>
  <c r="O30" i="2"/>
  <c r="N30" i="2"/>
  <c r="M30" i="2"/>
  <c r="Q31" i="2"/>
  <c r="R31" i="2" s="1"/>
  <c r="T31" i="2" s="1"/>
  <c r="O31" i="2"/>
  <c r="N31" i="2"/>
  <c r="M31" i="2"/>
  <c r="P32" i="2"/>
  <c r="P33" i="2"/>
  <c r="P34" i="2"/>
  <c r="L69" i="1"/>
  <c r="M69" i="1"/>
  <c r="Q69" i="1" s="1"/>
  <c r="S69" i="1" s="1"/>
  <c r="N69" i="1"/>
  <c r="O69" i="1" s="1"/>
  <c r="L66" i="1"/>
  <c r="M66" i="1"/>
  <c r="Q66" i="1" s="1"/>
  <c r="S66" i="1" s="1"/>
  <c r="N66" i="1"/>
  <c r="N19" i="1"/>
  <c r="L19" i="1"/>
  <c r="M19" i="1"/>
  <c r="Q19" i="1" s="1"/>
  <c r="S19" i="1" s="1"/>
  <c r="O16" i="1"/>
  <c r="O45" i="1"/>
  <c r="O17" i="1"/>
  <c r="O58" i="1"/>
  <c r="O46" i="1"/>
  <c r="O50" i="1"/>
  <c r="O62" i="1"/>
  <c r="O47" i="1"/>
  <c r="O48" i="1"/>
  <c r="O30" i="1"/>
  <c r="O24" i="1"/>
  <c r="O32" i="1"/>
  <c r="O51" i="1"/>
  <c r="O61" i="1"/>
  <c r="O33" i="1"/>
  <c r="O37" i="1"/>
  <c r="O41" i="1"/>
  <c r="O49" i="1"/>
  <c r="O53" i="1"/>
  <c r="O42" i="1"/>
  <c r="O31" i="1"/>
  <c r="O35" i="1"/>
  <c r="O43" i="1"/>
  <c r="O63" i="1"/>
  <c r="O38" i="1"/>
  <c r="O54" i="1"/>
  <c r="O39" i="1"/>
  <c r="O59" i="1"/>
  <c r="O67" i="1"/>
  <c r="O26" i="1"/>
  <c r="O36" i="1"/>
  <c r="O40" i="1"/>
  <c r="O44" i="1"/>
  <c r="O56" i="1"/>
  <c r="O60" i="1"/>
  <c r="O64" i="1"/>
  <c r="O68" i="1"/>
  <c r="O23" i="1"/>
  <c r="O34" i="1"/>
  <c r="O70" i="1"/>
  <c r="O55" i="1"/>
  <c r="O71" i="1"/>
  <c r="O18" i="1"/>
  <c r="L14" i="1"/>
  <c r="N14" i="1"/>
  <c r="O14" i="1" s="1"/>
  <c r="P14" i="1"/>
  <c r="O11" i="1"/>
  <c r="O15" i="1"/>
  <c r="O12" i="1"/>
  <c r="O10" i="1"/>
  <c r="O8" i="1"/>
  <c r="O9" i="1"/>
  <c r="O13" i="1"/>
  <c r="M6" i="1"/>
  <c r="Q6" i="1" s="1"/>
  <c r="S6" i="1" s="1"/>
  <c r="S20" i="1" s="1"/>
  <c r="C4" i="3" s="1"/>
  <c r="N6" i="1"/>
  <c r="O6" i="1" s="1"/>
  <c r="O65" i="1"/>
  <c r="O52" i="1"/>
  <c r="Q42" i="1"/>
  <c r="S42" i="1" s="1"/>
  <c r="O29" i="1"/>
  <c r="O7" i="1"/>
  <c r="O57" i="1"/>
  <c r="O25" i="1"/>
  <c r="L28" i="1"/>
  <c r="M28" i="1"/>
  <c r="Q28" i="1" s="1"/>
  <c r="S28" i="1" s="1"/>
  <c r="N28" i="1"/>
  <c r="L27" i="1"/>
  <c r="M27" i="1"/>
  <c r="Q27" i="1" s="1"/>
  <c r="S27" i="1" s="1"/>
  <c r="N27" i="1"/>
  <c r="L22" i="1"/>
  <c r="M22" i="1"/>
  <c r="Q22" i="1" s="1"/>
  <c r="S22" i="1" s="1"/>
  <c r="S72" i="1" s="1"/>
  <c r="N22" i="1"/>
  <c r="P31" i="2" l="1"/>
  <c r="P30" i="2"/>
  <c r="P29" i="2"/>
  <c r="P24" i="2"/>
  <c r="T36" i="2"/>
  <c r="C3" i="3" s="1"/>
  <c r="C6" i="3" s="1"/>
  <c r="S73" i="1"/>
  <c r="O66" i="1"/>
  <c r="O19" i="1"/>
  <c r="O28" i="1"/>
  <c r="O27" i="1"/>
  <c r="O22" i="1"/>
</calcChain>
</file>

<file path=xl/sharedStrings.xml><?xml version="1.0" encoding="utf-8"?>
<sst xmlns="http://schemas.openxmlformats.org/spreadsheetml/2006/main" count="530" uniqueCount="299">
  <si>
    <t>VALORES FINALES</t>
  </si>
  <si>
    <t>PRESUPUESTO META CAPACITACION</t>
  </si>
  <si>
    <t>PRESUPUESTO FORTALECIMIENTO LIBERTAD RELIGIOSA</t>
  </si>
  <si>
    <t>PRESUPUESTO BOLSA MONTO AGOTABLE</t>
  </si>
  <si>
    <t>PRESUPUESTO TOTAL</t>
  </si>
  <si>
    <t>ESTUDIO DE MERCADO
OBJETO: “PRESTAR LOS SERVICIOS DE CAPACITACIÓN EN PARTICIPACIÓN CIUDADANA, FORMULACIÓN DE PROYECTOS COMUNITARIOS Y DOTACIÓN DE ELEMENTOS A GRUPOS, ORGANIZACIONES E INSTANCIAS DE PARTICIPACIÓN, DE LA LOCALIDAD DE TUNJUELITO EN EL MARCO DEL PROYECTO 2069”</t>
  </si>
  <si>
    <t>NOMBRE DEL PROYECTO 2069</t>
  </si>
  <si>
    <t>NO.</t>
  </si>
  <si>
    <t>ITEM</t>
  </si>
  <si>
    <t>DETALLE CONCEPTO</t>
  </si>
  <si>
    <t>Unidad de
Medida</t>
  </si>
  <si>
    <t>Cot. 01
IVA Incluido</t>
  </si>
  <si>
    <t>Empresa Cotizante 01</t>
  </si>
  <si>
    <t>Cot. 02
IVA Incluido</t>
  </si>
  <si>
    <t>Empresa Cotizante 02</t>
  </si>
  <si>
    <t>Cot. 03
IVA Incluido</t>
  </si>
  <si>
    <t>Empresa Cotizante 03</t>
  </si>
  <si>
    <t>Cot. 04
IVA Incluido</t>
  </si>
  <si>
    <t>Empresa Cotizante 04</t>
  </si>
  <si>
    <t>No. de
Cotizaciones</t>
  </si>
  <si>
    <t xml:space="preserve">MEDIANA </t>
  </si>
  <si>
    <t xml:space="preserve">DESVIACIÓN ESTANDAR </t>
  </si>
  <si>
    <t>PORCENTAJE DESVIACION</t>
  </si>
  <si>
    <t xml:space="preserve">VALOR PROMEDIO UNITARIO 
IVA INCLUIDO 
</t>
  </si>
  <si>
    <t>VALOR UNITARIO 
IVA INCLUIDO 
(VIGENCIA 2024)
(REDONDEADO AL MÚLTIPLO DE 50 MÁS CERCANO SUPERIOR)</t>
  </si>
  <si>
    <t>CANTIDAD</t>
  </si>
  <si>
    <t>VALOR TOTAL CON IVA</t>
  </si>
  <si>
    <t>Componente 1. Presupuestos participativos - Proceso de formación para la participación  Expedición agroecológica en tren por la Sabana de Bogotá</t>
  </si>
  <si>
    <t>CHAQUETA SIN ACOLCHAR TIPO ROMPEVIENTOS</t>
  </si>
  <si>
    <t xml:space="preserve">Tejido de resistencia al frío y el viento 100% poliéster y ultraligeros; Zona frontal con pro-tección contra el viento, zona de espalda tejido micromesh o rejilla para una correcta transpira-ción. Debe de proteger el cuello; Cremallera que no se enganche y que tenga un buen tirador para poder abrirlo, quitarlo y ponerlo en marcha con o sin guantes; Bolsillos traseros y también acceso fácil a los bolsillos del maillot o chaqueta; Deta-lles reflectantes o colores brillantes y llamativos para ser visibles tallas para adultos, con logotipos de la Alcaldía y del colectivo </t>
  </si>
  <si>
    <t xml:space="preserve">Unidad </t>
  </si>
  <si>
    <t>PROMOCIONALES BORDADOS Y DOTACIONES</t>
  </si>
  <si>
    <t>ZOOM</t>
  </si>
  <si>
    <t>SENI</t>
  </si>
  <si>
    <t>SOMBRERO SAFARI</t>
  </si>
  <si>
    <t>Sombrero safari protección sol, cuello solapa pesca, deportivo, en material de dril, talla única estandar, con logos del colectivo de la Alcaldía.</t>
  </si>
  <si>
    <t>UNIDAD</t>
  </si>
  <si>
    <t>NEO BRAND S.A.S</t>
  </si>
  <si>
    <t xml:space="preserve">SOMBRILLA PLEGABLE </t>
  </si>
  <si>
    <t xml:space="preserve">Sombrilla automática de mango de lujo 10 varillas, tamaño mediano, tela anti-fluido, con filtro UV, sublimada con logos del comité y de la Alcaldía, en dos de sus caras, color a definición de acuerdo a la solicitud del Fondo de Desarrollo Local. </t>
  </si>
  <si>
    <t xml:space="preserve">COMPONENTE 1 ACTIVIDAD 2 SEMINARIOS EN VEEDURIA CIUDADANA (ACTIVIDAD 2) DOS SEMINARIOS DE 3 HORAS </t>
  </si>
  <si>
    <t xml:space="preserve">BOLIGRAFOS PERSONALIZADOS </t>
  </si>
  <si>
    <t>Boligrafos personalizados con el logo de la Alcaldía y del colectivo, retractil y con resaltador en la cabeza del bolígrafo, en plástico, de tinta negra</t>
  </si>
  <si>
    <t xml:space="preserve">Planeador mensual </t>
  </si>
  <si>
    <t>Planeador-Agenda: 
Con Pastas en madera MDF impresa de alta calidad.
Hojas de Papel de caña de azúcar o papel reciclable
Tamaño de la hoja approximado:  9.3 cm x 21.6 cm
Dimensiones aproximadas: 22 cm x 11 cm x 2.5 c
Con separa de hojas que tengan informaciòn sobre el proyecto.</t>
  </si>
  <si>
    <t xml:space="preserve">BOLSA EN TELA RESISTENTE </t>
  </si>
  <si>
    <t>Bolsa en tela impermeable o antifluido sublimada de tamaño de 40cm x 35 cm, con logos de la Alcaldía y del colectivo</t>
  </si>
  <si>
    <t>NEOBRAND</t>
  </si>
  <si>
    <t>Refrigerio tipo 2</t>
  </si>
  <si>
    <t>Un sólido: Un pastel de pollo o un pastel gloria, jugo o avena en caja, fruta (manzana, pera, durazno, banano, mandarina, o ciruela) y dulce de chocolate Que cumpla con las normas de Bioseguridad - Empacado </t>
  </si>
  <si>
    <t>Eventos Castillo Imperial F.R.</t>
  </si>
  <si>
    <t>Hacienda el refugio</t>
  </si>
  <si>
    <t>EVENTOS Y LOGISTICA HADOSH</t>
  </si>
  <si>
    <t>Componente 1.  Recurso humano</t>
  </si>
  <si>
    <t xml:space="preserve">Coordinador </t>
  </si>
  <si>
    <t>Título Profesional en ciencias sociales, economía, administración pública, profesional en psicología o profesionales que pertenezcan al NBC equivalente según lo establecido por el SNIES.</t>
  </si>
  <si>
    <t>Docente  capacitador</t>
  </si>
  <si>
    <t xml:space="preserve">Profesional en ciencia sociales o humanas, ciencias políticas, sociología, antropología, administración pública, historia o profesionales de las áreas de ciencias sociales que pertenezcan al NBC y según lo establecido por el SNIES </t>
  </si>
  <si>
    <t>PUBLICIDAD</t>
  </si>
  <si>
    <t> PAUTA PUBLICITARIA </t>
  </si>
  <si>
    <t>DISEÑO, GRABACION Y PUBLICACION DE UNA CUÑA RADIAL DE 30 SEGUNDOS, CON 20 EMISIONES A CONVENIR; EL GUION SERA REALIZADO POR EL AREA DE PRENSA DE ALCALDIA LOCAL</t>
  </si>
  <si>
    <t>MI BOSA ESTEREO</t>
  </si>
  <si>
    <t>EL CARMEN</t>
  </si>
  <si>
    <t>Componente 1. Presupuestos participativos - Proceso de formación para la participación  ciudadana  "Expedición agroecológica en tren por la Sabana de Bogotá"</t>
  </si>
  <si>
    <t>PENDON VERTICAL TAMAÑO DE  90x1 40m</t>
  </si>
  <si>
    <t>Pendón vertical: impresión en Lona Banner policromía 13 onzas impreso a full color tamaño de 90x140m con estructura en araña (diseño estregado por el área de prensa de la Alcaldía Local)</t>
  </si>
  <si>
    <t>Diploma </t>
  </si>
  <si>
    <t>Certidficación: Diploma y/o certificado: entrega de diploma y/o certificados nivel básico en papel opalina de 240 gr, tintas 4x0, tamaño carta según diseño. </t>
  </si>
  <si>
    <t>Camiseta </t>
  </si>
  <si>
    <t>Camiseta en algodón con logos sublimados de la alcaldía y del colectivo </t>
  </si>
  <si>
    <t>Cartulinas </t>
  </si>
  <si>
    <t>cartulinas en octavos x 10 un</t>
  </si>
  <si>
    <t>ALVAREZ RAMOS ARVEY</t>
  </si>
  <si>
    <t>LA GARZA</t>
  </si>
  <si>
    <t>ÉXITO</t>
  </si>
  <si>
    <t>Caja de Marcadores x 10 </t>
  </si>
  <si>
    <t xml:space="preserve">Caja de marcadores de diferentes colores permanentes </t>
  </si>
  <si>
    <t>papeleria editoria zapata</t>
  </si>
  <si>
    <t>DISTRIBUCIONES LUK S DU S.A.S</t>
  </si>
  <si>
    <t>Caja de colores x 12 </t>
  </si>
  <si>
    <t>12 lápices de color, punta más gruesa de 4 mm, lápices de cuerpo redondo, colores variados </t>
  </si>
  <si>
    <t>INVERSIONES ZB</t>
  </si>
  <si>
    <t>EXITO</t>
  </si>
  <si>
    <t>MARIN PAPELERIA</t>
  </si>
  <si>
    <t xml:space="preserve">Salida agroecológica por tren por la Sábana de Bogotá </t>
  </si>
  <si>
    <t>Salida en tren de la sabana </t>
  </si>
  <si>
    <t>Pasaje por persona adulta en tren por la sabana, desde la estación de gran estación hasta zipaquirá ida y vuelta</t>
  </si>
  <si>
    <t>Turistren</t>
  </si>
  <si>
    <t>Desayunos en el tren tipo1 </t>
  </si>
  <si>
    <t>Tamal, pan y gaseosa</t>
  </si>
  <si>
    <t>Almuerzos en zipaquirá  tipo 1 </t>
  </si>
  <si>
    <t>Almuerzo típico de Zipaquirá, platos especiales  parrillada: pechuga, chatas, costillas de cerdo, ensalda, jugo y postre </t>
  </si>
  <si>
    <t xml:space="preserve">Refrigerios en el tren tipo 1 </t>
  </si>
  <si>
    <t>Mantecada y jugo</t>
  </si>
  <si>
    <t>TRANSPORTE DENTRO CIUDAD BOGOTA (BUS) de 20 a 25 km por recorrido</t>
  </si>
  <si>
    <t>Alquiler de un bus con capacidad de 40 pasajeros, capacidad de carga en bodega, en perfectas condiciones técnicas con documentación completamente al día Modelo Mínimo 2015 (SOAT, Revisión Técnico-Mecánica, Tarjeta de Propiedad, Copia de revisión de ultimo Mantenimiento) para transporte, punto de partida localidad de Tunjuelito con recorrido dentro de la ciudad de Bogotá, distrito Capital (Incluye ida y regreso al sitio de origen al finalizar el evento tanto de las personas como de sus productos)</t>
  </si>
  <si>
    <t>TRANSPORTE EN MUNICIPIOS A 100 KM DE DISTANCIA DE BOGOTA</t>
  </si>
  <si>
    <t>Transporte de la estacion de tren de Zipaquira hasta la mina de sal de Zipaquira ida y vuelta por persona 1.7 kilometros</t>
  </si>
  <si>
    <t>TURISTREN</t>
  </si>
  <si>
    <t>CASTILLO IMPERIAL</t>
  </si>
  <si>
    <t>HACIENDA EL REFUGIO</t>
  </si>
  <si>
    <t>POLIZA DE ACCIDENTES</t>
  </si>
  <si>
    <t>"Póliza por un día (debe cubrir toda clase de accidentes) Póliza de Responsabilidad Civil Extracontractual para beneficiarios de cualquier proyecto (Niños, Niñas, Adultos, Adultos Mayores) a cargo del contratista y que los cubra de cualquier eventualidad que se presente por 1 día   una Jornada</t>
  </si>
  <si>
    <t>sura</t>
  </si>
  <si>
    <t>seguros del estado</t>
  </si>
  <si>
    <t>Entrada a la catedral de Sal de Zipaquirá </t>
  </si>
  <si>
    <t xml:space="preserve">Incluye la entrada a la Catedral de sal d e Zipaquira y el trasnporte desde la parada del tren en Zipaquirá hasta la Catedral de sal d e Zipaquira y viceversa. </t>
  </si>
  <si>
    <t>catedral de sal de zipaquira</t>
  </si>
  <si>
    <t>COTIZACION 1</t>
  </si>
  <si>
    <t>COTIZACION 2</t>
  </si>
  <si>
    <t>COTIZACION 3</t>
  </si>
  <si>
    <t>No cotizaciones</t>
  </si>
  <si>
    <t xml:space="preserve">promedio </t>
  </si>
  <si>
    <t>desviacion estandar</t>
  </si>
  <si>
    <t>porcentaje desviacion</t>
  </si>
  <si>
    <t>mediana</t>
  </si>
  <si>
    <t>precio estimado</t>
  </si>
  <si>
    <t>cantidad</t>
  </si>
  <si>
    <t>total</t>
  </si>
  <si>
    <t>VALOR</t>
  </si>
  <si>
    <t>EMPRESA</t>
  </si>
  <si>
    <t xml:space="preserve">Componente 2. Presupuestos participativos -fortalecimiento a instancias de participación (Dotación) Comité Libertad Religiosa </t>
  </si>
  <si>
    <t xml:space="preserve">CHAQUETA ACOLCHADA LIGERA </t>
  </si>
  <si>
    <t>Chaqueta acolchada ligera, en material adidas antifluido impermeable, con forro malla pool al interior de la chaqueta, con dos bolsillos laterales, de color azul rey con capota con el logo del comite de Libertad Religioso y de la Alcaldía. (como es el logos, sublimadao o bordado, y acomodar logos de acuerdo con el manual de imagen)</t>
  </si>
  <si>
    <t>ZOOM PUBLICIDAD</t>
  </si>
  <si>
    <t>PENDON VERTICAL TAMAÑO DE  90x1 40m</t>
  </si>
  <si>
    <t xml:space="preserve">Pendón vertical: pendón enrrollable o pendón roll up
Impresión: Impresión digital en plóter full color, Alta resolución
Material: Base RollUp en aluminio + Banner 13 oz. (Tela PVC ).
(diseño estregado por el área de prensa de la Alcaldía Local)
</t>
  </si>
  <si>
    <t xml:space="preserve">Millar de FOLLETOS </t>
  </si>
  <si>
    <t>Folleto plegable a 3 cuerpos refilado, impresión a full color, material en propalcote esmaltado, plastificado, tamaño carta 21,59 x27,94 cm (por millar (mil unidades)
Diseños pór parte de la oficina de prensa</t>
  </si>
  <si>
    <t>PAQUETE POR MIL</t>
  </si>
  <si>
    <t xml:space="preserve">MILLAR DE MARCALIBROS O SEPARADORES </t>
  </si>
  <si>
    <t>Marcalibro o separador de tamaño 8 cm x 2cm, impresión a full color, por dos caras, matertial en propalcote de 300gr</t>
  </si>
  <si>
    <t>Marcalibro o separador de tamaño 5,5cm x 14,5cm, impresión a full color, por dos caras, matertial en propalcote de 300gr</t>
  </si>
  <si>
    <t>AGENDA ARGOLLADA</t>
  </si>
  <si>
    <t>Agenda argollada de medidas 21cmx14cm, con las 3 primeras impresas con fotografías de la organización, losgos y una reseña de la política pública de libertad religiosa, pasta dura y de 100 hojas C/U (Reseña, generalizar)</t>
  </si>
  <si>
    <t xml:space="preserve">Boligrafos personalizados con el logo de la Alcaldía y del comité de libertad religiosa, retractil y con resaltador en la cabeza del bolígrafo </t>
  </si>
  <si>
    <t xml:space="preserve">PINES DE SOLAPA </t>
  </si>
  <si>
    <t>Pines de solapa redondos de 20 mm borde dorado, con logo del comité de libertad religiosa y logos de la Alcaldía</t>
  </si>
  <si>
    <t>RESMA DE PAPEL</t>
  </si>
  <si>
    <t>Resma membreteada tamaño carta, con los logos del Comité de Libertad Religiosa y logos de la Alcaldia</t>
  </si>
  <si>
    <t>DESING PUBLICIDAD</t>
  </si>
  <si>
    <t>CARPETAS CORPORATIVAS</t>
  </si>
  <si>
    <t>Carpetas corporativas tamaño carta, impresas a full color, papel propalcote 300gr, impresa 4x4 las caras, laminada</t>
  </si>
  <si>
    <t xml:space="preserve">ESCARAPELAS </t>
  </si>
  <si>
    <t>Escaraperla tipo periodista con cinta marcada con el logo del Comité de libertad religiosa y logos de la Alcaldía,  fundas en acetato alto calibre, cintas estampadas a 1tinta y full color</t>
  </si>
  <si>
    <t xml:space="preserve">CARNETS CORPORATIVOS </t>
  </si>
  <si>
    <t>Carnets corporativos para empresas  impresos en PVC con tintas UV LED, con porta-escarapela y un yoyo o cinta</t>
  </si>
  <si>
    <t xml:space="preserve">SOBRE DE INVITACIÓN </t>
  </si>
  <si>
    <t>Sobres de invitación de tamaño 18cm x 13,5 cm membretiados con los logos de la Alcadía y del comité de libertad religiosa</t>
  </si>
  <si>
    <t>INVITACIONES</t>
  </si>
  <si>
    <t>Invitaciones de 9,5 cm x 9,5cm membretiados con los logos de la Alcaldía y del Comité de Libertad Religiosa.</t>
  </si>
  <si>
    <t>SUBTOTAL</t>
  </si>
  <si>
    <t xml:space="preserve">Bolsa de monto agotable, dotación a organizaciones, instancias de participacion y mesas </t>
  </si>
  <si>
    <t>CHAQUETA DOBLE FAZ</t>
  </si>
  <si>
    <t>Chaqueta unisex, en material antifluido impermeable, doble faz, con dos bolsillos laterales, de colores, con capota con el logos de la agrupación y de la Alcaldía.</t>
  </si>
  <si>
    <t>Grabadora de voz</t>
  </si>
  <si>
    <t>Grabadora de voz (de periodista)
Con monitor de grabación (pantalla)
4 GB de almacenamiento, con posibilidad de ser expandible. 
Con capaciadd de grabar en formato MP3. 
Con altavoz para escuchar las grabaciones y puerto para conectividad USB. </t>
  </si>
  <si>
    <t>Unidad</t>
  </si>
  <si>
    <t>M&amp;C TECHNOLOGY</t>
  </si>
  <si>
    <t>MEGASTORE</t>
  </si>
  <si>
    <t>CDPRONTO</t>
  </si>
  <si>
    <t xml:space="preserve">MORRAL </t>
  </si>
  <si>
    <t>Morral para adultos con medidas de 30 cm de ancho, 42 cm de alto y 12 cm de profundidad, elaborados en lona y forrados, estampado o sublimado según manual de imagen y diseño de la Alcaldía de la mejor tela</t>
  </si>
  <si>
    <t xml:space="preserve">AGENDAS CON PROGRAMADOR </t>
  </si>
  <si>
    <t>AGENDA CON PLANEADOR DIARIO, EN PASTA DURA, DE 100 HOJAS (tamaño carta)</t>
  </si>
  <si>
    <t>Caja de esferos de colores surtidos x 12</t>
  </si>
  <si>
    <t>Boligrafos Negro con mina 0.7 mm y  con tapa. Punta Coreana de 0.7 mm.  Tinta gel de secado inmediato</t>
  </si>
  <si>
    <t>CIPE</t>
  </si>
  <si>
    <t>DISFENIX</t>
  </si>
  <si>
    <t>LUKS DU</t>
  </si>
  <si>
    <t>Hoodie</t>
  </si>
  <si>
    <r>
      <rPr>
        <sz val="11"/>
        <color rgb="FF000000"/>
        <rFont val="Calibri"/>
        <scheme val="minor"/>
      </rPr>
      <t>Buzo capota “hoodie”, unisex, con un bolsillo grande en la zona delantera inferior, 100% algodón perchado Con tres (3) logos institucionales 2 atrás tamaño bolsillo y uno (1) adelante tamaño carta con frase alusiva al proyecto, el diseño de los logos será entregado por la oficina de prensa.</t>
    </r>
    <r>
      <rPr>
        <sz val="11"/>
        <color rgb="FFFF0000"/>
        <rFont val="Calibri"/>
        <scheme val="minor"/>
      </rPr>
      <t xml:space="preserve"> </t>
    </r>
    <r>
      <rPr>
        <sz val="11"/>
        <color rgb="FF000000"/>
        <rFont val="Calibri"/>
        <scheme val="minor"/>
      </rPr>
      <t xml:space="preserve">Tamaños desed la s, hasta la xl </t>
    </r>
  </si>
  <si>
    <t>MGR</t>
  </si>
  <si>
    <t>CAMISETA TIPO POLO</t>
  </si>
  <si>
    <t>Camiseta tipo polo de 220gr, manga corta, cuello reforzado 100% algodón o del material principal y pechera reforzada, 1 logo pequeños en pecho bordado de tamaño 8 cm x 8 cm “Alcaldía Mayor de Bogotá”, y 1 logo grande de 30 cm x 12 cm en la espalda bordado “Alcaldía de Bogotá”</t>
  </si>
  <si>
    <t>Camisetas Sublimadas</t>
  </si>
  <si>
    <t>Camisetas cuello redondo en algodón, manga corta, estampadas  frente y espalda. Tres tintas. Talla: de la S a la XL. </t>
  </si>
  <si>
    <t>SUDADERA DEPORTIVA</t>
  </si>
  <si>
    <t>Sudadera: En tela impermeable 100% forrada en malla, chaqueta con cremallera de 75 cm en nylon, dos (2) bolsillos laterales con cremallera en nylon, un (1) bolsillo interno, tres (3) logotipos bordados, al frente dos (2) tamaño bolsillo y en la espalda un (1) logotipo bordado rectangular, tamaño carta; pantalón forrado en malla, pretina con caucho, cordón de 3 cm, dos (2) bolsillos laterales con cremallera en nylon, bota recta, un (1) logotipo bordado tamaño bolsillo (sudaderas Sublimadas)</t>
  </si>
  <si>
    <t>MICROFONO</t>
  </si>
  <si>
    <r>
      <rPr>
        <sz val="11"/>
        <color rgb="FF000000"/>
        <rFont val="Calibri"/>
        <scheme val="minor"/>
      </rPr>
      <t>MIC INHALAMBRICO
TIPO	
Dinámico (bobina móvil)
PATRÓN POLAR	
Cardioide
RESPUESTA DE FRECUENCIA	
50 a 15, 000 Hz
IMPEDANCIA DE SALIDA	
300 Ω
SENSIBILIDAD	
a 1 kHz, voltaje con circuito abierto –56, 0 dBV/Pa (1, 6 mV</t>
    </r>
    <r>
      <rPr>
        <sz val="11"/>
        <color rgb="FFFF0000"/>
        <rFont val="Calibri"/>
        <scheme val="minor"/>
      </rPr>
      <t>)</t>
    </r>
  </si>
  <si>
    <t xml:space="preserve">EL IMPERIO ELECTRONICO </t>
  </si>
  <si>
    <t>SONIDOS EFECTOS Y COMPONENTES</t>
  </si>
  <si>
    <t xml:space="preserve">SOUND CITY </t>
  </si>
  <si>
    <t>Microfono Tipo Boom (para podcast)</t>
  </si>
  <si>
    <r>
      <rPr>
        <b/>
        <sz val="12"/>
        <color rgb="FF000000"/>
        <rFont val="Calibri"/>
        <scheme val="minor"/>
      </rPr>
      <t>Salidas:</t>
    </r>
    <r>
      <rPr>
        <sz val="12"/>
        <color rgb="FF000000"/>
        <rFont val="Calibri"/>
        <scheme val="minor"/>
      </rPr>
      <t xml:space="preserve"> USB-C y XLR
</t>
    </r>
    <r>
      <rPr>
        <b/>
        <sz val="12"/>
        <color rgb="FF000000"/>
        <rFont val="Calibri"/>
        <scheme val="minor"/>
      </rPr>
      <t>Transductor:</t>
    </r>
    <r>
      <rPr>
        <sz val="12"/>
        <color rgb="FF000000"/>
        <rFont val="Calibri"/>
        <scheme val="minor"/>
      </rPr>
      <t xml:space="preserve"> Dinamico
</t>
    </r>
    <r>
      <rPr>
        <b/>
        <sz val="12"/>
        <color rgb="FF000000"/>
        <rFont val="Calibri"/>
        <scheme val="minor"/>
      </rPr>
      <t>Sensibilidad:</t>
    </r>
    <r>
      <rPr>
        <sz val="12"/>
        <color rgb="FF000000"/>
        <rFont val="Calibri"/>
        <scheme val="minor"/>
      </rPr>
      <t xml:space="preserve"> -59dB, -41dB, -31dB
</t>
    </r>
    <r>
      <rPr>
        <b/>
        <sz val="12"/>
        <color rgb="FF000000"/>
        <rFont val="Calibri"/>
        <scheme val="minor"/>
      </rPr>
      <t xml:space="preserve">Filtro: </t>
    </r>
    <r>
      <rPr>
        <sz val="12"/>
        <color rgb="FF000000"/>
        <rFont val="Calibri"/>
        <scheme val="minor"/>
      </rPr>
      <t xml:space="preserve">Anti pop
</t>
    </r>
    <r>
      <rPr>
        <b/>
        <sz val="12"/>
        <color rgb="FF000000"/>
        <rFont val="Calibri"/>
        <scheme val="minor"/>
      </rPr>
      <t xml:space="preserve">Soporte: </t>
    </r>
    <r>
      <rPr>
        <sz val="12"/>
        <color rgb="FF000000"/>
        <rFont val="Calibri"/>
        <scheme val="minor"/>
      </rPr>
      <t>Brazo modular de mesa o colgante</t>
    </r>
  </si>
  <si>
    <t xml:space="preserve">SOUND CITY NM </t>
  </si>
  <si>
    <t>ALKOSTO</t>
  </si>
  <si>
    <t xml:space="preserve">"MCROFONO INALAMBRICO : de solapa con sistema VHF y circuito de retroalimentación efectiva con sistema de supresión de ruido </t>
  </si>
  <si>
    <t>K-TRONIX</t>
  </si>
  <si>
    <t>TIENDA DEL MUSICO</t>
  </si>
  <si>
    <t>Microfono inalambricos</t>
  </si>
  <si>
    <t>UHF - Alcance de 100 mts</t>
  </si>
  <si>
    <t>Disco Duro</t>
  </si>
  <si>
    <t>Disco duro SSD 1 tera portatiil</t>
  </si>
  <si>
    <t>PANAMERICANA</t>
  </si>
  <si>
    <t>Extensión de cinco (5) metros</t>
  </si>
  <si>
    <t>Extensión electrica industrial 5 metros de longitud de calibre 12 o 14</t>
  </si>
  <si>
    <t>ELECTRONICA CONTINENTAL</t>
  </si>
  <si>
    <t>Extensión de tres (3) metros</t>
  </si>
  <si>
    <t>extensión electrica industrial 3 metros de longitud de calibre 12 o 14</t>
  </si>
  <si>
    <t>Sonido cabina de 400 a 500 watts</t>
  </si>
  <si>
    <t>Woofer de 15” con potencia de 12,000 WPMPO (300WRMS)- Salida de línea para conectar más bafles en cascada- Bluetooth para reproducción inalámbrica-Reproductor MP3 por USB o microSD</t>
  </si>
  <si>
    <t>ELECTRONICA AMERICANA</t>
  </si>
  <si>
    <t>EL IMPERIO ELECTRONICO</t>
  </si>
  <si>
    <t>BLAIR AUDIO</t>
  </si>
  <si>
    <t>Sonido cabina de potencia 130 W</t>
  </si>
  <si>
    <t>Cabina de sonido de potencia 130 W RMS mínimo con su respectivo cable de poder, cables de audio y base trípode</t>
  </si>
  <si>
    <t>AFICHES MEDIO PLIEGO</t>
  </si>
  <si>
    <t>AFICHES MEDIO PLIEGO IMPRESOS EN PROPALCOTE 115 grm 4x0 tintas </t>
  </si>
  <si>
    <t>CONFECCION Y PUBLICIDAD DAVID</t>
  </si>
  <si>
    <t>Carpa 4*4</t>
  </si>
  <si>
    <t xml:space="preserve">El Toldo 4*4 con Paredes y Ventanas Ficha Técnica:
• Tipo de producto: Toldo con Paredes y Ventanas.
• Mecanismo de apertura: Manual, tipo araña o acordeón.
• Material: Lona OXFORD 600D impermeable y protección UV.
• Estructura: Acero reforzado con tratamiento anticorrosivo.
• Dimensiones: 4M*4M, altura ajustable hasta 2.10 metros, pico central de 3.21 metros.
• Tubos: 3x3 cm con 0.8 mm de grosor.
• Paredes: Plástico transparente, 1.47cm de alto.
• Sistema de fijación de paredes: Velcro.
</t>
  </si>
  <si>
    <t>MUEBLES LISS</t>
  </si>
  <si>
    <t>CARPAR Y TAPIZAR</t>
  </si>
  <si>
    <t xml:space="preserve">Proyector </t>
  </si>
  <si>
    <t>Tenologia de Visualizacion
LCD
Uso
Hogar
Brillo
3000 Lumens
Resolucion Imagen
WXGA
Tamaño Proyeccion
300 Pulgadas</t>
  </si>
  <si>
    <t>AUDIOVISUALES DE COLOMBIA</t>
  </si>
  <si>
    <t>tela para el proyector</t>
  </si>
  <si>
    <t>Telon Manual Para Proyeccion  Video Beam 1.80 M X 1.80 M</t>
  </si>
  <si>
    <t>FALABELLA</t>
  </si>
  <si>
    <t>HOMECENTER</t>
  </si>
  <si>
    <t>BASES Y SOPORTES TV LTDA</t>
  </si>
  <si>
    <t>Tapete tipo cesped</t>
  </si>
  <si>
    <t>Tapete Pasto Sintetico Cesped Grama Espesor 25 Mm ( 1 METRO)</t>
  </si>
  <si>
    <t>JOSE GENIR MARTINEZ</t>
  </si>
  <si>
    <t>ABC DE LOS MUEBLES METALICOS</t>
  </si>
  <si>
    <t>CALYPSO</t>
  </si>
  <si>
    <t>Impresora Laser</t>
  </si>
  <si>
    <t xml:space="preserve">Impresora multifuncional, impresión a láser, con inyección de tinta, Conexión Con Cable  
WiFi, Puerto LAN/Ethernet  
Puerto USB </t>
  </si>
  <si>
    <t>Estabilizador de voltaje</t>
  </si>
  <si>
    <t xml:space="preserve"> Estabilizador de Voltaje 8 Salidas tipo NEMA 5-15R Ÿ Regulación automática de bajo y alto voltaje.
2 Puertos de carga USB 2,1A Máx.
Protección de red Internet/ADSL, Filtro de línea, Supresor de picos.
Protección de sobrecarga y cortocircuito por interruptor de rearme.
Indicadores visuales de funcionamiento
Caja plástica anti-inflamable.
Fácil instalación - Sistema de fijación en pared.
Ideales para hogares, negocios u oficinas que requieran proteger y dar larga vida útil a sus equipos eléctricos.</t>
  </si>
  <si>
    <t>SPEED LOGIC</t>
  </si>
  <si>
    <t xml:space="preserve">Gorro tipo safari </t>
  </si>
  <si>
    <t>con logos a solictud de la Alcadía</t>
  </si>
  <si>
    <t>Colores x 12</t>
  </si>
  <si>
    <t xml:space="preserve">12 lápices de color, punta más gruesa de 4 mm, lápices de cuerpo redondo, colores variados </t>
  </si>
  <si>
    <t>Kit de papeleria 1</t>
  </si>
  <si>
    <t>carpetas de archivo A-Z y de presentacion perforadora y engrapadora industrial y guillotina, sacagranchos</t>
  </si>
  <si>
    <t>Kit de papeleria 2</t>
  </si>
  <si>
    <t>Incluye:
- 1 Block hojas blancas
- 1 Block papel iris
- 1 Borrador de nata
- 1 Lápiz de escritura mina negra
- 1 tajalápiz
- 1 resaltador desechable
- 1 cinta transparente 1/2" (12 X 20)</t>
  </si>
  <si>
    <t>Lapices x 12</t>
  </si>
  <si>
    <t>caja de lápices mina Nº2 x 12  Lápices hexagonales 12 unidades. Caja de 12 Lápices cuerpo triangular para agarre ergonómico minas de 4.00mm de diámetro alto</t>
  </si>
  <si>
    <t xml:space="preserve">Silla tipo puff </t>
  </si>
  <si>
    <t>Silla tipo puff con material antifluidos
Relleno en Poliestireno
Capacidad (resistencia - carga máxima)
Hasta 70 Kg aproximadamente</t>
  </si>
  <si>
    <t>JM KATHERINE CASALLAS</t>
  </si>
  <si>
    <t>EXHIMUEBLES</t>
  </si>
  <si>
    <t>agendas con programador</t>
  </si>
  <si>
    <t>(la agenda debe ser de tamaño carta, tener logo de la instancia o organización en pasta y hojas, pasta dura, hoja de presentacion para datos de identificacion,  por lo menos 500 hojas para escribir dividida en anotaciones, puntos clave o idea central y compromisos o conclusiones (como cuaderno de campo), zona de calendario con programador diario de los años 2024,2025,2026 y 2027, cinta de posisionamiento en la agenda, liga elastica de cierre y en papel reciclado cuadriculado y con esfero interno)</t>
  </si>
  <si>
    <t xml:space="preserve">NEO BRAND S.A.S </t>
  </si>
  <si>
    <t>Mezclador Mix de 8 canales</t>
  </si>
  <si>
    <t>Consola Todo en uno para podcats
8 faders para controlar los niveles de audio
4 entradas de micrófono XLR de alta calidad
Reproducción instantánea de jingles
Grabación directa a la tarjeta microSD™ o al ordenador a través de USB</t>
  </si>
  <si>
    <t>EL IMPERIO ELECTRONICO JR S.AS</t>
  </si>
  <si>
    <t xml:space="preserve">SONIDOS EFECTOS Y COMPONENTES </t>
  </si>
  <si>
    <t>MUSIC HEAD STORE</t>
  </si>
  <si>
    <t xml:space="preserve">Caja de Marcadores permanente </t>
  </si>
  <si>
    <t xml:space="preserve">cajas de variados colores permanentes x 12 </t>
  </si>
  <si>
    <t>caja de Marcadores borrables</t>
  </si>
  <si>
    <t xml:space="preserve">cajas PARA TABLERO variados colores x12 </t>
  </si>
  <si>
    <t>LUK S DU</t>
  </si>
  <si>
    <t xml:space="preserve"> PORTATIL</t>
  </si>
  <si>
    <t xml:space="preserve"> tarjeta grafica y resolucion  Procesador: i7 i9 i12 minimo 12a generacion - RAM: 32 a 64 GB MEMORIA: SSD 1TB Resolucion 1080p a 4k</t>
  </si>
  <si>
    <t>MESA PLASTICA</t>
  </si>
  <si>
    <t>Mesa Plastica Peletizada Desarmable Cuadrada</t>
  </si>
  <si>
    <t>BRYSNA S.A.S</t>
  </si>
  <si>
    <t>LUCENA S.A.S</t>
  </si>
  <si>
    <t>MUEBLES ESCOLARES LUCENA S.A.S</t>
  </si>
  <si>
    <t>sillas platicas</t>
  </si>
  <si>
    <t>Silla Plastica Con Brazo Para Adulto Ligera Apilable Color Blanco</t>
  </si>
  <si>
    <t>cables HDMI</t>
  </si>
  <si>
    <t>Cable Platinum HDMI 4K</t>
  </si>
  <si>
    <t>RESMAS DE PAPEL</t>
  </si>
  <si>
    <t>carta y oficio en papel reciclado</t>
  </si>
  <si>
    <t>MEGAFONO</t>
  </si>
  <si>
    <t>Megafono Perifoneo Recargable 6 Pulgad 25w Microfono Bocina</t>
  </si>
  <si>
    <t>SENNET</t>
  </si>
  <si>
    <t>PLANTA ELECTRICA</t>
  </si>
  <si>
    <t>Estación de energía portable 300w/256Wh</t>
  </si>
  <si>
    <t>BIOSOLAR ENERGY S.A.S</t>
  </si>
  <si>
    <t>ECOPOWER</t>
  </si>
  <si>
    <t>EBAY</t>
  </si>
  <si>
    <t>BOTILITO</t>
  </si>
  <si>
    <t xml:space="preserve">termo metalico (para caliente y frio) con medidor de temperatura con logos de la organización y de la Alcaldía </t>
  </si>
  <si>
    <t>usb</t>
  </si>
  <si>
    <t>DE 128GB de alta velocidad METALICAS RESISTENTES A GOLPES</t>
  </si>
  <si>
    <t>PAPELOGRAFO</t>
  </si>
  <si>
    <t>Tablero Acrílico Liso (1.23×80cm) + Papelografo + Trípode</t>
  </si>
  <si>
    <t>COMERCIAL PAPELERA 24 HORAS</t>
  </si>
  <si>
    <t>PUNTERO LASER</t>
  </si>
  <si>
    <t>Puntero Laser Presentador Power Point Ergonomico Usb/ Pc/mac</t>
  </si>
  <si>
    <t>COMPULAGO</t>
  </si>
  <si>
    <t xml:space="preserve">AMPLIFICADOR </t>
  </si>
  <si>
    <t>010g Amplificador Para instrumentos 10w Color
Amplificador combo.
Tiene 1 canal.
Potencia de salida 10 W.
Tipo de conector de entrada: Jack 1/4".
Tipo de conector de salida: Jack 1/8".
Pesa 3.8 kg.
Dimensiones: 27.94 cm de alto x 260 mm de ancho x 14.6 cm de profundidad.</t>
  </si>
  <si>
    <t>INVERMUSIC GE S.A.S</t>
  </si>
  <si>
    <t xml:space="preserve">MUSICAL CEDAR </t>
  </si>
  <si>
    <t>THE MUSIC SITE</t>
  </si>
  <si>
    <t>POP MAN</t>
  </si>
  <si>
    <t>doble cara personal para publicidad en banner  Pop Man Doble Cara Portapendon</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</si>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</sst>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quot;$&quot;\ * #,##0_);_(&quot;$&quot;\ * \(#,##0\);_(&quot;$&quot;\ * &quot;-&quot;??_);_(@_)"/>
    <numFmt numFmtId="168" formatCode="_-&quot;$&quot;* #,##0_-;\-&quot;$&quot;* #,##0_-;_-&quot;$&quot;* &quot;-&quot;??_-;_-@_-"/>
    <numFmt numFmtId="169" formatCode="_-[$$-240A]\ * #,##0_-;\-[$$-240A]\ * #,##0_-;_-[$$-240A]\ * &quot;-&quot;??_-;_-@_-"/>
    <numFmt numFmtId="170" formatCode="_-[$$-409]* #,##0_ ;_-[$$-409]* \-#,##0\ ;_-[$$-409]* &quot;-&quot;??_ ;_-@_ "/>
    <numFmt numFmtId="171" formatCode="_-[$$-409]* #,##0.00_ ;_-[$$-409]* \-#,##0.00\ ;_-[$$-409]* &quot;-&quot;??_ ;_-@_ "/>
    <numFmt numFmtId="172" formatCode="&quot;$&quot;\ #,##0;[Red]\-&quot;$&quot;\ #,##0"/>
    <numFmt numFmtId="173" formatCode="_-[$$-240A]\ * #,##0_-;\-[$$-240A]\ * #,##0_-;_-[$$-240A]\ * &quot;-&quot;_-;_-@_-"/>
  </numFmts>
  <fonts count="40">
    <font>
      <sz val="11"/>
      <color theme="1"/>
      <name val="Calibri"/>
      <family val="2"/>
      <scheme val="minor"/>
    </font>
    <font>
      <sz val="11"/>
      <color theme="1"/>
      <name val="Calibri"/>
      <scheme val="minor"/>
    </font>
    <font>
      <sz val="11"/>
      <color theme="1"/>
      <name val="Calibri"/>
      <family val="2"/>
      <scheme val="minor"/>
    </font>
    <font>
      <u/>
      <sz val="11"/>
      <color theme="10"/>
      <name val="Calibri"/>
      <family val="2"/>
      <scheme val="minor"/>
    </font>
    <font>
      <b/>
      <sz val="11"/>
      <color theme="1"/>
      <name val="Calibri"/>
      <family val="2"/>
      <scheme val="minor"/>
    </font>
    <font>
      <sz val="11"/>
      <color rgb="FF000000"/>
      <name val="Calibri"/>
      <family val="2"/>
      <scheme val="minor"/>
    </font>
    <font>
      <sz val="11"/>
      <name val="Calibri"/>
      <family val="2"/>
      <scheme val="minor"/>
    </font>
    <font>
      <b/>
      <sz val="14"/>
      <color rgb="FFF2F2F2"/>
      <name val="Calibri"/>
      <family val="2"/>
      <scheme val="minor"/>
    </font>
    <font>
      <b/>
      <sz val="14"/>
      <color theme="0"/>
      <name val="Calibri"/>
      <family val="2"/>
      <scheme val="minor"/>
    </font>
    <font>
      <b/>
      <sz val="11"/>
      <color rgb="FFF2F2F2"/>
      <name val="Calibri"/>
      <family val="2"/>
      <scheme val="minor"/>
    </font>
    <font>
      <b/>
      <sz val="10"/>
      <color rgb="FFF2F2F2"/>
      <name val="Calibri"/>
      <family val="2"/>
      <scheme val="minor"/>
    </font>
    <font>
      <sz val="12"/>
      <color rgb="FF000000"/>
      <name val="Calibri"/>
      <family val="2"/>
      <scheme val="minor"/>
    </font>
    <font>
      <sz val="12"/>
      <name val="Calibri"/>
      <family val="2"/>
      <scheme val="minor"/>
    </font>
    <font>
      <b/>
      <sz val="11"/>
      <name val="Calibri"/>
      <family val="2"/>
      <scheme val="minor"/>
    </font>
    <font>
      <sz val="10"/>
      <name val="Arial"/>
      <family val="2"/>
    </font>
    <font>
      <sz val="11"/>
      <color theme="1"/>
      <name val="Arial"/>
      <family val="2"/>
    </font>
    <font>
      <sz val="12"/>
      <name val="Arial"/>
      <family val="2"/>
    </font>
    <font>
      <sz val="12"/>
      <color rgb="FF000000"/>
      <name val="Arial"/>
      <family val="2"/>
      <charset val="1"/>
    </font>
    <font>
      <sz val="11"/>
      <color rgb="FF000000"/>
      <name val="Arial"/>
      <family val="2"/>
      <charset val="1"/>
    </font>
    <font>
      <sz val="11"/>
      <color theme="1"/>
      <name val="Calibri"/>
      <family val="2"/>
    </font>
    <font>
      <sz val="12"/>
      <color rgb="FF222222"/>
      <name val="Calibri"/>
      <family val="2"/>
      <scheme val="minor"/>
    </font>
    <font>
      <sz val="11"/>
      <color rgb="FF000000"/>
      <name val="Calibri"/>
    </font>
    <font>
      <u/>
      <sz val="10"/>
      <color theme="10"/>
      <name val="Calibri"/>
      <scheme val="minor"/>
    </font>
    <font>
      <sz val="11"/>
      <color rgb="FFFF0000"/>
      <name val="Calibri"/>
      <scheme val="minor"/>
    </font>
    <font>
      <b/>
      <sz val="10"/>
      <color rgb="FF222222"/>
      <name val="Calibri"/>
      <family val="2"/>
      <scheme val="minor"/>
    </font>
    <font>
      <sz val="10"/>
      <color theme="1"/>
      <name val="Arial"/>
      <family val="2"/>
    </font>
    <font>
      <sz val="12"/>
      <name val="Calibri"/>
    </font>
    <font>
      <sz val="12"/>
      <color theme="1"/>
      <name val="Calibri"/>
      <family val="2"/>
      <scheme val="minor"/>
    </font>
    <font>
      <sz val="12"/>
      <color rgb="FF000000"/>
      <name val="Calibri"/>
    </font>
    <font>
      <sz val="11"/>
      <color rgb="FF000000"/>
      <name val="Calibri"/>
      <scheme val="minor"/>
    </font>
    <font>
      <sz val="12"/>
      <name val="Arial"/>
      <family val="2"/>
      <charset val="1"/>
    </font>
    <font>
      <sz val="11"/>
      <color rgb="FF242424"/>
      <name val="Calibri"/>
    </font>
    <font>
      <sz val="11"/>
      <color theme="1"/>
      <name val="Calibri"/>
    </font>
    <font>
      <sz val="12"/>
      <color rgb="FF000000"/>
      <name val="Calibri"/>
      <scheme val="minor"/>
    </font>
    <font>
      <sz val="12"/>
      <color theme="1"/>
      <name val="Calibri"/>
      <scheme val="minor"/>
    </font>
    <font>
      <b/>
      <sz val="11"/>
      <color rgb="FF000000"/>
      <name val="Calibri"/>
      <family val="2"/>
      <scheme val="minor"/>
    </font>
    <font>
      <b/>
      <sz val="12"/>
      <name val="Calibri"/>
      <family val="2"/>
      <scheme val="minor"/>
    </font>
    <font>
      <b/>
      <sz val="12"/>
      <color rgb="FF000000"/>
      <name val="Calibri"/>
      <scheme val="minor"/>
    </font>
    <font>
      <sz val="12"/>
      <name val="Calibri"/>
      <scheme val="minor"/>
    </font>
    <font>
      <b/>
      <sz val="11"/>
      <color rgb="FF000000"/>
      <name val="Calibri"/>
      <scheme val="minor"/>
    </font>
  </fonts>
  <fills count="15">
    <fill>
      <patternFill patternType="none"/>
    </fill>
    <fill>
      <patternFill patternType="gray125"/>
    </fill>
    <fill>
      <patternFill patternType="solid">
        <fgColor rgb="FF2F5496"/>
        <bgColor rgb="FF2F5496"/>
      </patternFill>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249977111117893"/>
        <bgColor rgb="FF2F5496"/>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305496"/>
        <bgColor indexed="64"/>
      </patternFill>
    </fill>
    <fill>
      <patternFill patternType="solid">
        <fgColor rgb="FFB4C6E7"/>
        <bgColor rgb="FFB4C6E7"/>
      </patternFill>
    </fill>
    <fill>
      <patternFill patternType="solid">
        <fgColor theme="5" tint="0.39997558519241921"/>
        <bgColor indexed="64"/>
      </patternFill>
    </fill>
    <fill>
      <patternFill patternType="solid">
        <fgColor theme="5" tint="0.59999389629810485"/>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auto="1"/>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auto="1"/>
      </left>
      <right style="thin">
        <color auto="1"/>
      </right>
      <top/>
      <bottom/>
      <diagonal/>
    </border>
    <border>
      <left style="thin">
        <color rgb="FF000000"/>
      </left>
      <right style="thin">
        <color rgb="FF000000"/>
      </right>
      <top/>
      <bottom/>
      <diagonal/>
    </border>
    <border>
      <left style="thin">
        <color auto="1"/>
      </left>
      <right style="thin">
        <color rgb="FF000000"/>
      </right>
      <top style="thin">
        <color auto="1"/>
      </top>
      <bottom/>
      <diagonal/>
    </border>
    <border>
      <left/>
      <right style="thin">
        <color rgb="FF000000"/>
      </right>
      <top/>
      <bottom style="thin">
        <color rgb="FF000000"/>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right style="thin">
        <color auto="1"/>
      </right>
      <top/>
      <bottom/>
      <diagonal/>
    </border>
    <border>
      <left/>
      <right/>
      <top style="thin">
        <color auto="1"/>
      </top>
      <bottom/>
      <diagonal/>
    </border>
    <border>
      <left style="thin">
        <color rgb="FF000000"/>
      </left>
      <right style="medium">
        <color auto="1"/>
      </right>
      <top/>
      <bottom/>
      <diagonal/>
    </border>
    <border>
      <left/>
      <right style="thin">
        <color rgb="FF000000"/>
      </right>
      <top/>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auto="1"/>
      </bottom>
      <diagonal/>
    </border>
    <border>
      <left style="thin">
        <color rgb="FF000000"/>
      </left>
      <right style="medium">
        <color indexed="64"/>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thin">
        <color rgb="FF000000"/>
      </top>
      <bottom style="thin">
        <color rgb="FF000000"/>
      </bottom>
      <diagonal/>
    </border>
    <border>
      <left style="thin">
        <color auto="1"/>
      </left>
      <right/>
      <top style="thin">
        <color auto="1"/>
      </top>
      <bottom/>
      <diagonal/>
    </border>
  </borders>
  <cellStyleXfs count="22">
    <xf numFmtId="0" fontId="0" fillId="0" borderId="0"/>
    <xf numFmtId="0" fontId="3" fillId="0" borderId="0" applyNumberForma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41" fontId="2" fillId="0" borderId="0" applyFont="0" applyFill="0" applyBorder="0" applyAlignment="0" applyProtection="0"/>
    <xf numFmtId="0" fontId="14" fillId="0" borderId="0"/>
    <xf numFmtId="164" fontId="14" fillId="0" borderId="0" applyFill="0" applyBorder="0" applyAlignment="0" applyProtection="0"/>
    <xf numFmtId="164" fontId="14" fillId="0" borderId="0" applyFill="0" applyBorder="0" applyAlignment="0" applyProtection="0"/>
    <xf numFmtId="164" fontId="2" fillId="0" borderId="0" applyFont="0" applyFill="0" applyBorder="0" applyAlignment="0" applyProtection="0"/>
    <xf numFmtId="164" fontId="14" fillId="0" borderId="0" applyFill="0" applyBorder="0" applyAlignment="0" applyProtection="0"/>
    <xf numFmtId="164" fontId="14" fillId="0" borderId="0" applyFill="0" applyBorder="0" applyAlignment="0" applyProtection="0"/>
    <xf numFmtId="164" fontId="14" fillId="0" borderId="0" applyFill="0" applyBorder="0" applyAlignment="0" applyProtection="0"/>
    <xf numFmtId="164" fontId="14" fillId="0" borderId="0" applyFill="0" applyBorder="0" applyAlignment="0" applyProtection="0"/>
    <xf numFmtId="165" fontId="14" fillId="0" borderId="0" applyFont="0" applyFill="0" applyBorder="0" applyAlignment="0" applyProtection="0"/>
    <xf numFmtId="164" fontId="2" fillId="0" borderId="0" applyFont="0" applyFill="0" applyBorder="0" applyAlignment="0" applyProtection="0"/>
    <xf numFmtId="0" fontId="15" fillId="0" borderId="0"/>
    <xf numFmtId="0" fontId="19" fillId="0" borderId="0"/>
    <xf numFmtId="166" fontId="2" fillId="0" borderId="0" applyFont="0" applyFill="0" applyBorder="0" applyAlignment="0" applyProtection="0"/>
    <xf numFmtId="43" fontId="2" fillId="0" borderId="0" applyFont="0" applyFill="0" applyBorder="0" applyAlignment="0" applyProtection="0"/>
    <xf numFmtId="0" fontId="22" fillId="0" borderId="0" applyNumberFormat="0" applyFill="0" applyBorder="0" applyAlignment="0" applyProtection="0"/>
    <xf numFmtId="9" fontId="2" fillId="0" borderId="0" applyFont="0" applyFill="0" applyBorder="0" applyAlignment="0" applyProtection="0"/>
  </cellStyleXfs>
  <cellXfs count="273">
    <xf numFmtId="0" fontId="0" fillId="0" borderId="0" xfId="0"/>
    <xf numFmtId="1" fontId="0" fillId="0" borderId="1" xfId="0" applyNumberFormat="1" applyBorder="1" applyAlignment="1">
      <alignment horizontal="center" vertical="center"/>
    </xf>
    <xf numFmtId="0" fontId="5"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5"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11" fillId="0" borderId="1" xfId="0" applyFont="1" applyBorder="1" applyAlignment="1">
      <alignment horizontal="left" vertical="top" wrapText="1"/>
    </xf>
    <xf numFmtId="0" fontId="0" fillId="0" borderId="0" xfId="0" applyAlignment="1">
      <alignment wrapText="1"/>
    </xf>
    <xf numFmtId="0" fontId="13" fillId="5" borderId="5" xfId="0" applyFont="1" applyFill="1" applyBorder="1" applyAlignment="1">
      <alignment vertical="center"/>
    </xf>
    <xf numFmtId="0" fontId="0" fillId="5" borderId="6" xfId="0" applyFill="1" applyBorder="1"/>
    <xf numFmtId="0" fontId="0" fillId="0" borderId="0" xfId="0" applyAlignment="1">
      <alignment vertical="center" wrapText="1"/>
    </xf>
    <xf numFmtId="0" fontId="11" fillId="0" borderId="1" xfId="0" applyFont="1" applyBorder="1" applyAlignment="1">
      <alignment horizontal="left" vertical="center" wrapText="1" indent="3"/>
    </xf>
    <xf numFmtId="0" fontId="12" fillId="0" borderId="1" xfId="0" applyFont="1" applyBorder="1" applyAlignment="1">
      <alignment horizontal="left" vertical="center" wrapText="1" indent="3"/>
    </xf>
    <xf numFmtId="0" fontId="17" fillId="4" borderId="1" xfId="0" applyFont="1" applyFill="1" applyBorder="1" applyAlignment="1">
      <alignment horizontal="left" vertical="center" wrapText="1" indent="3"/>
    </xf>
    <xf numFmtId="0" fontId="0" fillId="0" borderId="0" xfId="0" applyAlignment="1">
      <alignment horizontal="left" vertical="center" indent="3"/>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1" fontId="0" fillId="5" borderId="1" xfId="0" applyNumberFormat="1" applyFill="1" applyBorder="1" applyAlignment="1">
      <alignment horizontal="center" vertical="center"/>
    </xf>
    <xf numFmtId="0" fontId="0" fillId="5" borderId="0" xfId="0" applyFill="1"/>
    <xf numFmtId="0" fontId="0" fillId="0" borderId="7" xfId="0" applyBorder="1" applyAlignment="1">
      <alignment horizontal="left" vertical="center" indent="3"/>
    </xf>
    <xf numFmtId="0" fontId="0" fillId="0" borderId="7" xfId="0" applyBorder="1" applyAlignment="1">
      <alignmen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0" fillId="0" borderId="7" xfId="0" applyBorder="1" applyAlignment="1">
      <alignment vertical="center"/>
    </xf>
    <xf numFmtId="0" fontId="0" fillId="5" borderId="9" xfId="0" applyFill="1" applyBorder="1" applyAlignment="1">
      <alignment horizontal="center" vertical="center" indent="3"/>
    </xf>
    <xf numFmtId="0" fontId="0" fillId="5" borderId="9" xfId="0" applyFill="1" applyBorder="1" applyAlignment="1">
      <alignment horizontal="center" vertical="center"/>
    </xf>
    <xf numFmtId="0" fontId="0" fillId="0" borderId="9" xfId="0" applyBorder="1" applyAlignment="1">
      <alignment horizontal="left" vertical="center" indent="3"/>
    </xf>
    <xf numFmtId="0" fontId="0" fillId="0" borderId="9" xfId="0" applyBorder="1" applyAlignment="1">
      <alignment vertical="center"/>
    </xf>
    <xf numFmtId="0" fontId="0" fillId="0" borderId="7" xfId="0" applyBorder="1"/>
    <xf numFmtId="0" fontId="0" fillId="0" borderId="7" xfId="0" applyBorder="1" applyAlignment="1">
      <alignment horizontal="left" vertical="center" wrapText="1" indent="3"/>
    </xf>
    <xf numFmtId="0" fontId="18" fillId="4" borderId="1" xfId="0" applyFont="1" applyFill="1" applyBorder="1" applyAlignment="1">
      <alignment wrapText="1"/>
    </xf>
    <xf numFmtId="168" fontId="0" fillId="0" borderId="0" xfId="18" applyNumberFormat="1" applyFont="1" applyAlignment="1">
      <alignment vertical="center"/>
    </xf>
    <xf numFmtId="0" fontId="0" fillId="0" borderId="0" xfId="0" applyAlignment="1">
      <alignment vertical="center"/>
    </xf>
    <xf numFmtId="169" fontId="20" fillId="0" borderId="1" xfId="18" applyNumberFormat="1" applyFont="1" applyFill="1" applyBorder="1" applyAlignment="1">
      <alignment horizontal="center" vertical="center" wrapText="1"/>
    </xf>
    <xf numFmtId="170" fontId="20" fillId="0" borderId="1" xfId="0" applyNumberFormat="1" applyFont="1" applyBorder="1" applyAlignment="1">
      <alignment horizontal="center" vertical="center" wrapText="1"/>
    </xf>
    <xf numFmtId="169" fontId="20" fillId="0" borderId="1" xfId="19" applyNumberFormat="1" applyFont="1" applyFill="1" applyBorder="1" applyAlignment="1">
      <alignment horizontal="center" vertical="center" wrapText="1"/>
    </xf>
    <xf numFmtId="170" fontId="20" fillId="0" borderId="1" xfId="0" applyNumberFormat="1" applyFont="1" applyBorder="1" applyAlignment="1">
      <alignment horizontal="center" wrapText="1"/>
    </xf>
    <xf numFmtId="170" fontId="21" fillId="4" borderId="1" xfId="18" applyNumberFormat="1" applyFont="1" applyFill="1" applyBorder="1" applyAlignment="1">
      <alignment horizontal="center" vertical="center"/>
    </xf>
    <xf numFmtId="0" fontId="22" fillId="4" borderId="1" xfId="20" applyFill="1" applyBorder="1" applyAlignment="1">
      <alignment horizontal="center" vertical="center" wrapText="1"/>
    </xf>
    <xf numFmtId="170" fontId="21" fillId="4" borderId="1" xfId="0" applyNumberFormat="1" applyFont="1" applyFill="1" applyBorder="1" applyAlignment="1">
      <alignment horizontal="center" vertical="center"/>
    </xf>
    <xf numFmtId="0" fontId="0" fillId="5" borderId="13" xfId="0" applyFill="1" applyBorder="1"/>
    <xf numFmtId="168" fontId="0" fillId="0" borderId="1" xfId="18" applyNumberFormat="1" applyFont="1" applyBorder="1" applyAlignment="1">
      <alignment vertical="center"/>
    </xf>
    <xf numFmtId="0" fontId="0" fillId="0" borderId="1" xfId="0" applyBorder="1" applyAlignment="1">
      <alignment vertical="center"/>
    </xf>
    <xf numFmtId="168" fontId="0" fillId="0" borderId="1" xfId="18" applyNumberFormat="1" applyFont="1" applyFill="1" applyBorder="1" applyAlignment="1">
      <alignment vertical="center"/>
    </xf>
    <xf numFmtId="168" fontId="0" fillId="5" borderId="1" xfId="18" applyNumberFormat="1" applyFont="1" applyFill="1" applyBorder="1" applyAlignment="1">
      <alignment vertical="center"/>
    </xf>
    <xf numFmtId="0" fontId="0" fillId="5" borderId="1" xfId="0" applyFill="1" applyBorder="1" applyAlignment="1">
      <alignment vertical="center"/>
    </xf>
    <xf numFmtId="0" fontId="0" fillId="0" borderId="1" xfId="0" applyBorder="1" applyAlignment="1">
      <alignment vertical="center" wrapText="1"/>
    </xf>
    <xf numFmtId="169" fontId="0" fillId="0" borderId="0" xfId="18" applyNumberFormat="1" applyFont="1"/>
    <xf numFmtId="169" fontId="0" fillId="0" borderId="0" xfId="18" applyNumberFormat="1" applyFont="1" applyAlignment="1">
      <alignment horizontal="center"/>
    </xf>
    <xf numFmtId="168" fontId="0" fillId="8" borderId="1" xfId="18" applyNumberFormat="1" applyFont="1" applyFill="1" applyBorder="1" applyAlignment="1">
      <alignment vertical="center"/>
    </xf>
    <xf numFmtId="0" fontId="0" fillId="8" borderId="1" xfId="0" applyFill="1" applyBorder="1" applyAlignment="1">
      <alignment vertical="center"/>
    </xf>
    <xf numFmtId="0" fontId="5" fillId="0" borderId="15" xfId="0" applyFont="1" applyBorder="1" applyAlignment="1">
      <alignment horizontal="center" vertical="center" wrapText="1"/>
    </xf>
    <xf numFmtId="0" fontId="5" fillId="0" borderId="15" xfId="0" applyFont="1" applyBorder="1" applyAlignment="1">
      <alignment horizontal="center" vertical="center"/>
    </xf>
    <xf numFmtId="1" fontId="0" fillId="0" borderId="15" xfId="0" applyNumberFormat="1" applyBorder="1" applyAlignment="1">
      <alignment horizontal="center" vertical="center"/>
    </xf>
    <xf numFmtId="168" fontId="0" fillId="0" borderId="15" xfId="18" applyNumberFormat="1" applyFont="1" applyFill="1" applyBorder="1" applyAlignment="1">
      <alignment vertical="center"/>
    </xf>
    <xf numFmtId="0" fontId="0" fillId="0" borderId="15" xfId="0" applyBorder="1" applyAlignment="1">
      <alignment vertical="center"/>
    </xf>
    <xf numFmtId="168" fontId="0" fillId="0" borderId="15" xfId="18" applyNumberFormat="1" applyFont="1" applyBorder="1" applyAlignment="1">
      <alignment vertical="center"/>
    </xf>
    <xf numFmtId="167" fontId="0" fillId="0" borderId="1" xfId="0" applyNumberFormat="1" applyBorder="1" applyAlignment="1">
      <alignment vertical="center"/>
    </xf>
    <xf numFmtId="0" fontId="0" fillId="0" borderId="1" xfId="0" applyBorder="1"/>
    <xf numFmtId="169" fontId="0" fillId="0" borderId="1" xfId="18" applyNumberFormat="1" applyFont="1" applyBorder="1"/>
    <xf numFmtId="9" fontId="0" fillId="0" borderId="1" xfId="21" applyFont="1" applyBorder="1" applyAlignment="1">
      <alignment horizontal="center"/>
    </xf>
    <xf numFmtId="169" fontId="0" fillId="0" borderId="1" xfId="18" applyNumberFormat="1" applyFont="1" applyBorder="1" applyAlignment="1">
      <alignment vertical="center"/>
    </xf>
    <xf numFmtId="0" fontId="12" fillId="0" borderId="1" xfId="0" applyFont="1" applyBorder="1" applyAlignment="1">
      <alignment horizontal="center" vertical="center" wrapText="1" indent="3"/>
    </xf>
    <xf numFmtId="168" fontId="0" fillId="0" borderId="1" xfId="18" applyNumberFormat="1" applyFont="1" applyFill="1" applyBorder="1" applyAlignment="1">
      <alignment horizontal="center" vertical="center"/>
    </xf>
    <xf numFmtId="0" fontId="0" fillId="0" borderId="1" xfId="0" applyBorder="1" applyAlignment="1">
      <alignment horizontal="center" vertical="center"/>
    </xf>
    <xf numFmtId="168" fontId="0" fillId="0" borderId="1" xfId="18" applyNumberFormat="1" applyFont="1" applyBorder="1" applyAlignment="1">
      <alignment horizontal="center" vertical="center"/>
    </xf>
    <xf numFmtId="0" fontId="0" fillId="0" borderId="0" xfId="0" applyAlignment="1">
      <alignment horizontal="center"/>
    </xf>
    <xf numFmtId="169" fontId="0" fillId="6" borderId="7" xfId="18" applyNumberFormat="1" applyFont="1" applyFill="1" applyBorder="1"/>
    <xf numFmtId="169" fontId="0" fillId="9" borderId="7" xfId="18" applyNumberFormat="1" applyFont="1" applyFill="1" applyBorder="1"/>
    <xf numFmtId="168" fontId="0" fillId="0" borderId="8" xfId="18" applyNumberFormat="1" applyFont="1" applyBorder="1" applyAlignment="1">
      <alignment vertical="center"/>
    </xf>
    <xf numFmtId="0" fontId="0" fillId="0" borderId="8" xfId="0" applyBorder="1" applyAlignment="1">
      <alignment vertical="center"/>
    </xf>
    <xf numFmtId="169" fontId="0" fillId="0" borderId="8" xfId="18" applyNumberFormat="1" applyFont="1" applyBorder="1"/>
    <xf numFmtId="0" fontId="11" fillId="0" borderId="1" xfId="0" applyFont="1" applyBorder="1" applyAlignment="1">
      <alignment horizontal="center" vertical="center" wrapText="1" indent="3"/>
    </xf>
    <xf numFmtId="0" fontId="11" fillId="0" borderId="1" xfId="0" applyFont="1" applyBorder="1" applyAlignment="1">
      <alignment horizontal="center" vertical="center" wrapText="1"/>
    </xf>
    <xf numFmtId="0" fontId="16" fillId="0" borderId="1" xfId="0" applyFont="1" applyBorder="1" applyAlignment="1">
      <alignment horizontal="center" vertical="center" wrapText="1" indent="3"/>
    </xf>
    <xf numFmtId="169" fontId="0" fillId="0" borderId="1" xfId="18" applyNumberFormat="1" applyFont="1" applyBorder="1" applyAlignment="1">
      <alignment horizontal="center" vertical="center"/>
    </xf>
    <xf numFmtId="9" fontId="0" fillId="0" borderId="1" xfId="21" applyFont="1" applyBorder="1" applyAlignment="1">
      <alignment horizontal="center" vertical="center"/>
    </xf>
    <xf numFmtId="169" fontId="0" fillId="10" borderId="1" xfId="18" applyNumberFormat="1" applyFont="1" applyFill="1" applyBorder="1" applyAlignment="1">
      <alignment vertical="center"/>
    </xf>
    <xf numFmtId="0" fontId="25" fillId="5" borderId="7" xfId="0" applyFont="1" applyFill="1" applyBorder="1" applyAlignment="1">
      <alignment horizontal="center" vertical="center" wrapText="1"/>
    </xf>
    <xf numFmtId="171" fontId="0" fillId="0" borderId="1" xfId="0" applyNumberFormat="1" applyBorder="1" applyAlignment="1">
      <alignment horizontal="center" vertical="center"/>
    </xf>
    <xf numFmtId="0" fontId="16" fillId="0" borderId="1" xfId="0" applyFont="1" applyBorder="1" applyAlignment="1">
      <alignment horizontal="center" vertical="center" wrapText="1"/>
    </xf>
    <xf numFmtId="169" fontId="20" fillId="0" borderId="8" xfId="18" applyNumberFormat="1" applyFont="1" applyFill="1" applyBorder="1" applyAlignment="1">
      <alignment horizontal="center" vertical="center" wrapText="1"/>
    </xf>
    <xf numFmtId="170" fontId="20" fillId="0" borderId="8" xfId="0" applyNumberFormat="1" applyFont="1" applyBorder="1" applyAlignment="1">
      <alignment horizontal="center" vertical="center" wrapText="1"/>
    </xf>
    <xf numFmtId="0" fontId="5" fillId="0" borderId="2" xfId="0" applyFont="1" applyBorder="1" applyAlignment="1">
      <alignment horizontal="center" vertical="center"/>
    </xf>
    <xf numFmtId="168" fontId="0" fillId="0" borderId="7" xfId="18" applyNumberFormat="1" applyFont="1" applyBorder="1" applyAlignment="1">
      <alignment vertical="center"/>
    </xf>
    <xf numFmtId="169" fontId="20" fillId="0" borderId="3" xfId="18" applyNumberFormat="1" applyFont="1" applyFill="1" applyBorder="1" applyAlignment="1">
      <alignment horizontal="center" vertical="center" wrapText="1"/>
    </xf>
    <xf numFmtId="0" fontId="11" fillId="5" borderId="1" xfId="0" applyFont="1" applyFill="1" applyBorder="1" applyAlignment="1">
      <alignment horizontal="justify" vertical="center" wrapText="1"/>
    </xf>
    <xf numFmtId="169" fontId="20" fillId="0" borderId="8" xfId="19" applyNumberFormat="1" applyFont="1" applyFill="1" applyBorder="1" applyAlignment="1">
      <alignment horizontal="center" vertical="center" wrapText="1"/>
    </xf>
    <xf numFmtId="170" fontId="20" fillId="0" borderId="2" xfId="0" applyNumberFormat="1" applyFont="1" applyBorder="1" applyAlignment="1">
      <alignment horizontal="center" vertical="center" wrapText="1"/>
    </xf>
    <xf numFmtId="170" fontId="20" fillId="0" borderId="3"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27" fillId="0" borderId="7" xfId="0" applyFont="1" applyBorder="1" applyAlignment="1">
      <alignment horizontal="center" vertical="center"/>
    </xf>
    <xf numFmtId="0" fontId="0" fillId="0" borderId="7" xfId="0" applyBorder="1" applyAlignment="1">
      <alignment horizontal="center" vertical="center"/>
    </xf>
    <xf numFmtId="0" fontId="28" fillId="0" borderId="7" xfId="0" applyFont="1" applyBorder="1" applyAlignment="1">
      <alignment horizontal="center" wrapText="1"/>
    </xf>
    <xf numFmtId="0" fontId="29" fillId="4" borderId="7" xfId="0" applyFont="1" applyFill="1" applyBorder="1" applyAlignment="1">
      <alignment vertical="center" wrapText="1"/>
    </xf>
    <xf numFmtId="170" fontId="20" fillId="0" borderId="15" xfId="0" applyNumberFormat="1" applyFont="1" applyBorder="1" applyAlignment="1">
      <alignment horizontal="center" vertical="center" wrapText="1"/>
    </xf>
    <xf numFmtId="170" fontId="20" fillId="0" borderId="16" xfId="0" applyNumberFormat="1" applyFont="1" applyBorder="1" applyAlignment="1">
      <alignment horizontal="center" vertical="center" wrapText="1"/>
    </xf>
    <xf numFmtId="1" fontId="0" fillId="0" borderId="3" xfId="0" applyNumberFormat="1" applyBorder="1" applyAlignment="1">
      <alignment horizontal="center" vertical="center"/>
    </xf>
    <xf numFmtId="0" fontId="0" fillId="3" borderId="0" xfId="0" applyFill="1"/>
    <xf numFmtId="0" fontId="16" fillId="0" borderId="2" xfId="0" applyFont="1" applyBorder="1" applyAlignment="1">
      <alignment wrapText="1"/>
    </xf>
    <xf numFmtId="0" fontId="28" fillId="0" borderId="7" xfId="0" applyFont="1" applyBorder="1" applyAlignment="1">
      <alignment wrapText="1"/>
    </xf>
    <xf numFmtId="0" fontId="18" fillId="0" borderId="13" xfId="0" applyFont="1" applyBorder="1" applyAlignment="1">
      <alignment wrapText="1"/>
    </xf>
    <xf numFmtId="0" fontId="5" fillId="0" borderId="22" xfId="0" applyFont="1" applyBorder="1" applyAlignment="1">
      <alignment horizontal="center" vertical="center" wrapText="1"/>
    </xf>
    <xf numFmtId="0" fontId="28" fillId="0" borderId="7" xfId="0" applyFont="1" applyBorder="1"/>
    <xf numFmtId="0" fontId="31" fillId="0" borderId="7" xfId="0" applyFont="1" applyBorder="1"/>
    <xf numFmtId="169" fontId="20" fillId="0" borderId="7" xfId="18" applyNumberFormat="1" applyFont="1" applyFill="1" applyBorder="1" applyAlignment="1">
      <alignment horizontal="center" vertical="center" wrapText="1"/>
    </xf>
    <xf numFmtId="170" fontId="20" fillId="0" borderId="7" xfId="0" applyNumberFormat="1" applyFont="1" applyBorder="1" applyAlignment="1">
      <alignment horizontal="center" vertical="center" wrapText="1"/>
    </xf>
    <xf numFmtId="169" fontId="20" fillId="0" borderId="7" xfId="19" applyNumberFormat="1" applyFont="1" applyFill="1" applyBorder="1" applyAlignment="1">
      <alignment horizontal="center" vertical="center" wrapText="1"/>
    </xf>
    <xf numFmtId="0" fontId="5" fillId="0" borderId="0" xfId="0" applyFont="1" applyAlignment="1">
      <alignment horizontal="center" vertical="center" wrapText="1"/>
    </xf>
    <xf numFmtId="0" fontId="28" fillId="0" borderId="9" xfId="0" applyFont="1" applyBorder="1"/>
    <xf numFmtId="0" fontId="31" fillId="0" borderId="9" xfId="0" applyFont="1" applyBorder="1"/>
    <xf numFmtId="169" fontId="20" fillId="0" borderId="9" xfId="18" applyNumberFormat="1" applyFont="1" applyFill="1" applyBorder="1" applyAlignment="1">
      <alignment horizontal="center" vertical="center" wrapText="1"/>
    </xf>
    <xf numFmtId="170" fontId="20" fillId="0" borderId="9" xfId="0" applyNumberFormat="1" applyFont="1" applyBorder="1" applyAlignment="1">
      <alignment horizontal="center" vertical="center" wrapText="1"/>
    </xf>
    <xf numFmtId="169" fontId="20" fillId="0" borderId="9" xfId="19" applyNumberFormat="1" applyFont="1" applyFill="1" applyBorder="1" applyAlignment="1">
      <alignment horizontal="center" vertical="center" wrapText="1"/>
    </xf>
    <xf numFmtId="1" fontId="0" fillId="0" borderId="23" xfId="0" applyNumberFormat="1" applyBorder="1" applyAlignment="1">
      <alignment horizontal="center" vertical="center"/>
    </xf>
    <xf numFmtId="171" fontId="0" fillId="0" borderId="8" xfId="0" applyNumberFormat="1" applyBorder="1" applyAlignment="1">
      <alignment horizontal="center" vertical="center"/>
    </xf>
    <xf numFmtId="9" fontId="0" fillId="0" borderId="8" xfId="21" applyFont="1" applyBorder="1" applyAlignment="1">
      <alignment horizontal="center" vertical="center"/>
    </xf>
    <xf numFmtId="167" fontId="0" fillId="0" borderId="8" xfId="0" applyNumberFormat="1" applyBorder="1" applyAlignment="1">
      <alignment vertical="center"/>
    </xf>
    <xf numFmtId="1" fontId="0" fillId="0" borderId="8" xfId="0" applyNumberFormat="1" applyBorder="1" applyAlignment="1">
      <alignment horizontal="center" vertical="center"/>
    </xf>
    <xf numFmtId="0" fontId="5" fillId="0" borderId="7" xfId="0" applyFont="1" applyBorder="1" applyAlignment="1">
      <alignment horizontal="center" vertical="center" wrapText="1"/>
    </xf>
    <xf numFmtId="0" fontId="31" fillId="0" borderId="7" xfId="0" applyFont="1" applyBorder="1" applyAlignment="1">
      <alignment wrapText="1"/>
    </xf>
    <xf numFmtId="1" fontId="0" fillId="0" borderId="7" xfId="0" applyNumberFormat="1" applyBorder="1" applyAlignment="1">
      <alignment horizontal="center" vertical="center"/>
    </xf>
    <xf numFmtId="171" fontId="0" fillId="0" borderId="7" xfId="0" applyNumberFormat="1" applyBorder="1" applyAlignment="1">
      <alignment horizontal="center" vertical="center"/>
    </xf>
    <xf numFmtId="9" fontId="0" fillId="0" borderId="7" xfId="21" applyFont="1" applyBorder="1" applyAlignment="1">
      <alignment horizontal="center" vertical="center"/>
    </xf>
    <xf numFmtId="167" fontId="0" fillId="0" borderId="7" xfId="0" applyNumberFormat="1" applyBorder="1" applyAlignment="1">
      <alignment vertical="center"/>
    </xf>
    <xf numFmtId="0" fontId="28" fillId="0" borderId="25" xfId="0" applyFont="1" applyBorder="1" applyAlignment="1">
      <alignment wrapText="1"/>
    </xf>
    <xf numFmtId="0" fontId="31" fillId="0" borderId="25" xfId="0" applyFont="1" applyBorder="1" applyAlignment="1">
      <alignment wrapText="1"/>
    </xf>
    <xf numFmtId="0" fontId="28" fillId="0" borderId="26" xfId="0" applyFont="1" applyBorder="1" applyAlignment="1">
      <alignment wrapText="1"/>
    </xf>
    <xf numFmtId="0" fontId="31" fillId="0" borderId="26" xfId="0" applyFont="1" applyBorder="1" applyAlignment="1">
      <alignment wrapText="1"/>
    </xf>
    <xf numFmtId="0" fontId="28" fillId="0" borderId="0" xfId="0" applyFont="1"/>
    <xf numFmtId="0" fontId="28" fillId="0" borderId="27" xfId="0" applyFont="1" applyBorder="1" applyAlignment="1">
      <alignment wrapText="1"/>
    </xf>
    <xf numFmtId="0" fontId="31" fillId="0" borderId="28" xfId="0" applyFont="1" applyBorder="1" applyAlignment="1">
      <alignment wrapText="1"/>
    </xf>
    <xf numFmtId="0" fontId="28" fillId="0" borderId="9" xfId="0" applyFont="1" applyBorder="1" applyAlignment="1">
      <alignment wrapText="1"/>
    </xf>
    <xf numFmtId="0" fontId="0" fillId="0" borderId="8" xfId="0" applyBorder="1" applyAlignment="1">
      <alignment horizontal="center" vertical="center"/>
    </xf>
    <xf numFmtId="0" fontId="32" fillId="0" borderId="29" xfId="0" applyFont="1" applyBorder="1"/>
    <xf numFmtId="0" fontId="32" fillId="0" borderId="7" xfId="0" applyFont="1" applyBorder="1" applyAlignment="1">
      <alignment wrapText="1"/>
    </xf>
    <xf numFmtId="0" fontId="28" fillId="0" borderId="20" xfId="0" applyFont="1" applyBorder="1" applyAlignment="1">
      <alignment wrapText="1"/>
    </xf>
    <xf numFmtId="0" fontId="28" fillId="0" borderId="21" xfId="0" applyFont="1" applyBorder="1" applyAlignment="1">
      <alignment wrapText="1"/>
    </xf>
    <xf numFmtId="169" fontId="20" fillId="0" borderId="7" xfId="18" applyNumberFormat="1" applyFont="1" applyBorder="1" applyAlignment="1">
      <alignment horizontal="center" vertical="center" wrapText="1"/>
    </xf>
    <xf numFmtId="169" fontId="20" fillId="0" borderId="7" xfId="19" applyNumberFormat="1" applyFont="1" applyBorder="1" applyAlignment="1">
      <alignment horizontal="center" vertical="center" wrapText="1"/>
    </xf>
    <xf numFmtId="0" fontId="13" fillId="13" borderId="2" xfId="0" applyFont="1" applyFill="1" applyBorder="1" applyAlignment="1">
      <alignment horizontal="center" vertical="center"/>
    </xf>
    <xf numFmtId="0" fontId="0" fillId="13" borderId="0" xfId="0" applyFill="1"/>
    <xf numFmtId="0" fontId="13" fillId="13" borderId="0" xfId="0" applyFont="1" applyFill="1" applyAlignment="1">
      <alignment horizontal="center" vertical="center"/>
    </xf>
    <xf numFmtId="0" fontId="13" fillId="13" borderId="22" xfId="0" applyFont="1" applyFill="1" applyBorder="1" applyAlignment="1">
      <alignment horizontal="center" vertical="center"/>
    </xf>
    <xf numFmtId="0" fontId="13" fillId="13" borderId="24" xfId="0" applyFont="1" applyFill="1" applyBorder="1" applyAlignment="1">
      <alignment horizontal="center" vertical="center"/>
    </xf>
    <xf numFmtId="167" fontId="4" fillId="13" borderId="15" xfId="0" applyNumberFormat="1" applyFont="1" applyFill="1" applyBorder="1" applyAlignment="1">
      <alignment horizontal="center" vertical="center"/>
    </xf>
    <xf numFmtId="0" fontId="4" fillId="0" borderId="0" xfId="0" applyFont="1"/>
    <xf numFmtId="167" fontId="0" fillId="0" borderId="0" xfId="0" applyNumberFormat="1"/>
    <xf numFmtId="173" fontId="0" fillId="0" borderId="0" xfId="0" applyNumberFormat="1"/>
    <xf numFmtId="0" fontId="0" fillId="0" borderId="30" xfId="0" applyBorder="1"/>
    <xf numFmtId="173" fontId="0" fillId="0" borderId="31" xfId="0" applyNumberFormat="1" applyBorder="1"/>
    <xf numFmtId="0" fontId="0" fillId="0" borderId="32" xfId="0" applyBorder="1"/>
    <xf numFmtId="173" fontId="0" fillId="0" borderId="33" xfId="0" applyNumberFormat="1" applyBorder="1"/>
    <xf numFmtId="0" fontId="0" fillId="0" borderId="36" xfId="0" applyBorder="1"/>
    <xf numFmtId="173" fontId="0" fillId="0" borderId="37" xfId="0" applyNumberFormat="1" applyBorder="1"/>
    <xf numFmtId="168" fontId="0" fillId="0" borderId="2" xfId="18" applyNumberFormat="1" applyFont="1" applyBorder="1" applyAlignment="1">
      <alignment vertical="center"/>
    </xf>
    <xf numFmtId="0" fontId="0" fillId="0" borderId="3" xfId="0" applyBorder="1" applyAlignment="1">
      <alignment vertical="center"/>
    </xf>
    <xf numFmtId="0" fontId="0" fillId="5" borderId="15" xfId="0" applyFill="1" applyBorder="1" applyAlignment="1">
      <alignment vertical="center"/>
    </xf>
    <xf numFmtId="168" fontId="0" fillId="5" borderId="15" xfId="18" applyNumberFormat="1" applyFont="1" applyFill="1" applyBorder="1" applyAlignment="1">
      <alignment vertical="center"/>
    </xf>
    <xf numFmtId="0" fontId="29" fillId="4" borderId="1" xfId="0" applyFont="1" applyFill="1" applyBorder="1" applyAlignment="1">
      <alignment horizontal="left" vertical="center" wrapText="1"/>
    </xf>
    <xf numFmtId="0" fontId="33" fillId="5" borderId="8" xfId="0" applyFont="1" applyFill="1" applyBorder="1" applyAlignment="1">
      <alignment horizontal="left" vertical="center" wrapText="1" indent="3"/>
    </xf>
    <xf numFmtId="0" fontId="29" fillId="5" borderId="4" xfId="0" applyFont="1" applyFill="1" applyBorder="1" applyAlignment="1">
      <alignment vertical="center" wrapText="1"/>
    </xf>
    <xf numFmtId="0" fontId="33" fillId="5" borderId="8" xfId="17" applyFont="1" applyFill="1" applyBorder="1" applyAlignment="1">
      <alignment horizontal="center" vertical="center" wrapText="1"/>
    </xf>
    <xf numFmtId="0" fontId="34" fillId="5" borderId="9" xfId="0" applyFont="1" applyFill="1" applyBorder="1" applyAlignment="1">
      <alignment horizontal="center" vertical="center" wrapText="1"/>
    </xf>
    <xf numFmtId="0" fontId="28" fillId="4" borderId="7" xfId="0" applyFont="1" applyFill="1" applyBorder="1" applyAlignment="1">
      <alignment vertical="center" wrapText="1"/>
    </xf>
    <xf numFmtId="0" fontId="5" fillId="0" borderId="8" xfId="0" applyFont="1" applyBorder="1" applyAlignment="1">
      <alignment horizontal="center" vertical="center"/>
    </xf>
    <xf numFmtId="170" fontId="20" fillId="0" borderId="10" xfId="0" applyNumberFormat="1" applyFont="1" applyBorder="1" applyAlignment="1">
      <alignment horizontal="center" vertical="center" wrapText="1"/>
    </xf>
    <xf numFmtId="9" fontId="0" fillId="0" borderId="1" xfId="21" applyFont="1" applyFill="1" applyBorder="1" applyAlignment="1">
      <alignment horizontal="center" vertical="center"/>
    </xf>
    <xf numFmtId="0" fontId="33" fillId="5" borderId="1" xfId="0" applyFont="1" applyFill="1" applyBorder="1" applyAlignment="1">
      <alignment horizontal="left" vertical="center" wrapText="1" indent="3"/>
    </xf>
    <xf numFmtId="0" fontId="29" fillId="5" borderId="1" xfId="0" applyFont="1" applyFill="1" applyBorder="1" applyAlignment="1">
      <alignment horizontal="left" vertical="center" wrapText="1"/>
    </xf>
    <xf numFmtId="0" fontId="33" fillId="5" borderId="11" xfId="0" applyFont="1" applyFill="1" applyBorder="1" applyAlignment="1">
      <alignment horizontal="left" vertical="center" wrapText="1"/>
    </xf>
    <xf numFmtId="0" fontId="34" fillId="5" borderId="10" xfId="0" applyFont="1" applyFill="1" applyBorder="1" applyAlignment="1">
      <alignment horizontal="center" vertical="center" wrapText="1"/>
    </xf>
    <xf numFmtId="0" fontId="33" fillId="0" borderId="1" xfId="17" applyFont="1" applyBorder="1" applyAlignment="1">
      <alignment horizontal="center" vertical="center" wrapText="1"/>
    </xf>
    <xf numFmtId="0" fontId="34" fillId="0" borderId="7" xfId="0" applyFont="1" applyBorder="1" applyAlignment="1">
      <alignment horizontal="center" vertical="center" wrapText="1"/>
    </xf>
    <xf numFmtId="0" fontId="38" fillId="0" borderId="1" xfId="6" applyFont="1" applyBorder="1" applyAlignment="1">
      <alignment horizontal="center" vertical="center" wrapText="1"/>
    </xf>
    <xf numFmtId="0" fontId="29" fillId="0" borderId="1" xfId="0" applyFont="1" applyBorder="1"/>
    <xf numFmtId="0" fontId="34"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29" fillId="0" borderId="4" xfId="0" applyFont="1" applyBorder="1" applyAlignment="1">
      <alignment wrapText="1"/>
    </xf>
    <xf numFmtId="0" fontId="29" fillId="0" borderId="1" xfId="0" applyFont="1" applyBorder="1" applyAlignment="1">
      <alignment wrapText="1"/>
    </xf>
    <xf numFmtId="0" fontId="34" fillId="0" borderId="8" xfId="0" applyFont="1" applyBorder="1" applyAlignment="1">
      <alignment horizontal="center" vertical="center" wrapText="1"/>
    </xf>
    <xf numFmtId="0" fontId="28" fillId="0" borderId="7" xfId="0" applyFont="1" applyBorder="1" applyAlignment="1">
      <alignment vertical="top" wrapText="1"/>
    </xf>
    <xf numFmtId="0" fontId="28" fillId="0" borderId="9" xfId="0" applyFont="1" applyBorder="1" applyAlignment="1">
      <alignment vertical="top" wrapText="1"/>
    </xf>
    <xf numFmtId="0" fontId="6" fillId="5" borderId="12" xfId="0" applyFont="1" applyFill="1" applyBorder="1" applyAlignment="1">
      <alignment horizontal="right" vertical="center"/>
    </xf>
    <xf numFmtId="0" fontId="5" fillId="0" borderId="8" xfId="0" applyFont="1" applyBorder="1" applyAlignment="1">
      <alignment horizontal="center" vertical="center" wrapText="1"/>
    </xf>
    <xf numFmtId="0" fontId="16" fillId="0" borderId="39" xfId="0" applyFont="1" applyBorder="1" applyAlignment="1">
      <alignment wrapText="1"/>
    </xf>
    <xf numFmtId="0" fontId="5" fillId="0" borderId="23" xfId="0" applyFont="1" applyBorder="1" applyAlignment="1">
      <alignment horizontal="center" vertical="center"/>
    </xf>
    <xf numFmtId="0" fontId="30" fillId="0" borderId="15" xfId="0" applyFont="1" applyBorder="1" applyAlignment="1">
      <alignment wrapText="1"/>
    </xf>
    <xf numFmtId="169" fontId="20" fillId="0" borderId="15" xfId="19" applyNumberFormat="1" applyFont="1" applyFill="1" applyBorder="1" applyAlignment="1">
      <alignment horizontal="center" vertical="center" wrapText="1"/>
    </xf>
    <xf numFmtId="171" fontId="0" fillId="0" borderId="15" xfId="0" applyNumberFormat="1" applyBorder="1" applyAlignment="1">
      <alignment horizontal="center" vertical="center"/>
    </xf>
    <xf numFmtId="9" fontId="0" fillId="0" borderId="15" xfId="21" applyFont="1" applyBorder="1" applyAlignment="1">
      <alignment horizontal="center" vertical="center"/>
    </xf>
    <xf numFmtId="167" fontId="0" fillId="0" borderId="15" xfId="0" applyNumberFormat="1" applyBorder="1" applyAlignment="1">
      <alignment vertical="center"/>
    </xf>
    <xf numFmtId="0" fontId="5" fillId="0" borderId="10" xfId="0" applyFont="1" applyBorder="1" applyAlignment="1">
      <alignment horizontal="center" vertical="center" wrapText="1"/>
    </xf>
    <xf numFmtId="0" fontId="30" fillId="0" borderId="10" xfId="0" applyFont="1" applyBorder="1" applyAlignment="1">
      <alignment wrapText="1"/>
    </xf>
    <xf numFmtId="0" fontId="18" fillId="0" borderId="21" xfId="0" applyFont="1" applyBorder="1" applyAlignment="1">
      <alignment wrapText="1"/>
    </xf>
    <xf numFmtId="0" fontId="5" fillId="0" borderId="10" xfId="0" applyFont="1" applyBorder="1" applyAlignment="1">
      <alignment horizontal="center" vertical="center"/>
    </xf>
    <xf numFmtId="172" fontId="5" fillId="0" borderId="10" xfId="0" applyNumberFormat="1" applyFont="1" applyBorder="1" applyAlignment="1">
      <alignment horizontal="center" vertical="center"/>
    </xf>
    <xf numFmtId="169" fontId="20" fillId="0" borderId="10" xfId="19" applyNumberFormat="1" applyFont="1" applyFill="1" applyBorder="1" applyAlignment="1">
      <alignment horizontal="center" vertical="center" wrapText="1"/>
    </xf>
    <xf numFmtId="1" fontId="0" fillId="0" borderId="10" xfId="0" applyNumberFormat="1" applyBorder="1" applyAlignment="1">
      <alignment horizontal="center" vertical="center"/>
    </xf>
    <xf numFmtId="171" fontId="0" fillId="0" borderId="10" xfId="0" applyNumberFormat="1" applyBorder="1" applyAlignment="1">
      <alignment horizontal="center" vertical="center"/>
    </xf>
    <xf numFmtId="9" fontId="0" fillId="0" borderId="10" xfId="21" applyFont="1" applyBorder="1" applyAlignment="1">
      <alignment horizontal="center" vertical="center"/>
    </xf>
    <xf numFmtId="167" fontId="0" fillId="0" borderId="10" xfId="0" applyNumberFormat="1" applyBorder="1" applyAlignment="1">
      <alignment vertical="center"/>
    </xf>
    <xf numFmtId="169" fontId="20" fillId="0" borderId="15" xfId="18" applyNumberFormat="1" applyFont="1" applyFill="1" applyBorder="1" applyAlignment="1">
      <alignment horizontal="center" vertical="center" wrapText="1"/>
    </xf>
    <xf numFmtId="0" fontId="0" fillId="0" borderId="1" xfId="18" applyNumberFormat="1" applyFont="1" applyBorder="1"/>
    <xf numFmtId="0" fontId="0" fillId="0" borderId="1" xfId="18" applyNumberFormat="1" applyFont="1" applyBorder="1" applyAlignment="1">
      <alignment vertical="center"/>
    </xf>
    <xf numFmtId="0" fontId="0" fillId="14" borderId="34" xfId="0" applyFill="1" applyBorder="1" applyAlignment="1">
      <alignment horizontal="center" vertical="center"/>
    </xf>
    <xf numFmtId="0" fontId="0" fillId="14" borderId="35" xfId="0" applyFill="1" applyBorder="1" applyAlignment="1">
      <alignment horizontal="center" vertical="center"/>
    </xf>
    <xf numFmtId="0" fontId="39" fillId="3" borderId="29" xfId="0" applyFont="1" applyFill="1" applyBorder="1" applyAlignment="1">
      <alignment horizontal="center" vertical="center" wrapText="1"/>
    </xf>
    <xf numFmtId="0" fontId="5" fillId="3" borderId="38"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center" wrapText="1"/>
    </xf>
    <xf numFmtId="0" fontId="9" fillId="2" borderId="1" xfId="0" applyFont="1" applyFill="1" applyBorder="1" applyAlignment="1">
      <alignment horizontal="center" vertical="center"/>
    </xf>
    <xf numFmtId="0" fontId="6" fillId="0" borderId="1" xfId="0" applyFont="1" applyBorder="1" applyAlignment="1">
      <alignment horizontal="center"/>
    </xf>
    <xf numFmtId="0" fontId="9" fillId="11"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24" fillId="12" borderId="1" xfId="0" applyFont="1" applyFill="1" applyBorder="1" applyAlignment="1">
      <alignment horizontal="center" vertical="center" wrapText="1"/>
    </xf>
    <xf numFmtId="0" fontId="36" fillId="3" borderId="2" xfId="0" applyFont="1" applyFill="1" applyBorder="1" applyAlignment="1">
      <alignment horizontal="center" vertical="center"/>
    </xf>
    <xf numFmtId="0" fontId="36" fillId="3" borderId="17" xfId="0" applyFont="1" applyFill="1" applyBorder="1" applyAlignment="1">
      <alignment horizontal="center" vertical="center"/>
    </xf>
    <xf numFmtId="0" fontId="36" fillId="3" borderId="3" xfId="0" applyFont="1" applyFill="1" applyBorder="1" applyAlignment="1">
      <alignment horizontal="center" vertical="center"/>
    </xf>
    <xf numFmtId="0" fontId="35" fillId="3" borderId="14" xfId="0" applyFont="1" applyFill="1" applyBorder="1" applyAlignment="1">
      <alignment horizontal="center" vertical="center" wrapText="1"/>
    </xf>
    <xf numFmtId="0" fontId="35" fillId="3" borderId="0" xfId="0" applyFont="1" applyFill="1" applyAlignment="1">
      <alignment horizontal="center" vertical="center" wrapText="1"/>
    </xf>
    <xf numFmtId="0" fontId="35" fillId="3" borderId="18" xfId="0" applyFont="1" applyFill="1" applyBorder="1" applyAlignment="1">
      <alignment horizontal="center" vertical="center" wrapText="1"/>
    </xf>
    <xf numFmtId="0" fontId="36" fillId="3" borderId="19" xfId="0" applyFont="1" applyFill="1" applyBorder="1" applyAlignment="1">
      <alignment horizontal="center" vertical="center"/>
    </xf>
    <xf numFmtId="0" fontId="35" fillId="3" borderId="22" xfId="0" applyFont="1" applyFill="1" applyBorder="1" applyAlignment="1">
      <alignment horizontal="center" vertical="center"/>
    </xf>
    <xf numFmtId="0" fontId="35" fillId="3" borderId="24" xfId="0" applyFont="1" applyFill="1" applyBorder="1" applyAlignment="1">
      <alignment horizontal="center" vertical="center"/>
    </xf>
    <xf numFmtId="0" fontId="10" fillId="2" borderId="1"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37" fillId="3" borderId="2" xfId="0" applyFont="1" applyFill="1" applyBorder="1" applyAlignment="1">
      <alignment horizontal="center" vertical="center"/>
    </xf>
    <xf numFmtId="0" fontId="12" fillId="3" borderId="17" xfId="0" applyFont="1" applyFill="1" applyBorder="1" applyAlignment="1">
      <alignment horizontal="center" vertical="center"/>
    </xf>
    <xf numFmtId="0" fontId="12" fillId="3" borderId="3" xfId="0" applyFont="1" applyFill="1" applyBorder="1" applyAlignment="1">
      <alignment horizontal="center" vertical="center"/>
    </xf>
    <xf numFmtId="0" fontId="36" fillId="3" borderId="1" xfId="0" applyFont="1" applyFill="1" applyBorder="1" applyAlignment="1">
      <alignment horizontal="center" vertical="center"/>
    </xf>
    <xf numFmtId="169" fontId="0" fillId="8" borderId="1" xfId="18" applyNumberFormat="1" applyFont="1" applyFill="1" applyBorder="1" applyAlignment="1">
      <alignment horizontal="center" vertical="center"/>
    </xf>
    <xf numFmtId="169" fontId="0" fillId="8" borderId="8" xfId="18" applyNumberFormat="1" applyFont="1" applyFill="1" applyBorder="1" applyAlignment="1">
      <alignment horizontal="center" wrapText="1"/>
    </xf>
    <xf numFmtId="169" fontId="0" fillId="8" borderId="15" xfId="18" applyNumberFormat="1" applyFont="1" applyFill="1" applyBorder="1" applyAlignment="1">
      <alignment horizontal="center" wrapText="1"/>
    </xf>
    <xf numFmtId="0" fontId="5" fillId="10" borderId="2" xfId="0" applyFont="1" applyFill="1" applyBorder="1" applyAlignment="1">
      <alignment horizontal="right" vertical="center" wrapText="1"/>
    </xf>
    <xf numFmtId="0" fontId="5" fillId="10" borderId="17" xfId="0" applyFont="1" applyFill="1" applyBorder="1" applyAlignment="1">
      <alignment horizontal="right" vertical="center" wrapText="1"/>
    </xf>
    <xf numFmtId="0" fontId="5" fillId="10" borderId="3" xfId="0" applyFont="1" applyFill="1" applyBorder="1" applyAlignment="1">
      <alignment horizontal="right" vertical="center" wrapText="1"/>
    </xf>
    <xf numFmtId="0" fontId="0" fillId="6" borderId="7" xfId="0" applyFill="1" applyBorder="1" applyAlignment="1">
      <alignment horizontal="right"/>
    </xf>
    <xf numFmtId="0" fontId="0" fillId="9" borderId="7" xfId="0" applyFill="1" applyBorder="1" applyAlignment="1">
      <alignment horizontal="right"/>
    </xf>
    <xf numFmtId="0" fontId="7" fillId="2" borderId="14" xfId="0" applyFont="1" applyFill="1" applyBorder="1" applyAlignment="1">
      <alignment horizontal="center" vertical="center" wrapText="1"/>
    </xf>
    <xf numFmtId="0" fontId="7" fillId="2" borderId="0" xfId="0" applyFont="1" applyFill="1" applyAlignment="1">
      <alignment horizontal="center" vertical="center" wrapText="1"/>
    </xf>
    <xf numFmtId="0" fontId="8" fillId="2" borderId="14" xfId="0" applyFont="1" applyFill="1" applyBorder="1" applyAlignment="1">
      <alignment horizontal="center" wrapText="1"/>
    </xf>
    <xf numFmtId="0" fontId="8" fillId="2" borderId="0" xfId="0" applyFont="1" applyFill="1" applyAlignment="1">
      <alignment horizontal="center" wrapText="1"/>
    </xf>
    <xf numFmtId="168" fontId="0" fillId="8" borderId="1" xfId="18" applyNumberFormat="1" applyFont="1" applyFill="1" applyBorder="1" applyAlignment="1">
      <alignment horizontal="center" vertical="center"/>
    </xf>
    <xf numFmtId="0" fontId="9" fillId="7" borderId="1" xfId="0" applyFont="1" applyFill="1" applyBorder="1" applyAlignment="1">
      <alignment horizontal="center" vertical="center"/>
    </xf>
    <xf numFmtId="0" fontId="6" fillId="8" borderId="1" xfId="0" applyFont="1" applyFill="1" applyBorder="1" applyAlignment="1">
      <alignment horizontal="center"/>
    </xf>
    <xf numFmtId="0" fontId="9" fillId="8" borderId="1" xfId="0" applyFont="1" applyFill="1" applyBorder="1" applyAlignment="1">
      <alignment horizontal="left" vertical="center" indent="3"/>
    </xf>
    <xf numFmtId="0" fontId="23" fillId="0" borderId="7" xfId="0" applyFont="1" applyBorder="1" applyAlignment="1">
      <alignment vertical="center" wrapText="1"/>
    </xf>
    <xf numFmtId="0" fontId="6" fillId="0" borderId="1" xfId="0" applyFont="1" applyBorder="1" applyAlignment="1"/>
    <xf numFmtId="0" fontId="6" fillId="8" borderId="1" xfId="0" applyFont="1" applyFill="1" applyBorder="1" applyAlignment="1"/>
    <xf numFmtId="0" fontId="1" fillId="0" borderId="0" xfId="0" applyFont="1"/>
    <xf numFmtId="168" fontId="1" fillId="0" borderId="1" xfId="18" applyNumberFormat="1" applyFont="1" applyBorder="1" applyAlignment="1">
      <alignment vertical="center"/>
    </xf>
    <xf numFmtId="0" fontId="1" fillId="0" borderId="1" xfId="0" applyFont="1" applyBorder="1" applyAlignment="1">
      <alignment vertical="center"/>
    </xf>
    <xf numFmtId="0" fontId="1" fillId="0" borderId="1" xfId="0" applyFont="1" applyBorder="1"/>
    <xf numFmtId="169" fontId="1" fillId="0" borderId="1" xfId="18" applyNumberFormat="1" applyFont="1" applyBorder="1"/>
    <xf numFmtId="9" fontId="1" fillId="0" borderId="1" xfId="21" applyFont="1" applyBorder="1" applyAlignment="1">
      <alignment horizontal="center"/>
    </xf>
    <xf numFmtId="0" fontId="1" fillId="0" borderId="1" xfId="18" applyNumberFormat="1" applyFont="1" applyBorder="1"/>
    <xf numFmtId="168" fontId="1" fillId="0" borderId="1" xfId="18" applyNumberFormat="1" applyFont="1" applyFill="1" applyBorder="1" applyAlignment="1">
      <alignment vertical="center"/>
    </xf>
    <xf numFmtId="0" fontId="1" fillId="0" borderId="0" xfId="0" applyFont="1" applyAlignment="1">
      <alignment horizontal="right" vertical="center"/>
    </xf>
    <xf numFmtId="169" fontId="1" fillId="0" borderId="1" xfId="18" applyNumberFormat="1" applyFont="1" applyBorder="1" applyAlignment="1">
      <alignment vertical="center"/>
    </xf>
    <xf numFmtId="0" fontId="1" fillId="0" borderId="1" xfId="18" applyNumberFormat="1" applyFont="1" applyBorder="1" applyAlignment="1">
      <alignment vertical="center"/>
    </xf>
    <xf numFmtId="168" fontId="1" fillId="0" borderId="8" xfId="18" applyNumberFormat="1" applyFont="1" applyBorder="1" applyAlignment="1">
      <alignment vertical="center"/>
    </xf>
    <xf numFmtId="0" fontId="1" fillId="0" borderId="8" xfId="0" applyFont="1" applyBorder="1" applyAlignment="1">
      <alignment vertical="center"/>
    </xf>
    <xf numFmtId="0" fontId="1" fillId="0" borderId="8" xfId="0" applyFont="1" applyBorder="1"/>
    <xf numFmtId="169" fontId="1" fillId="0" borderId="8" xfId="18" applyNumberFormat="1" applyFont="1" applyBorder="1"/>
    <xf numFmtId="9" fontId="1" fillId="0" borderId="8" xfId="21" applyFont="1" applyBorder="1" applyAlignment="1">
      <alignment horizontal="center"/>
    </xf>
    <xf numFmtId="1" fontId="1" fillId="0" borderId="8" xfId="18" applyNumberFormat="1" applyFont="1" applyBorder="1"/>
    <xf numFmtId="0" fontId="1" fillId="0" borderId="8" xfId="18" applyNumberFormat="1" applyFont="1" applyBorder="1"/>
  </cellXfs>
  <cellStyles count="22">
    <cellStyle name="Hipervínculo" xfId="20" builtinId="8"/>
    <cellStyle name="Hyperlink" xfId="1" xr:uid="{00000000-0005-0000-0000-000001000000}"/>
    <cellStyle name="Millares" xfId="19" builtinId="3"/>
    <cellStyle name="Millares [0] 2" xfId="5" xr:uid="{00000000-0005-0000-0000-000003000000}"/>
    <cellStyle name="Moneda" xfId="18" builtinId="4"/>
    <cellStyle name="Moneda [0] 10" xfId="10" xr:uid="{00000000-0005-0000-0000-000005000000}"/>
    <cellStyle name="Moneda [0] 10 2" xfId="11" xr:uid="{00000000-0005-0000-0000-000006000000}"/>
    <cellStyle name="Moneda [0] 11" xfId="13" xr:uid="{00000000-0005-0000-0000-000007000000}"/>
    <cellStyle name="Moneda [0] 2" xfId="4" xr:uid="{00000000-0005-0000-0000-000008000000}"/>
    <cellStyle name="Moneda [0] 2 4" xfId="9" xr:uid="{00000000-0005-0000-0000-000009000000}"/>
    <cellStyle name="Moneda [0] 3" xfId="7" xr:uid="{00000000-0005-0000-0000-00000A000000}"/>
    <cellStyle name="Moneda [0] 3 3" xfId="8" xr:uid="{00000000-0005-0000-0000-00000B000000}"/>
    <cellStyle name="Moneda [0] 3 4" xfId="12" xr:uid="{00000000-0005-0000-0000-00000C000000}"/>
    <cellStyle name="Moneda [0] 4" xfId="15" xr:uid="{00000000-0005-0000-0000-00000D000000}"/>
    <cellStyle name="Moneda 11" xfId="14" xr:uid="{00000000-0005-0000-0000-00000E000000}"/>
    <cellStyle name="Moneda 2" xfId="2" xr:uid="{00000000-0005-0000-0000-00000F000000}"/>
    <cellStyle name="Normal" xfId="0" builtinId="0"/>
    <cellStyle name="Normal 2" xfId="6" xr:uid="{00000000-0005-0000-0000-000011000000}"/>
    <cellStyle name="Normal 5" xfId="16" xr:uid="{00000000-0005-0000-0000-000012000000}"/>
    <cellStyle name="Normal 6" xfId="17" xr:uid="{00000000-0005-0000-0000-000013000000}"/>
    <cellStyle name="Porcentaje" xfId="21" builtinId="5"/>
    <cellStyle name="Porcentaje 2" xfId="3" xr:uid="{00000000-0005-0000-0000-000014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B9197-C5D9-4613-B5B7-A324C8402EEA}">
  <dimension ref="B2:C6"/>
  <sheetViews>
    <sheetView workbookViewId="0">
      <selection activeCell="C7" sqref="C7"/>
    </sheetView>
  </sheetViews>
  <sheetFormatPr defaultRowHeight="15"/>
  <cols>
    <col min="2" max="2" width="51" bestFit="1" customWidth="1"/>
    <col min="3" max="3" width="17.5703125" style="149" bestFit="1" customWidth="1"/>
    <col min="4" max="4" width="21.42578125" customWidth="1"/>
  </cols>
  <sheetData>
    <row r="2" spans="2:3" ht="29.25" customHeight="1">
      <c r="B2" s="206" t="s">
        <v>0</v>
      </c>
      <c r="C2" s="207"/>
    </row>
    <row r="3" spans="2:3">
      <c r="B3" s="154" t="s">
        <v>1</v>
      </c>
      <c r="C3" s="155">
        <f>+'META CAPACITACION '!T36</f>
        <v>129991100</v>
      </c>
    </row>
    <row r="4" spans="2:3">
      <c r="B4" s="150" t="s">
        <v>2</v>
      </c>
      <c r="C4" s="151">
        <f>+'META DOTACION'!S20</f>
        <v>22047350</v>
      </c>
    </row>
    <row r="5" spans="2:3">
      <c r="B5" s="150" t="s">
        <v>3</v>
      </c>
      <c r="C5" s="151">
        <v>211961550</v>
      </c>
    </row>
    <row r="6" spans="2:3">
      <c r="B6" s="152" t="s">
        <v>4</v>
      </c>
      <c r="C6" s="153">
        <f>+SUM(C3:C5)</f>
        <v>364000000</v>
      </c>
    </row>
  </sheetData>
  <mergeCells count="1">
    <mergeCell ref="B2: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10A84-AF34-4D71-9A66-EC07BAD75742}">
  <dimension ref="A1:U37"/>
  <sheetViews>
    <sheetView tabSelected="1" topLeftCell="A30" workbookViewId="0">
      <selection activeCell="C34" sqref="C34"/>
    </sheetView>
  </sheetViews>
  <sheetFormatPr defaultRowHeight="15"/>
  <cols>
    <col min="1" max="1" width="7.7109375" customWidth="1"/>
    <col min="2" max="2" width="31.42578125" customWidth="1"/>
    <col min="3" max="3" width="81.85546875" customWidth="1"/>
    <col min="4" max="4" width="15.7109375" customWidth="1"/>
    <col min="5" max="5" width="20.85546875" customWidth="1"/>
    <col min="6" max="6" width="29.7109375" customWidth="1"/>
    <col min="7" max="7" width="20.42578125" customWidth="1"/>
    <col min="8" max="8" width="24.85546875" customWidth="1"/>
    <col min="9" max="9" width="24.42578125" customWidth="1"/>
    <col min="10" max="12" width="25.28515625" customWidth="1"/>
    <col min="13" max="13" width="15.7109375" customWidth="1"/>
    <col min="14" max="14" width="19.5703125" customWidth="1"/>
    <col min="15" max="16" width="21" customWidth="1"/>
    <col min="17" max="17" width="15.7109375" customWidth="1"/>
    <col min="18" max="18" width="25.42578125" customWidth="1"/>
    <col min="19" max="19" width="15.7109375" customWidth="1"/>
    <col min="20" max="20" width="18.42578125" customWidth="1"/>
    <col min="21" max="21" width="52.42578125" customWidth="1"/>
  </cols>
  <sheetData>
    <row r="1" spans="1:21" ht="48.75" customHeight="1">
      <c r="A1" s="211" t="s">
        <v>5</v>
      </c>
      <c r="B1" s="211"/>
      <c r="C1" s="211"/>
      <c r="D1" s="211"/>
      <c r="E1" s="211"/>
      <c r="F1" s="211"/>
      <c r="G1" s="211"/>
      <c r="H1" s="211"/>
      <c r="I1" s="211"/>
      <c r="J1" s="211"/>
      <c r="K1" s="211"/>
      <c r="L1" s="211"/>
      <c r="M1" s="211"/>
      <c r="N1" s="211"/>
      <c r="O1" s="211"/>
      <c r="P1" s="211"/>
      <c r="Q1" s="211"/>
      <c r="R1" s="211"/>
      <c r="S1" s="211"/>
      <c r="T1" s="211"/>
    </row>
    <row r="2" spans="1:21" ht="18.75">
      <c r="A2" s="212" t="s">
        <v>6</v>
      </c>
      <c r="B2" s="212"/>
      <c r="C2" s="212"/>
      <c r="D2" s="212"/>
      <c r="E2" s="212"/>
      <c r="F2" s="212"/>
      <c r="G2" s="212"/>
      <c r="H2" s="212"/>
      <c r="I2" s="212"/>
      <c r="J2" s="212"/>
      <c r="K2" s="212"/>
      <c r="L2" s="212"/>
      <c r="M2" s="212"/>
      <c r="N2" s="212"/>
      <c r="O2" s="212"/>
      <c r="P2" s="212"/>
      <c r="Q2" s="212"/>
      <c r="R2" s="212"/>
      <c r="S2" s="212"/>
      <c r="T2" s="212"/>
    </row>
    <row r="3" spans="1:21">
      <c r="A3" s="213" t="s">
        <v>7</v>
      </c>
      <c r="B3" s="215" t="s">
        <v>8</v>
      </c>
      <c r="C3" s="213" t="s">
        <v>9</v>
      </c>
      <c r="D3" s="216" t="s">
        <v>10</v>
      </c>
      <c r="E3" s="217" t="s">
        <v>11</v>
      </c>
      <c r="F3" s="217" t="s">
        <v>12</v>
      </c>
      <c r="G3" s="217" t="s">
        <v>13</v>
      </c>
      <c r="H3" s="217" t="s">
        <v>14</v>
      </c>
      <c r="I3" s="217" t="s">
        <v>15</v>
      </c>
      <c r="J3" s="217" t="s">
        <v>16</v>
      </c>
      <c r="K3" s="217" t="s">
        <v>17</v>
      </c>
      <c r="L3" s="217" t="s">
        <v>18</v>
      </c>
      <c r="M3" s="227" t="s">
        <v>19</v>
      </c>
      <c r="N3" s="227" t="s">
        <v>20</v>
      </c>
      <c r="O3" s="227" t="s">
        <v>21</v>
      </c>
      <c r="P3" s="228" t="s">
        <v>22</v>
      </c>
      <c r="Q3" s="227" t="s">
        <v>23</v>
      </c>
      <c r="R3" s="227" t="s">
        <v>24</v>
      </c>
      <c r="S3" s="227" t="s">
        <v>25</v>
      </c>
      <c r="T3" s="227" t="s">
        <v>26</v>
      </c>
    </row>
    <row r="4" spans="1:21">
      <c r="A4" s="214"/>
      <c r="B4" s="215"/>
      <c r="C4" s="214"/>
      <c r="D4" s="253"/>
      <c r="E4" s="217"/>
      <c r="F4" s="217"/>
      <c r="G4" s="217"/>
      <c r="H4" s="217"/>
      <c r="I4" s="217"/>
      <c r="J4" s="217"/>
      <c r="K4" s="217"/>
      <c r="L4" s="217"/>
      <c r="M4" s="253"/>
      <c r="N4" s="227"/>
      <c r="O4" s="227"/>
      <c r="P4" s="229"/>
      <c r="Q4" s="253"/>
      <c r="R4" s="253"/>
      <c r="S4" s="253"/>
      <c r="T4" s="253"/>
    </row>
    <row r="5" spans="1:21" ht="15.75">
      <c r="A5" s="218" t="s">
        <v>27</v>
      </c>
      <c r="B5" s="219"/>
      <c r="C5" s="219"/>
      <c r="D5" s="219"/>
      <c r="E5" s="219"/>
      <c r="F5" s="219"/>
      <c r="G5" s="219"/>
      <c r="H5" s="219"/>
      <c r="I5" s="219"/>
      <c r="J5" s="219"/>
      <c r="K5" s="219"/>
      <c r="L5" s="219"/>
      <c r="M5" s="219"/>
      <c r="N5" s="219"/>
      <c r="O5" s="219"/>
      <c r="P5" s="219"/>
      <c r="Q5" s="219"/>
      <c r="R5" s="219"/>
      <c r="S5" s="219"/>
      <c r="T5" s="220"/>
    </row>
    <row r="6" spans="1:21" ht="113.25">
      <c r="A6" s="2">
        <v>1</v>
      </c>
      <c r="B6" s="79" t="s">
        <v>28</v>
      </c>
      <c r="C6" s="3" t="s">
        <v>29</v>
      </c>
      <c r="D6" s="2" t="s">
        <v>30</v>
      </c>
      <c r="E6" s="34">
        <f>60000*1.19</f>
        <v>71400</v>
      </c>
      <c r="F6" s="35" t="s">
        <v>31</v>
      </c>
      <c r="G6" s="34">
        <f>70000*1.19</f>
        <v>83300</v>
      </c>
      <c r="H6" s="35" t="s">
        <v>32</v>
      </c>
      <c r="I6" s="36">
        <f>50000*1.19</f>
        <v>59500</v>
      </c>
      <c r="J6" s="35" t="s">
        <v>33</v>
      </c>
      <c r="K6" s="35"/>
      <c r="L6" s="35"/>
      <c r="M6" s="1">
        <f>+COUNT(E6,G6,I6)</f>
        <v>3</v>
      </c>
      <c r="N6" s="80">
        <f>+MEDIAN(E6,G6,I6)</f>
        <v>71400</v>
      </c>
      <c r="O6" s="80">
        <f>+STDEVA(I6,G6,E6)</f>
        <v>11900</v>
      </c>
      <c r="P6" s="77">
        <f>+O6/N6</f>
        <v>0.16666666666666666</v>
      </c>
      <c r="Q6" s="58">
        <f>+AVERAGE(E6,G6,I6)</f>
        <v>71400</v>
      </c>
      <c r="R6" s="58">
        <f>+_xlfn.CEILING.MATH(Q6,50,FALSE)</f>
        <v>71400</v>
      </c>
      <c r="S6" s="1">
        <v>140</v>
      </c>
      <c r="T6" s="58">
        <f>+R6*S6</f>
        <v>9996000</v>
      </c>
    </row>
    <row r="7" spans="1:21" ht="32.25">
      <c r="A7" s="2">
        <v>2</v>
      </c>
      <c r="B7" s="81" t="s">
        <v>34</v>
      </c>
      <c r="C7" s="7" t="s">
        <v>35</v>
      </c>
      <c r="D7" s="4" t="s">
        <v>36</v>
      </c>
      <c r="E7" s="82">
        <f>15000*1.19</f>
        <v>17850</v>
      </c>
      <c r="F7" s="83" t="s">
        <v>31</v>
      </c>
      <c r="G7" s="34">
        <f>18000*1.19</f>
        <v>21420</v>
      </c>
      <c r="H7" s="35" t="s">
        <v>32</v>
      </c>
      <c r="I7" s="32">
        <f>17850*1.19</f>
        <v>21241.5</v>
      </c>
      <c r="J7" s="43" t="s">
        <v>37</v>
      </c>
      <c r="K7" s="35"/>
      <c r="L7" s="35"/>
      <c r="M7" s="1">
        <f t="shared" ref="M7:M8" si="0">+COUNT(E7,G7,I7)</f>
        <v>3</v>
      </c>
      <c r="N7" s="80">
        <f t="shared" ref="N7:N8" si="1">+MEDIAN(E7,G7,I7)</f>
        <v>21241.5</v>
      </c>
      <c r="O7" s="80">
        <f t="shared" ref="O7:O8" si="2">+STDEVA(I7,G7,E7)</f>
        <v>2011.5928390208592</v>
      </c>
      <c r="P7" s="77">
        <f t="shared" ref="P7:P8" si="3">+O7/N7</f>
        <v>9.4701072853652479E-2</v>
      </c>
      <c r="Q7" s="58">
        <f t="shared" ref="Q7:Q8" si="4">+AVERAGE(E7,G7,I7)</f>
        <v>20170.5</v>
      </c>
      <c r="R7" s="58">
        <f t="shared" ref="R7:R34" si="5">+_xlfn.CEILING.MATH(Q7,50,FALSE)</f>
        <v>20200</v>
      </c>
      <c r="S7" s="1">
        <v>140</v>
      </c>
      <c r="T7" s="58">
        <f t="shared" ref="T7:T34" si="6">+R7*S7</f>
        <v>2828000</v>
      </c>
    </row>
    <row r="8" spans="1:21" ht="48.75">
      <c r="A8" s="2">
        <v>3</v>
      </c>
      <c r="B8" s="74" t="s">
        <v>38</v>
      </c>
      <c r="C8" s="3" t="s">
        <v>39</v>
      </c>
      <c r="D8" s="84" t="s">
        <v>36</v>
      </c>
      <c r="E8" s="85">
        <v>29655</v>
      </c>
      <c r="F8" s="24" t="s">
        <v>37</v>
      </c>
      <c r="G8" s="86">
        <f>15000*1.19</f>
        <v>17850</v>
      </c>
      <c r="H8" s="35" t="s">
        <v>32</v>
      </c>
      <c r="I8" s="36">
        <f>16000*1.19</f>
        <v>19040</v>
      </c>
      <c r="J8" s="35" t="s">
        <v>33</v>
      </c>
      <c r="K8" s="35"/>
      <c r="L8" s="35"/>
      <c r="M8" s="1">
        <f t="shared" si="0"/>
        <v>3</v>
      </c>
      <c r="N8" s="80">
        <f t="shared" si="1"/>
        <v>19040</v>
      </c>
      <c r="O8" s="80">
        <f t="shared" si="2"/>
        <v>6499.3890738540476</v>
      </c>
      <c r="P8" s="77">
        <f t="shared" si="3"/>
        <v>0.34135446816460335</v>
      </c>
      <c r="Q8" s="58">
        <f t="shared" si="4"/>
        <v>22181.666666666668</v>
      </c>
      <c r="R8" s="58">
        <f t="shared" si="5"/>
        <v>22200</v>
      </c>
      <c r="S8" s="1">
        <v>140</v>
      </c>
      <c r="T8" s="58">
        <f t="shared" si="6"/>
        <v>3108000</v>
      </c>
    </row>
    <row r="9" spans="1:21">
      <c r="A9" s="221" t="s">
        <v>40</v>
      </c>
      <c r="B9" s="222"/>
      <c r="C9" s="222"/>
      <c r="D9" s="222"/>
      <c r="E9" s="222"/>
      <c r="F9" s="222"/>
      <c r="G9" s="222"/>
      <c r="H9" s="222"/>
      <c r="I9" s="222"/>
      <c r="J9" s="222"/>
      <c r="K9" s="222"/>
      <c r="L9" s="222"/>
      <c r="M9" s="222"/>
      <c r="N9" s="222"/>
      <c r="O9" s="222"/>
      <c r="P9" s="222"/>
      <c r="Q9" s="222"/>
      <c r="R9" s="222"/>
      <c r="S9" s="222"/>
      <c r="T9" s="223"/>
    </row>
    <row r="10" spans="1:21" ht="32.25">
      <c r="A10" s="2">
        <v>4</v>
      </c>
      <c r="B10" s="74" t="s">
        <v>41</v>
      </c>
      <c r="C10" s="87" t="s">
        <v>42</v>
      </c>
      <c r="D10" s="4" t="s">
        <v>36</v>
      </c>
      <c r="E10" s="34">
        <f>1956*1.19</f>
        <v>2327.64</v>
      </c>
      <c r="F10" s="35" t="s">
        <v>31</v>
      </c>
      <c r="G10" s="34">
        <f>2506*1.19</f>
        <v>2982.14</v>
      </c>
      <c r="H10" s="35" t="s">
        <v>32</v>
      </c>
      <c r="I10" s="88">
        <f>2500*1.19</f>
        <v>2975</v>
      </c>
      <c r="J10" s="83" t="s">
        <v>33</v>
      </c>
      <c r="K10" s="35"/>
      <c r="L10" s="35"/>
      <c r="M10" s="1">
        <f t="shared" ref="M10:M13" si="7">+COUNT(E10,G10,I10)</f>
        <v>3</v>
      </c>
      <c r="N10" s="80">
        <f t="shared" ref="N10:N13" si="8">+MEDIAN(E10,G10,I10)</f>
        <v>2975</v>
      </c>
      <c r="O10" s="80">
        <f t="shared" ref="O10:O13" si="9">+STDEVA(I10,G10,E10)</f>
        <v>375.8315667068631</v>
      </c>
      <c r="P10" s="77">
        <f t="shared" ref="P10:P13" si="10">+O10/N10</f>
        <v>0.12632993838886156</v>
      </c>
      <c r="Q10" s="58">
        <f t="shared" ref="Q10:Q13" si="11">+AVERAGE(E10,G10,I10)</f>
        <v>2761.5933333333328</v>
      </c>
      <c r="R10" s="58">
        <f t="shared" ref="R10:R13" si="12">+_xlfn.CEILING.MATH(Q10,50,FALSE)</f>
        <v>2800</v>
      </c>
      <c r="S10" s="1">
        <v>100</v>
      </c>
      <c r="T10" s="58">
        <f t="shared" ref="T10:T13" si="13">+R10*S10</f>
        <v>280000</v>
      </c>
    </row>
    <row r="11" spans="1:21" ht="96.75">
      <c r="A11" s="2">
        <v>5</v>
      </c>
      <c r="B11" s="81" t="s">
        <v>43</v>
      </c>
      <c r="C11" s="7" t="s">
        <v>44</v>
      </c>
      <c r="D11" s="4" t="s">
        <v>36</v>
      </c>
      <c r="E11" s="34">
        <f>23000*1.19</f>
        <v>27370</v>
      </c>
      <c r="F11" s="35" t="s">
        <v>32</v>
      </c>
      <c r="G11" s="36">
        <f>15000*1.19</f>
        <v>17850</v>
      </c>
      <c r="H11" s="89" t="s">
        <v>33</v>
      </c>
      <c r="I11" s="29"/>
      <c r="J11" s="29"/>
      <c r="K11" s="90"/>
      <c r="L11" s="35"/>
      <c r="M11" s="1">
        <f>+COUNT(E11,G11,I11)</f>
        <v>2</v>
      </c>
      <c r="N11" s="80">
        <f>+MEDIAN(E11,G11)</f>
        <v>22610</v>
      </c>
      <c r="O11" s="80">
        <f>+STDEVA(I11,G11,E11)</f>
        <v>6731.6565568959322</v>
      </c>
      <c r="P11" s="77">
        <f>+O11/N11</f>
        <v>0.29772917102591473</v>
      </c>
      <c r="Q11" s="58">
        <f>+AVERAGE(E11,G11,I11)</f>
        <v>22610</v>
      </c>
      <c r="R11" s="58">
        <f>+_xlfn.CEILING.MATH(Q11,50,FALSE)</f>
        <v>22650</v>
      </c>
      <c r="S11" s="1">
        <v>100</v>
      </c>
      <c r="T11" s="58">
        <f>+R11*S11</f>
        <v>2265000</v>
      </c>
    </row>
    <row r="12" spans="1:21" ht="32.25">
      <c r="A12" s="2">
        <v>6</v>
      </c>
      <c r="B12" s="91" t="s">
        <v>45</v>
      </c>
      <c r="C12" s="7" t="s">
        <v>46</v>
      </c>
      <c r="D12" s="4" t="s">
        <v>36</v>
      </c>
      <c r="E12" s="34">
        <f>4200*1.19</f>
        <v>4998</v>
      </c>
      <c r="F12" s="35" t="s">
        <v>32</v>
      </c>
      <c r="G12" s="36">
        <f>3500*1.19</f>
        <v>4165</v>
      </c>
      <c r="H12" s="89" t="s">
        <v>33</v>
      </c>
      <c r="I12" s="92">
        <v>4760</v>
      </c>
      <c r="J12" s="93" t="s">
        <v>47</v>
      </c>
      <c r="K12" s="90"/>
      <c r="L12" s="35"/>
      <c r="M12" s="1">
        <f t="shared" si="7"/>
        <v>3</v>
      </c>
      <c r="N12" s="80">
        <f t="shared" si="8"/>
        <v>4760</v>
      </c>
      <c r="O12" s="80">
        <f t="shared" si="9"/>
        <v>429.06060178021471</v>
      </c>
      <c r="P12" s="77">
        <f t="shared" si="10"/>
        <v>9.0138781886599725E-2</v>
      </c>
      <c r="Q12" s="58">
        <f t="shared" si="11"/>
        <v>4641</v>
      </c>
      <c r="R12" s="58">
        <f t="shared" si="12"/>
        <v>4650</v>
      </c>
      <c r="S12" s="1">
        <v>100</v>
      </c>
      <c r="T12" s="58">
        <f t="shared" si="13"/>
        <v>465000</v>
      </c>
    </row>
    <row r="13" spans="1:21" ht="45.75">
      <c r="A13" s="22">
        <v>7</v>
      </c>
      <c r="B13" s="94" t="s">
        <v>48</v>
      </c>
      <c r="C13" s="95" t="s">
        <v>49</v>
      </c>
      <c r="D13" s="23" t="s">
        <v>36</v>
      </c>
      <c r="E13" s="34">
        <v>10000</v>
      </c>
      <c r="F13" s="65" t="s">
        <v>50</v>
      </c>
      <c r="G13" s="34">
        <v>12000</v>
      </c>
      <c r="H13" s="35" t="s">
        <v>51</v>
      </c>
      <c r="I13" s="96">
        <v>13000</v>
      </c>
      <c r="J13" s="97" t="s">
        <v>52</v>
      </c>
      <c r="K13" s="29"/>
      <c r="L13" s="29"/>
      <c r="M13" s="98">
        <f t="shared" si="7"/>
        <v>3</v>
      </c>
      <c r="N13" s="80">
        <f t="shared" si="8"/>
        <v>12000</v>
      </c>
      <c r="O13" s="80">
        <f t="shared" si="9"/>
        <v>1527.52523165195</v>
      </c>
      <c r="P13" s="77">
        <f t="shared" si="10"/>
        <v>0.12729376930432917</v>
      </c>
      <c r="Q13" s="58">
        <f t="shared" si="11"/>
        <v>11666.666666666666</v>
      </c>
      <c r="R13" s="58">
        <f t="shared" si="12"/>
        <v>11700</v>
      </c>
      <c r="S13" s="1">
        <v>100</v>
      </c>
      <c r="T13" s="58">
        <f t="shared" si="13"/>
        <v>1170000</v>
      </c>
    </row>
    <row r="14" spans="1:21" ht="15.75">
      <c r="A14" s="218" t="s">
        <v>53</v>
      </c>
      <c r="B14" s="219"/>
      <c r="C14" s="224"/>
      <c r="D14" s="219"/>
      <c r="E14" s="219"/>
      <c r="F14" s="219"/>
      <c r="G14" s="219"/>
      <c r="H14" s="219"/>
      <c r="I14" s="219"/>
      <c r="J14" s="219"/>
      <c r="K14" s="219"/>
      <c r="L14" s="219"/>
      <c r="M14" s="219"/>
      <c r="N14" s="219"/>
      <c r="O14" s="219"/>
      <c r="P14" s="219"/>
      <c r="Q14" s="219"/>
      <c r="R14" s="219"/>
      <c r="S14" s="219"/>
      <c r="T14" s="220"/>
      <c r="U14" s="99"/>
    </row>
    <row r="15" spans="1:21" ht="48.75">
      <c r="A15" s="2">
        <v>8</v>
      </c>
      <c r="B15" s="100" t="s">
        <v>54</v>
      </c>
      <c r="C15" s="101" t="s">
        <v>55</v>
      </c>
      <c r="D15" s="23" t="s">
        <v>36</v>
      </c>
      <c r="E15" s="34"/>
      <c r="F15" s="35"/>
      <c r="G15" s="34"/>
      <c r="H15" s="35"/>
      <c r="I15" s="36"/>
      <c r="J15" s="35"/>
      <c r="K15" s="35"/>
      <c r="L15" s="35"/>
      <c r="M15" s="1"/>
      <c r="N15" s="80"/>
      <c r="O15" s="80"/>
      <c r="P15" s="77"/>
      <c r="Q15" s="58">
        <v>4773000</v>
      </c>
      <c r="R15" s="58">
        <v>4773000</v>
      </c>
      <c r="S15" s="1">
        <v>5</v>
      </c>
      <c r="T15" s="58">
        <f>+R15*S15</f>
        <v>23865000</v>
      </c>
    </row>
    <row r="16" spans="1:21" ht="48.75">
      <c r="A16" s="185">
        <v>9</v>
      </c>
      <c r="B16" s="186" t="s">
        <v>56</v>
      </c>
      <c r="C16" s="133" t="s">
        <v>57</v>
      </c>
      <c r="D16" s="187" t="s">
        <v>36</v>
      </c>
      <c r="E16" s="82"/>
      <c r="F16" s="83"/>
      <c r="G16" s="82"/>
      <c r="H16" s="83"/>
      <c r="I16" s="88"/>
      <c r="J16" s="83"/>
      <c r="K16" s="83"/>
      <c r="L16" s="83"/>
      <c r="M16" s="119"/>
      <c r="N16" s="116"/>
      <c r="O16" s="116"/>
      <c r="P16" s="117"/>
      <c r="Q16" s="118">
        <v>4773000</v>
      </c>
      <c r="R16" s="118">
        <v>4773000</v>
      </c>
      <c r="S16" s="119">
        <v>5</v>
      </c>
      <c r="T16" s="118">
        <f>+R16*S16</f>
        <v>23865000</v>
      </c>
    </row>
    <row r="17" spans="1:21" ht="15.75" customHeight="1">
      <c r="A17" s="208" t="s">
        <v>58</v>
      </c>
      <c r="B17" s="209"/>
      <c r="C17" s="209"/>
      <c r="D17" s="209"/>
      <c r="E17" s="209"/>
      <c r="F17" s="209"/>
      <c r="G17" s="209"/>
      <c r="H17" s="209"/>
      <c r="I17" s="209"/>
      <c r="J17" s="209"/>
      <c r="K17" s="209"/>
      <c r="L17" s="209"/>
      <c r="M17" s="209"/>
      <c r="N17" s="209"/>
      <c r="O17" s="209"/>
      <c r="P17" s="209"/>
      <c r="Q17" s="209"/>
      <c r="R17" s="209"/>
      <c r="S17" s="209"/>
      <c r="T17" s="210"/>
    </row>
    <row r="18" spans="1:21" ht="43.5">
      <c r="A18" s="193">
        <v>10</v>
      </c>
      <c r="B18" s="194" t="s">
        <v>59</v>
      </c>
      <c r="C18" s="195" t="s">
        <v>60</v>
      </c>
      <c r="D18" s="196" t="s">
        <v>36</v>
      </c>
      <c r="E18" s="197">
        <v>1360000</v>
      </c>
      <c r="F18" s="196" t="s">
        <v>61</v>
      </c>
      <c r="G18" s="197">
        <v>1670000</v>
      </c>
      <c r="H18" s="196" t="s">
        <v>62</v>
      </c>
      <c r="I18" s="198"/>
      <c r="J18" s="167"/>
      <c r="K18" s="167"/>
      <c r="L18" s="167"/>
      <c r="M18" s="199">
        <f t="shared" ref="M18:M27" si="14">+COUNT(E18,G18,I18)</f>
        <v>2</v>
      </c>
      <c r="N18" s="200">
        <f t="shared" ref="N18:N26" si="15">+MEDIAN(E18,G18,I18)</f>
        <v>1515000</v>
      </c>
      <c r="O18" s="200">
        <f t="shared" ref="O18:O26" si="16">+STDEVA(I18,G18,E18)</f>
        <v>219203.10216782973</v>
      </c>
      <c r="P18" s="201">
        <f t="shared" ref="P18:P26" si="17">+O18/N18</f>
        <v>0.14468851628239585</v>
      </c>
      <c r="Q18" s="202">
        <f t="shared" ref="Q18:Q26" si="18">+AVERAGE(E18,G18,I18)</f>
        <v>1515000</v>
      </c>
      <c r="R18" s="202">
        <f t="shared" si="5"/>
        <v>1515000</v>
      </c>
      <c r="S18" s="199">
        <v>1</v>
      </c>
      <c r="T18" s="202">
        <f t="shared" si="6"/>
        <v>1515000</v>
      </c>
    </row>
    <row r="19" spans="1:21" ht="15.75" customHeight="1">
      <c r="A19" s="208" t="s">
        <v>63</v>
      </c>
      <c r="B19" s="209"/>
      <c r="C19" s="209"/>
      <c r="D19" s="209"/>
      <c r="E19" s="209"/>
      <c r="F19" s="209"/>
      <c r="G19" s="209"/>
      <c r="H19" s="209"/>
      <c r="I19" s="209"/>
      <c r="J19" s="209"/>
      <c r="K19" s="209"/>
      <c r="L19" s="209"/>
      <c r="M19" s="209"/>
      <c r="N19" s="209"/>
      <c r="O19" s="209"/>
      <c r="P19" s="209"/>
      <c r="Q19" s="209"/>
      <c r="R19" s="209"/>
      <c r="S19" s="209"/>
      <c r="T19" s="210"/>
    </row>
    <row r="20" spans="1:21" ht="43.5">
      <c r="A20" s="52">
        <v>11</v>
      </c>
      <c r="B20" s="188" t="s">
        <v>64</v>
      </c>
      <c r="C20" s="102" t="s">
        <v>65</v>
      </c>
      <c r="D20" s="53" t="s">
        <v>36</v>
      </c>
      <c r="E20" s="203">
        <f>130000*1.19</f>
        <v>154700</v>
      </c>
      <c r="F20" s="96" t="s">
        <v>31</v>
      </c>
      <c r="G20" s="203">
        <f>130000*1.19</f>
        <v>154700</v>
      </c>
      <c r="H20" s="96" t="s">
        <v>32</v>
      </c>
      <c r="I20" s="189">
        <f>140000*1.19</f>
        <v>166600</v>
      </c>
      <c r="J20" s="96" t="s">
        <v>33</v>
      </c>
      <c r="K20" s="167"/>
      <c r="L20" s="167"/>
      <c r="M20" s="54">
        <f t="shared" si="14"/>
        <v>3</v>
      </c>
      <c r="N20" s="190">
        <f t="shared" si="15"/>
        <v>154700</v>
      </c>
      <c r="O20" s="190">
        <f t="shared" si="16"/>
        <v>6870.4682033565468</v>
      </c>
      <c r="P20" s="191">
        <f t="shared" si="17"/>
        <v>4.441155916843275E-2</v>
      </c>
      <c r="Q20" s="192">
        <f t="shared" si="18"/>
        <v>158666.66666666666</v>
      </c>
      <c r="R20" s="192">
        <f t="shared" si="5"/>
        <v>158700</v>
      </c>
      <c r="S20" s="54">
        <v>1</v>
      </c>
      <c r="T20" s="192">
        <f t="shared" si="6"/>
        <v>158700</v>
      </c>
    </row>
    <row r="21" spans="1:21" ht="48.75">
      <c r="A21" s="22">
        <v>12</v>
      </c>
      <c r="B21" s="101" t="s">
        <v>48</v>
      </c>
      <c r="C21" s="165" t="s">
        <v>49</v>
      </c>
      <c r="D21" s="23" t="s">
        <v>36</v>
      </c>
      <c r="E21" s="34">
        <v>10000</v>
      </c>
      <c r="F21" s="65" t="s">
        <v>50</v>
      </c>
      <c r="G21" s="34">
        <v>12000</v>
      </c>
      <c r="H21" s="35" t="s">
        <v>51</v>
      </c>
      <c r="I21" s="35">
        <v>13000</v>
      </c>
      <c r="J21" s="89" t="s">
        <v>52</v>
      </c>
      <c r="K21" s="29"/>
      <c r="L21" s="29"/>
      <c r="M21" s="98">
        <f t="shared" si="14"/>
        <v>3</v>
      </c>
      <c r="N21" s="80">
        <f t="shared" si="15"/>
        <v>12000</v>
      </c>
      <c r="O21" s="80">
        <f t="shared" si="16"/>
        <v>1527.52523165195</v>
      </c>
      <c r="P21" s="77">
        <f t="shared" si="17"/>
        <v>0.12729376930432917</v>
      </c>
      <c r="Q21" s="58">
        <f t="shared" si="18"/>
        <v>11666.666666666666</v>
      </c>
      <c r="R21" s="58">
        <f t="shared" si="5"/>
        <v>11700</v>
      </c>
      <c r="S21" s="1">
        <v>840</v>
      </c>
      <c r="T21" s="58">
        <f t="shared" si="6"/>
        <v>9828000</v>
      </c>
    </row>
    <row r="22" spans="1:21" ht="32.25">
      <c r="A22" s="2">
        <v>13</v>
      </c>
      <c r="B22" s="137" t="s">
        <v>66</v>
      </c>
      <c r="C22" s="138" t="s">
        <v>67</v>
      </c>
      <c r="D22" s="166" t="s">
        <v>36</v>
      </c>
      <c r="E22" s="82">
        <f>6500*1.19</f>
        <v>7735</v>
      </c>
      <c r="F22" s="83" t="s">
        <v>31</v>
      </c>
      <c r="G22" s="82">
        <f>3000*1.19</f>
        <v>3570</v>
      </c>
      <c r="H22" s="83" t="s">
        <v>32</v>
      </c>
      <c r="I22" s="88">
        <f>5000*1.19</f>
        <v>5950</v>
      </c>
      <c r="J22" s="83" t="s">
        <v>33</v>
      </c>
      <c r="K22" s="167"/>
      <c r="L22" s="167"/>
      <c r="M22" s="1">
        <f t="shared" si="14"/>
        <v>3</v>
      </c>
      <c r="N22" s="80">
        <f t="shared" si="15"/>
        <v>5950</v>
      </c>
      <c r="O22" s="80">
        <f t="shared" si="16"/>
        <v>2089.5713276491269</v>
      </c>
      <c r="P22" s="168">
        <f t="shared" si="17"/>
        <v>0.35118845842842472</v>
      </c>
      <c r="Q22" s="58">
        <f t="shared" si="18"/>
        <v>5751.666666666667</v>
      </c>
      <c r="R22" s="58">
        <f t="shared" si="5"/>
        <v>5800</v>
      </c>
      <c r="S22" s="1">
        <v>140</v>
      </c>
      <c r="T22" s="58">
        <f t="shared" si="6"/>
        <v>812000</v>
      </c>
    </row>
    <row r="23" spans="1:21" ht="32.25">
      <c r="A23" s="103">
        <v>14</v>
      </c>
      <c r="B23" s="104" t="s">
        <v>68</v>
      </c>
      <c r="C23" s="105" t="s">
        <v>69</v>
      </c>
      <c r="D23" s="23" t="s">
        <v>36</v>
      </c>
      <c r="E23" s="106">
        <f>22000*1.19</f>
        <v>26180</v>
      </c>
      <c r="F23" s="107" t="s">
        <v>31</v>
      </c>
      <c r="G23" s="106">
        <f>18000*1.19</f>
        <v>21420</v>
      </c>
      <c r="H23" s="107" t="s">
        <v>32</v>
      </c>
      <c r="I23" s="108">
        <f>28000*1.19</f>
        <v>33320</v>
      </c>
      <c r="J23" s="107" t="s">
        <v>33</v>
      </c>
      <c r="K23" s="107"/>
      <c r="L23" s="107"/>
      <c r="M23" s="98">
        <f t="shared" si="14"/>
        <v>3</v>
      </c>
      <c r="N23" s="80">
        <f t="shared" si="15"/>
        <v>26180</v>
      </c>
      <c r="O23" s="80">
        <f t="shared" si="16"/>
        <v>5989.5353186481216</v>
      </c>
      <c r="P23" s="77">
        <f t="shared" si="17"/>
        <v>0.22878286167487094</v>
      </c>
      <c r="Q23" s="58">
        <f t="shared" si="18"/>
        <v>26973.333333333332</v>
      </c>
      <c r="R23" s="58">
        <f t="shared" si="5"/>
        <v>27000</v>
      </c>
      <c r="S23" s="1">
        <v>140</v>
      </c>
      <c r="T23" s="58">
        <f t="shared" si="6"/>
        <v>3780000</v>
      </c>
    </row>
    <row r="24" spans="1:21" ht="16.5">
      <c r="A24" s="109">
        <v>15</v>
      </c>
      <c r="B24" s="110" t="s">
        <v>70</v>
      </c>
      <c r="C24" s="111" t="s">
        <v>71</v>
      </c>
      <c r="D24" s="23" t="s">
        <v>36</v>
      </c>
      <c r="E24" s="112">
        <f>3100*1.19</f>
        <v>3689</v>
      </c>
      <c r="F24" s="113" t="s">
        <v>72</v>
      </c>
      <c r="G24" s="112">
        <v>4500</v>
      </c>
      <c r="H24" s="113" t="s">
        <v>73</v>
      </c>
      <c r="I24" s="114">
        <v>4990</v>
      </c>
      <c r="J24" s="113" t="s">
        <v>74</v>
      </c>
      <c r="K24" s="113"/>
      <c r="L24" s="113"/>
      <c r="M24" s="115">
        <f t="shared" si="14"/>
        <v>3</v>
      </c>
      <c r="N24" s="116">
        <f t="shared" si="15"/>
        <v>4500</v>
      </c>
      <c r="O24" s="116">
        <f t="shared" si="16"/>
        <v>657.06696766767993</v>
      </c>
      <c r="P24" s="117">
        <f t="shared" si="17"/>
        <v>0.14601488170392887</v>
      </c>
      <c r="Q24" s="118">
        <f t="shared" si="18"/>
        <v>4393</v>
      </c>
      <c r="R24" s="118">
        <f t="shared" si="5"/>
        <v>4400</v>
      </c>
      <c r="S24" s="119">
        <v>140</v>
      </c>
      <c r="T24" s="118">
        <f t="shared" si="6"/>
        <v>616000</v>
      </c>
    </row>
    <row r="25" spans="1:21" ht="32.25">
      <c r="A25" s="120">
        <v>16</v>
      </c>
      <c r="B25" s="101" t="s">
        <v>75</v>
      </c>
      <c r="C25" s="121" t="s">
        <v>76</v>
      </c>
      <c r="D25" s="23" t="s">
        <v>36</v>
      </c>
      <c r="E25" s="106">
        <f>13800*1.19</f>
        <v>16422</v>
      </c>
      <c r="F25" s="107" t="s">
        <v>72</v>
      </c>
      <c r="G25" s="106">
        <v>18600</v>
      </c>
      <c r="H25" s="107" t="s">
        <v>77</v>
      </c>
      <c r="I25" s="108">
        <f>17000*1.19</f>
        <v>20230</v>
      </c>
      <c r="J25" s="107" t="s">
        <v>78</v>
      </c>
      <c r="K25" s="107"/>
      <c r="L25" s="107"/>
      <c r="M25" s="122">
        <f t="shared" si="14"/>
        <v>3</v>
      </c>
      <c r="N25" s="123">
        <f t="shared" si="15"/>
        <v>18600</v>
      </c>
      <c r="O25" s="123">
        <f t="shared" si="16"/>
        <v>1910.5604762302953</v>
      </c>
      <c r="P25" s="124">
        <f t="shared" si="17"/>
        <v>0.1027183051736718</v>
      </c>
      <c r="Q25" s="125">
        <f t="shared" si="18"/>
        <v>18417.333333333332</v>
      </c>
      <c r="R25" s="125">
        <f t="shared" si="5"/>
        <v>18450</v>
      </c>
      <c r="S25" s="122">
        <v>140</v>
      </c>
      <c r="T25" s="125">
        <f t="shared" si="6"/>
        <v>2583000</v>
      </c>
    </row>
    <row r="26" spans="1:21" ht="16.5">
      <c r="A26" s="120">
        <v>17</v>
      </c>
      <c r="B26" s="104" t="s">
        <v>79</v>
      </c>
      <c r="C26" s="105" t="s">
        <v>80</v>
      </c>
      <c r="D26" s="23" t="s">
        <v>36</v>
      </c>
      <c r="E26" s="106">
        <v>11900</v>
      </c>
      <c r="F26" s="107" t="s">
        <v>81</v>
      </c>
      <c r="G26" s="107">
        <v>12900</v>
      </c>
      <c r="H26" s="107" t="s">
        <v>82</v>
      </c>
      <c r="I26" s="108">
        <v>11900</v>
      </c>
      <c r="J26" s="107" t="s">
        <v>83</v>
      </c>
      <c r="K26" s="107"/>
      <c r="L26" s="107"/>
      <c r="M26" s="122">
        <f t="shared" si="14"/>
        <v>3</v>
      </c>
      <c r="N26" s="123">
        <f t="shared" si="15"/>
        <v>11900</v>
      </c>
      <c r="O26" s="123">
        <f t="shared" si="16"/>
        <v>577.35026918962569</v>
      </c>
      <c r="P26" s="124">
        <f t="shared" si="17"/>
        <v>4.8516829343666024E-2</v>
      </c>
      <c r="Q26" s="125">
        <f t="shared" si="18"/>
        <v>12233.333333333334</v>
      </c>
      <c r="R26" s="125">
        <f t="shared" si="5"/>
        <v>12250</v>
      </c>
      <c r="S26" s="122">
        <v>140</v>
      </c>
      <c r="T26" s="125">
        <f t="shared" si="6"/>
        <v>1715000</v>
      </c>
    </row>
    <row r="27" spans="1:21">
      <c r="A27" s="225" t="s">
        <v>84</v>
      </c>
      <c r="B27" s="225"/>
      <c r="C27" s="225"/>
      <c r="D27" s="225"/>
      <c r="E27" s="225"/>
      <c r="F27" s="225"/>
      <c r="G27" s="225"/>
      <c r="H27" s="225"/>
      <c r="I27" s="225"/>
      <c r="J27" s="225"/>
      <c r="K27" s="225"/>
      <c r="L27" s="225"/>
      <c r="M27" s="225"/>
      <c r="N27" s="225"/>
      <c r="O27" s="225"/>
      <c r="P27" s="225"/>
      <c r="Q27" s="225"/>
      <c r="R27" s="225"/>
      <c r="S27" s="225"/>
      <c r="T27" s="226"/>
      <c r="U27" s="19"/>
    </row>
    <row r="28" spans="1:21" ht="30.75">
      <c r="A28" s="2">
        <v>18</v>
      </c>
      <c r="B28" s="126" t="s">
        <v>85</v>
      </c>
      <c r="C28" s="127" t="s">
        <v>86</v>
      </c>
      <c r="D28" s="23" t="s">
        <v>36</v>
      </c>
      <c r="E28" s="36">
        <v>70200</v>
      </c>
      <c r="F28" s="35" t="s">
        <v>87</v>
      </c>
      <c r="G28" s="34"/>
      <c r="H28" s="35"/>
      <c r="I28" s="36"/>
      <c r="J28" s="35"/>
      <c r="K28" s="35"/>
      <c r="L28" s="35"/>
      <c r="M28" s="1">
        <f t="shared" ref="M28:M31" si="19">+COUNT(E28,G28,I28)</f>
        <v>1</v>
      </c>
      <c r="N28" s="80">
        <f t="shared" ref="N28:N34" si="20">+MEDIAN(E28,G28,I28)</f>
        <v>70200</v>
      </c>
      <c r="O28" s="80"/>
      <c r="P28" s="77"/>
      <c r="Q28" s="58">
        <f t="shared" ref="Q28:Q34" si="21">+AVERAGE(E28,G28,I28)</f>
        <v>70200</v>
      </c>
      <c r="R28" s="58">
        <f t="shared" si="5"/>
        <v>70200</v>
      </c>
      <c r="S28" s="1">
        <v>160</v>
      </c>
      <c r="T28" s="58">
        <f t="shared" si="6"/>
        <v>11232000</v>
      </c>
    </row>
    <row r="29" spans="1:21" ht="32.25">
      <c r="A29" s="2">
        <v>19</v>
      </c>
      <c r="B29" s="128" t="s">
        <v>88</v>
      </c>
      <c r="C29" s="129" t="s">
        <v>89</v>
      </c>
      <c r="D29" s="23" t="s">
        <v>36</v>
      </c>
      <c r="E29" s="35">
        <v>15000</v>
      </c>
      <c r="F29" s="35" t="s">
        <v>52</v>
      </c>
      <c r="G29" s="34">
        <v>14000</v>
      </c>
      <c r="H29" s="35" t="s">
        <v>51</v>
      </c>
      <c r="I29" s="36">
        <f>15000*1.19</f>
        <v>17850</v>
      </c>
      <c r="J29" s="35" t="s">
        <v>87</v>
      </c>
      <c r="K29" s="35"/>
      <c r="L29" s="35"/>
      <c r="M29" s="1">
        <f t="shared" si="19"/>
        <v>3</v>
      </c>
      <c r="N29" s="80">
        <f t="shared" si="20"/>
        <v>15000</v>
      </c>
      <c r="O29" s="80">
        <f t="shared" ref="O28:O34" si="22">+STDEVA(I29,G29,E29)</f>
        <v>1997.7070188927389</v>
      </c>
      <c r="P29" s="77">
        <f t="shared" ref="P28:P34" si="23">+O29/N29</f>
        <v>0.1331804679261826</v>
      </c>
      <c r="Q29" s="58">
        <f t="shared" si="21"/>
        <v>15616.666666666666</v>
      </c>
      <c r="R29" s="58">
        <f t="shared" si="5"/>
        <v>15650</v>
      </c>
      <c r="S29" s="1">
        <v>160</v>
      </c>
      <c r="T29" s="58">
        <f t="shared" si="6"/>
        <v>2504000</v>
      </c>
    </row>
    <row r="30" spans="1:21" ht="32.25">
      <c r="A30" s="2">
        <v>20</v>
      </c>
      <c r="B30" s="130" t="s">
        <v>90</v>
      </c>
      <c r="C30" s="127" t="s">
        <v>91</v>
      </c>
      <c r="D30" s="23" t="s">
        <v>36</v>
      </c>
      <c r="E30" s="35">
        <v>50000</v>
      </c>
      <c r="F30" s="35" t="s">
        <v>52</v>
      </c>
      <c r="G30" s="34">
        <v>39000</v>
      </c>
      <c r="H30" s="35" t="s">
        <v>51</v>
      </c>
      <c r="I30" s="36">
        <f>45000*1.19</f>
        <v>53550</v>
      </c>
      <c r="J30" s="35" t="s">
        <v>87</v>
      </c>
      <c r="K30" s="35"/>
      <c r="L30" s="35"/>
      <c r="M30" s="1">
        <f t="shared" si="19"/>
        <v>3</v>
      </c>
      <c r="N30" s="80">
        <f t="shared" si="20"/>
        <v>50000</v>
      </c>
      <c r="O30" s="80">
        <f t="shared" si="22"/>
        <v>7586.2265543110097</v>
      </c>
      <c r="P30" s="77">
        <f t="shared" si="23"/>
        <v>0.15172453108622019</v>
      </c>
      <c r="Q30" s="58">
        <f t="shared" si="21"/>
        <v>47516.666666666664</v>
      </c>
      <c r="R30" s="58">
        <f t="shared" si="5"/>
        <v>47550</v>
      </c>
      <c r="S30" s="1">
        <v>160</v>
      </c>
      <c r="T30" s="58">
        <f t="shared" si="6"/>
        <v>7608000</v>
      </c>
    </row>
    <row r="31" spans="1:21" ht="32.25">
      <c r="A31" s="2">
        <v>21</v>
      </c>
      <c r="B31" s="131" t="s">
        <v>92</v>
      </c>
      <c r="C31" s="132" t="s">
        <v>93</v>
      </c>
      <c r="D31" s="23" t="s">
        <v>36</v>
      </c>
      <c r="E31" s="35">
        <v>10000</v>
      </c>
      <c r="F31" s="35" t="s">
        <v>52</v>
      </c>
      <c r="G31" s="34">
        <v>7000</v>
      </c>
      <c r="H31" s="35" t="s">
        <v>51</v>
      </c>
      <c r="I31" s="36">
        <f>10000*1.19</f>
        <v>11900</v>
      </c>
      <c r="J31" s="35" t="s">
        <v>87</v>
      </c>
      <c r="K31" s="35"/>
      <c r="L31" s="35"/>
      <c r="M31" s="1">
        <f t="shared" si="19"/>
        <v>3</v>
      </c>
      <c r="N31" s="80">
        <f t="shared" si="20"/>
        <v>10000</v>
      </c>
      <c r="O31" s="80">
        <f t="shared" si="22"/>
        <v>2470.4925284917063</v>
      </c>
      <c r="P31" s="77">
        <f t="shared" si="23"/>
        <v>0.24704925284917062</v>
      </c>
      <c r="Q31" s="58">
        <f t="shared" si="21"/>
        <v>9633.3333333333339</v>
      </c>
      <c r="R31" s="58">
        <f t="shared" si="5"/>
        <v>9650</v>
      </c>
      <c r="S31" s="1">
        <v>160</v>
      </c>
      <c r="T31" s="58">
        <f t="shared" si="6"/>
        <v>1544000</v>
      </c>
    </row>
    <row r="32" spans="1:21" ht="113.25">
      <c r="A32" s="22">
        <v>22</v>
      </c>
      <c r="B32" s="182" t="s">
        <v>94</v>
      </c>
      <c r="C32" s="101" t="s">
        <v>95</v>
      </c>
      <c r="D32" s="23" t="s">
        <v>36</v>
      </c>
      <c r="E32" s="34">
        <v>600000</v>
      </c>
      <c r="F32" s="65" t="s">
        <v>50</v>
      </c>
      <c r="G32" s="34">
        <v>680000</v>
      </c>
      <c r="H32" s="35" t="s">
        <v>51</v>
      </c>
      <c r="I32" s="36">
        <v>800000</v>
      </c>
      <c r="J32" s="35" t="s">
        <v>52</v>
      </c>
      <c r="K32" s="35"/>
      <c r="L32" s="35"/>
      <c r="M32" s="1">
        <v>4</v>
      </c>
      <c r="N32" s="80">
        <f t="shared" si="20"/>
        <v>680000</v>
      </c>
      <c r="O32" s="80">
        <f t="shared" si="22"/>
        <v>100664.45913694354</v>
      </c>
      <c r="P32" s="168">
        <f t="shared" si="23"/>
        <v>0.14803596931903462</v>
      </c>
      <c r="Q32" s="58">
        <f t="shared" si="21"/>
        <v>693333.33333333337</v>
      </c>
      <c r="R32" s="58">
        <f t="shared" si="5"/>
        <v>693350</v>
      </c>
      <c r="S32" s="1">
        <v>4</v>
      </c>
      <c r="T32" s="58">
        <f t="shared" si="6"/>
        <v>2773400</v>
      </c>
    </row>
    <row r="33" spans="1:20" ht="48.75">
      <c r="A33" s="22">
        <v>23</v>
      </c>
      <c r="B33" s="183" t="s">
        <v>96</v>
      </c>
      <c r="C33" s="133" t="s">
        <v>97</v>
      </c>
      <c r="D33" s="23" t="s">
        <v>36</v>
      </c>
      <c r="E33" s="82">
        <v>14000</v>
      </c>
      <c r="F33" s="134" t="s">
        <v>98</v>
      </c>
      <c r="G33" s="82">
        <v>14000</v>
      </c>
      <c r="H33" s="83" t="s">
        <v>99</v>
      </c>
      <c r="I33" s="88">
        <v>14000</v>
      </c>
      <c r="J33" s="83" t="s">
        <v>100</v>
      </c>
      <c r="K33" s="83"/>
      <c r="L33" s="83"/>
      <c r="M33" s="119">
        <v>4</v>
      </c>
      <c r="N33" s="116">
        <f t="shared" si="20"/>
        <v>14000</v>
      </c>
      <c r="O33" s="116">
        <f t="shared" si="22"/>
        <v>0</v>
      </c>
      <c r="P33" s="117">
        <f t="shared" si="23"/>
        <v>0</v>
      </c>
      <c r="Q33" s="118">
        <f t="shared" si="21"/>
        <v>14000</v>
      </c>
      <c r="R33" s="118">
        <f t="shared" si="5"/>
        <v>14000</v>
      </c>
      <c r="S33" s="119">
        <v>160</v>
      </c>
      <c r="T33" s="118">
        <f t="shared" si="6"/>
        <v>2240000</v>
      </c>
    </row>
    <row r="34" spans="1:20" ht="60.75">
      <c r="A34" s="22">
        <v>24</v>
      </c>
      <c r="B34" s="135" t="s">
        <v>101</v>
      </c>
      <c r="C34" s="136" t="s">
        <v>102</v>
      </c>
      <c r="D34" s="23" t="s">
        <v>36</v>
      </c>
      <c r="E34" s="106">
        <v>6500</v>
      </c>
      <c r="F34" s="107" t="s">
        <v>103</v>
      </c>
      <c r="G34" s="106">
        <v>5000</v>
      </c>
      <c r="H34" s="107" t="s">
        <v>104</v>
      </c>
      <c r="I34" s="108"/>
      <c r="J34" s="107"/>
      <c r="K34" s="107"/>
      <c r="L34" s="107"/>
      <c r="M34" s="122">
        <f t="shared" ref="M34" si="24">+COUNT(E34,G34,I34)</f>
        <v>2</v>
      </c>
      <c r="N34" s="123">
        <f t="shared" si="20"/>
        <v>5750</v>
      </c>
      <c r="O34" s="123">
        <f t="shared" si="22"/>
        <v>1060.6601717798212</v>
      </c>
      <c r="P34" s="124">
        <f t="shared" si="23"/>
        <v>0.18446263857040368</v>
      </c>
      <c r="Q34" s="125">
        <f t="shared" si="21"/>
        <v>5750</v>
      </c>
      <c r="R34" s="125">
        <f t="shared" si="5"/>
        <v>5750</v>
      </c>
      <c r="S34" s="122">
        <v>160</v>
      </c>
      <c r="T34" s="125">
        <f t="shared" si="6"/>
        <v>920000</v>
      </c>
    </row>
    <row r="35" spans="1:20" ht="32.25">
      <c r="A35" s="22">
        <v>25</v>
      </c>
      <c r="B35" s="137" t="s">
        <v>105</v>
      </c>
      <c r="C35" s="138" t="s">
        <v>106</v>
      </c>
      <c r="D35" s="23" t="s">
        <v>36</v>
      </c>
      <c r="E35" s="139">
        <v>77000</v>
      </c>
      <c r="F35" s="107" t="s">
        <v>107</v>
      </c>
      <c r="G35" s="139"/>
      <c r="H35" s="107"/>
      <c r="I35" s="140"/>
      <c r="J35" s="107"/>
      <c r="K35" s="107"/>
      <c r="L35" s="107"/>
      <c r="M35" s="122">
        <f>+COUNT(E35,G35,I35)</f>
        <v>1</v>
      </c>
      <c r="N35" s="123">
        <f>+MEDIAN(E35,G35,I35)</f>
        <v>77000</v>
      </c>
      <c r="O35" s="123"/>
      <c r="P35" s="124"/>
      <c r="Q35" s="125">
        <f>+AVERAGE(E35,G35,I35)</f>
        <v>77000</v>
      </c>
      <c r="R35" s="125">
        <f>+_xlfn.CEILING.MATH(Q35,50,FALSE)</f>
        <v>77000</v>
      </c>
      <c r="S35" s="122">
        <v>160</v>
      </c>
      <c r="T35" s="125">
        <f>+R35*S35</f>
        <v>12320000</v>
      </c>
    </row>
    <row r="36" spans="1:20">
      <c r="A36" s="141"/>
      <c r="B36" s="142"/>
      <c r="C36" s="142"/>
      <c r="D36" s="143"/>
      <c r="E36" s="143"/>
      <c r="F36" s="143"/>
      <c r="G36" s="143"/>
      <c r="H36" s="143"/>
      <c r="I36" s="143"/>
      <c r="J36" s="144"/>
      <c r="K36" s="144"/>
      <c r="L36" s="144"/>
      <c r="M36" s="144"/>
      <c r="N36" s="144"/>
      <c r="O36" s="144"/>
      <c r="P36" s="144"/>
      <c r="Q36" s="144"/>
      <c r="R36" s="144"/>
      <c r="S36" s="145"/>
      <c r="T36" s="146">
        <f>SUM(T6:T35)</f>
        <v>129991100</v>
      </c>
    </row>
    <row r="37" spans="1:20">
      <c r="H37" s="67"/>
      <c r="S37" s="147"/>
      <c r="T37" s="148"/>
    </row>
  </sheetData>
  <mergeCells count="28">
    <mergeCell ref="A27:T27"/>
    <mergeCell ref="O3:O4"/>
    <mergeCell ref="P3:P4"/>
    <mergeCell ref="Q3:Q4"/>
    <mergeCell ref="R3:R4"/>
    <mergeCell ref="S3:S4"/>
    <mergeCell ref="T3:T4"/>
    <mergeCell ref="I3:I4"/>
    <mergeCell ref="J3:J4"/>
    <mergeCell ref="K3:K4"/>
    <mergeCell ref="L3:L4"/>
    <mergeCell ref="M3:M4"/>
    <mergeCell ref="N3:N4"/>
    <mergeCell ref="A17:T17"/>
    <mergeCell ref="A19:T19"/>
    <mergeCell ref="A1:T1"/>
    <mergeCell ref="A2:T2"/>
    <mergeCell ref="A3:A4"/>
    <mergeCell ref="B3:B4"/>
    <mergeCell ref="C3:C4"/>
    <mergeCell ref="D3:D4"/>
    <mergeCell ref="E3:E4"/>
    <mergeCell ref="F3:F4"/>
    <mergeCell ref="G3:G4"/>
    <mergeCell ref="H3:H4"/>
    <mergeCell ref="A5:T5"/>
    <mergeCell ref="A9:T9"/>
    <mergeCell ref="A14:T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74"/>
  <sheetViews>
    <sheetView topLeftCell="G1" zoomScale="80" zoomScaleNormal="80" zoomScalePageLayoutView="95" workbookViewId="0">
      <pane ySplit="4" topLeftCell="A69" activePane="bottomLeft" state="frozen"/>
      <selection pane="bottomLeft" activeCell="C75" sqref="C75"/>
    </sheetView>
  </sheetViews>
  <sheetFormatPr defaultColWidth="9.140625" defaultRowHeight="15" customHeight="1"/>
  <cols>
    <col min="1" max="1" width="5.7109375" customWidth="1"/>
    <col min="2" max="2" width="31.42578125" style="15" customWidth="1"/>
    <col min="3" max="3" width="52.140625" customWidth="1"/>
    <col min="4" max="5" width="15.7109375" hidden="1" customWidth="1"/>
    <col min="6" max="6" width="13" style="32" customWidth="1"/>
    <col min="7" max="7" width="40" style="33" bestFit="1" customWidth="1"/>
    <col min="8" max="8" width="13.42578125" style="32" bestFit="1" customWidth="1"/>
    <col min="9" max="9" width="22.28515625" style="33" customWidth="1"/>
    <col min="10" max="10" width="13.140625" style="32" customWidth="1"/>
    <col min="11" max="11" width="24.7109375" style="33" customWidth="1"/>
    <col min="12" max="12" width="16" bestFit="1" customWidth="1"/>
    <col min="13" max="13" width="15.28515625" style="48" bestFit="1" customWidth="1"/>
    <col min="14" max="14" width="19.7109375" style="48" bestFit="1" customWidth="1"/>
    <col min="15" max="15" width="15.85546875" style="49" customWidth="1"/>
    <col min="16" max="17" width="15.28515625" style="48" bestFit="1" customWidth="1"/>
    <col min="18" max="18" width="9.28515625" style="48" bestFit="1" customWidth="1"/>
    <col min="19" max="19" width="15.28515625" style="48" bestFit="1" customWidth="1"/>
  </cols>
  <sheetData>
    <row r="1" spans="1:19" ht="45.75" customHeight="1">
      <c r="A1" s="244" t="s">
        <v>5</v>
      </c>
      <c r="B1" s="245"/>
      <c r="C1" s="245"/>
      <c r="D1" s="245"/>
      <c r="E1" s="245"/>
      <c r="F1" s="245"/>
      <c r="G1" s="245"/>
      <c r="H1" s="245"/>
      <c r="I1" s="245"/>
      <c r="J1" s="245"/>
      <c r="K1" s="245"/>
      <c r="L1" s="245"/>
      <c r="M1" s="245"/>
      <c r="N1" s="245"/>
      <c r="O1" s="245"/>
      <c r="P1" s="245"/>
      <c r="Q1" s="245"/>
      <c r="R1" s="245"/>
      <c r="S1" s="245"/>
    </row>
    <row r="2" spans="1:19" ht="18" customHeight="1">
      <c r="A2" s="246" t="s">
        <v>6</v>
      </c>
      <c r="B2" s="247"/>
      <c r="C2" s="247"/>
      <c r="D2" s="247"/>
      <c r="E2" s="247"/>
      <c r="F2" s="247"/>
      <c r="G2" s="247"/>
      <c r="H2" s="247"/>
      <c r="I2" s="247"/>
      <c r="J2" s="247"/>
      <c r="K2" s="247"/>
      <c r="L2" s="247"/>
      <c r="M2" s="247"/>
      <c r="N2" s="247"/>
      <c r="O2" s="247"/>
      <c r="P2" s="247"/>
      <c r="Q2" s="247"/>
      <c r="R2" s="247"/>
      <c r="S2" s="247"/>
    </row>
    <row r="3" spans="1:19" ht="14.45" customHeight="1">
      <c r="A3" s="249" t="s">
        <v>7</v>
      </c>
      <c r="B3" s="251" t="s">
        <v>8</v>
      </c>
      <c r="C3" s="249" t="s">
        <v>9</v>
      </c>
      <c r="D3" s="230" t="s">
        <v>10</v>
      </c>
      <c r="E3" s="231" t="s">
        <v>25</v>
      </c>
      <c r="F3" s="248" t="s">
        <v>108</v>
      </c>
      <c r="G3" s="248"/>
      <c r="H3" s="248" t="s">
        <v>109</v>
      </c>
      <c r="I3" s="248"/>
      <c r="J3" s="248" t="s">
        <v>110</v>
      </c>
      <c r="K3" s="248"/>
      <c r="L3" s="248" t="s">
        <v>111</v>
      </c>
      <c r="M3" s="236" t="s">
        <v>112</v>
      </c>
      <c r="N3" s="236" t="s">
        <v>113</v>
      </c>
      <c r="O3" s="237" t="s">
        <v>114</v>
      </c>
      <c r="P3" s="236" t="s">
        <v>115</v>
      </c>
      <c r="Q3" s="236" t="s">
        <v>116</v>
      </c>
      <c r="R3" s="236" t="s">
        <v>117</v>
      </c>
      <c r="S3" s="236" t="s">
        <v>118</v>
      </c>
    </row>
    <row r="4" spans="1:19" ht="14.45" customHeight="1">
      <c r="A4" s="250"/>
      <c r="B4" s="251"/>
      <c r="C4" s="250"/>
      <c r="D4" s="254"/>
      <c r="E4" s="254"/>
      <c r="F4" s="50" t="s">
        <v>119</v>
      </c>
      <c r="G4" s="51" t="s">
        <v>120</v>
      </c>
      <c r="H4" s="50" t="s">
        <v>119</v>
      </c>
      <c r="I4" s="51" t="s">
        <v>120</v>
      </c>
      <c r="J4" s="50" t="s">
        <v>119</v>
      </c>
      <c r="K4" s="51" t="s">
        <v>120</v>
      </c>
      <c r="L4" s="248"/>
      <c r="M4" s="236"/>
      <c r="N4" s="236"/>
      <c r="O4" s="238"/>
      <c r="P4" s="236"/>
      <c r="Q4" s="236"/>
      <c r="R4" s="236"/>
      <c r="S4" s="236"/>
    </row>
    <row r="5" spans="1:19" ht="15.75">
      <c r="A5" s="235" t="s">
        <v>121</v>
      </c>
      <c r="B5" s="235"/>
      <c r="C5" s="235"/>
      <c r="D5" s="235"/>
      <c r="E5" s="235"/>
      <c r="F5" s="235"/>
      <c r="G5" s="235"/>
      <c r="H5" s="235"/>
      <c r="I5" s="235"/>
      <c r="J5" s="235"/>
      <c r="K5" s="235"/>
      <c r="L5" s="235"/>
      <c r="M5" s="235"/>
      <c r="N5" s="235"/>
      <c r="O5" s="235"/>
      <c r="P5" s="235"/>
      <c r="Q5" s="235"/>
      <c r="R5" s="235"/>
      <c r="S5" s="235"/>
    </row>
    <row r="6" spans="1:19" ht="132" customHeight="1">
      <c r="A6" s="2">
        <v>1</v>
      </c>
      <c r="B6" s="73" t="s">
        <v>122</v>
      </c>
      <c r="C6" s="74" t="s">
        <v>123</v>
      </c>
      <c r="D6" s="2" t="s">
        <v>30</v>
      </c>
      <c r="E6" s="1">
        <v>20</v>
      </c>
      <c r="F6" s="66">
        <v>73637</v>
      </c>
      <c r="G6" s="65" t="s">
        <v>37</v>
      </c>
      <c r="H6" s="66">
        <f>70000*1.19</f>
        <v>83300</v>
      </c>
      <c r="I6" s="65" t="s">
        <v>31</v>
      </c>
      <c r="J6" s="66">
        <f>75000*1.19</f>
        <v>89250</v>
      </c>
      <c r="K6" s="65" t="s">
        <v>124</v>
      </c>
      <c r="L6" s="65">
        <f>+COUNT(F6,H6,J6)</f>
        <v>3</v>
      </c>
      <c r="M6" s="76">
        <f>+AVERAGE(F6,H6,J6)</f>
        <v>82062.333333333328</v>
      </c>
      <c r="N6" s="76">
        <f>+STDEVA(F6,H6,J6)</f>
        <v>7879.7402452957376</v>
      </c>
      <c r="O6" s="77">
        <f>+N6/M6</f>
        <v>9.6021401357046537E-2</v>
      </c>
      <c r="P6" s="76">
        <f>+MEDIAN(J6,H6,F6)</f>
        <v>83300</v>
      </c>
      <c r="Q6" s="76">
        <f>+_xlfn.CEILING.MATH(M6,50,FALSE)</f>
        <v>82100</v>
      </c>
      <c r="R6" s="1">
        <v>20</v>
      </c>
      <c r="S6" s="76">
        <f>+Q6*R6</f>
        <v>1642000</v>
      </c>
    </row>
    <row r="7" spans="1:19" ht="120.75" customHeight="1">
      <c r="A7" s="2">
        <v>2</v>
      </c>
      <c r="B7" s="75" t="s">
        <v>125</v>
      </c>
      <c r="C7" s="74" t="s">
        <v>126</v>
      </c>
      <c r="D7" s="4" t="s">
        <v>36</v>
      </c>
      <c r="E7" s="1">
        <v>4</v>
      </c>
      <c r="F7" s="34">
        <f>130000*1.19</f>
        <v>154700</v>
      </c>
      <c r="G7" s="35" t="s">
        <v>31</v>
      </c>
      <c r="H7" s="34">
        <f>130000*1.19</f>
        <v>154700</v>
      </c>
      <c r="I7" s="35" t="s">
        <v>32</v>
      </c>
      <c r="J7" s="36">
        <f>140000*1.19</f>
        <v>166600</v>
      </c>
      <c r="K7" s="35" t="s">
        <v>33</v>
      </c>
      <c r="L7" s="65">
        <f t="shared" ref="L7:L71" si="0">+COUNT(F7,H7,J7)</f>
        <v>3</v>
      </c>
      <c r="M7" s="76">
        <f t="shared" ref="M7:M71" si="1">+AVERAGE(F7,H7,J7)</f>
        <v>158666.66666666666</v>
      </c>
      <c r="N7" s="76">
        <f t="shared" ref="N7:N71" si="2">+STDEVA(F7,H7,J7)</f>
        <v>6870.4682033565468</v>
      </c>
      <c r="O7" s="77">
        <f t="shared" ref="O7:O71" si="3">+N7/M7</f>
        <v>4.330127018922194E-2</v>
      </c>
      <c r="P7" s="76">
        <f>+MEDIAN(J7,H7,F7)</f>
        <v>154700</v>
      </c>
      <c r="Q7" s="76">
        <f>+_xlfn.CEILING.MATH(M7,50,FALSE)</f>
        <v>158700</v>
      </c>
      <c r="R7" s="1">
        <v>4</v>
      </c>
      <c r="S7" s="76">
        <f t="shared" ref="S7:S71" si="4">+Q7*R7</f>
        <v>634800</v>
      </c>
    </row>
    <row r="8" spans="1:19" ht="81" customHeight="1">
      <c r="A8" s="2">
        <v>3</v>
      </c>
      <c r="B8" s="75" t="s">
        <v>127</v>
      </c>
      <c r="C8" s="74" t="s">
        <v>128</v>
      </c>
      <c r="D8" s="4" t="s">
        <v>129</v>
      </c>
      <c r="E8" s="1">
        <v>2</v>
      </c>
      <c r="F8" s="66">
        <f>350000*1.19</f>
        <v>416500</v>
      </c>
      <c r="G8" s="65" t="s">
        <v>31</v>
      </c>
      <c r="H8" s="66">
        <v>630000</v>
      </c>
      <c r="I8" s="65" t="s">
        <v>124</v>
      </c>
      <c r="J8" s="66">
        <v>666400</v>
      </c>
      <c r="K8" s="65" t="s">
        <v>37</v>
      </c>
      <c r="L8" s="65">
        <f t="shared" si="0"/>
        <v>3</v>
      </c>
      <c r="M8" s="76">
        <f t="shared" si="1"/>
        <v>570966.66666666663</v>
      </c>
      <c r="N8" s="76">
        <f t="shared" si="2"/>
        <v>135004.45671655922</v>
      </c>
      <c r="O8" s="77">
        <f t="shared" si="3"/>
        <v>0.23644892880476248</v>
      </c>
      <c r="P8" s="76">
        <f>+MEDIAN(J8,H8,F8)</f>
        <v>630000</v>
      </c>
      <c r="Q8" s="76">
        <f>+_xlfn.CEILING.MATH(M8,50,FALSE)</f>
        <v>571000</v>
      </c>
      <c r="R8" s="1">
        <v>2</v>
      </c>
      <c r="S8" s="76">
        <f t="shared" si="4"/>
        <v>1142000</v>
      </c>
    </row>
    <row r="9" spans="1:19" ht="81" customHeight="1">
      <c r="A9" s="2">
        <v>4</v>
      </c>
      <c r="B9" s="75" t="s">
        <v>130</v>
      </c>
      <c r="C9" s="74" t="s">
        <v>131</v>
      </c>
      <c r="D9" s="4" t="s">
        <v>129</v>
      </c>
      <c r="E9" s="1">
        <v>1</v>
      </c>
      <c r="F9" s="66">
        <f>353728*1.19</f>
        <v>420936.32</v>
      </c>
      <c r="G9" s="65" t="s">
        <v>37</v>
      </c>
      <c r="H9" s="66">
        <f>416500*1.19</f>
        <v>495635</v>
      </c>
      <c r="I9" s="65" t="s">
        <v>31</v>
      </c>
      <c r="J9" s="66">
        <f>355000*1.19</f>
        <v>422450</v>
      </c>
      <c r="K9" s="65" t="s">
        <v>124</v>
      </c>
      <c r="L9" s="65">
        <f t="shared" si="0"/>
        <v>3</v>
      </c>
      <c r="M9" s="76">
        <f t="shared" si="1"/>
        <v>446340.44</v>
      </c>
      <c r="N9" s="76">
        <f t="shared" si="2"/>
        <v>42697.049558263388</v>
      </c>
      <c r="O9" s="77">
        <f t="shared" si="3"/>
        <v>9.5660275726446364E-2</v>
      </c>
      <c r="P9" s="76">
        <f>+MEDIAN(J9,H9,F9)</f>
        <v>422450</v>
      </c>
      <c r="Q9" s="76">
        <f>+_xlfn.CEILING.MATH(M9,50,FALSE)</f>
        <v>446350</v>
      </c>
      <c r="R9" s="1">
        <v>1</v>
      </c>
      <c r="S9" s="76">
        <f t="shared" si="4"/>
        <v>446350</v>
      </c>
    </row>
    <row r="10" spans="1:19" ht="81" customHeight="1">
      <c r="A10" s="2">
        <v>5</v>
      </c>
      <c r="B10" s="75" t="s">
        <v>130</v>
      </c>
      <c r="C10" s="74" t="s">
        <v>132</v>
      </c>
      <c r="D10" s="4" t="s">
        <v>129</v>
      </c>
      <c r="E10" s="1">
        <v>1</v>
      </c>
      <c r="F10" s="64">
        <f>620000*1.19</f>
        <v>737800</v>
      </c>
      <c r="G10" s="65" t="s">
        <v>37</v>
      </c>
      <c r="H10" s="66">
        <v>773500</v>
      </c>
      <c r="I10" s="65" t="s">
        <v>31</v>
      </c>
      <c r="J10" s="66">
        <f>630000*1.19</f>
        <v>749700</v>
      </c>
      <c r="K10" s="65" t="s">
        <v>124</v>
      </c>
      <c r="L10" s="65">
        <f t="shared" si="0"/>
        <v>3</v>
      </c>
      <c r="M10" s="76">
        <f t="shared" si="1"/>
        <v>753666.66666666663</v>
      </c>
      <c r="N10" s="76">
        <f t="shared" si="2"/>
        <v>18177.550256658167</v>
      </c>
      <c r="O10" s="77">
        <f t="shared" si="3"/>
        <v>2.4118819447136005E-2</v>
      </c>
      <c r="P10" s="76">
        <f>+MEDIAN(J10,H10,F10)</f>
        <v>749700</v>
      </c>
      <c r="Q10" s="76">
        <f>+_xlfn.CEILING.MATH(M10,50,FALSE)</f>
        <v>753700</v>
      </c>
      <c r="R10" s="1">
        <v>1</v>
      </c>
      <c r="S10" s="76">
        <f t="shared" si="4"/>
        <v>753700</v>
      </c>
    </row>
    <row r="11" spans="1:19" ht="81" customHeight="1">
      <c r="A11" s="2">
        <v>6</v>
      </c>
      <c r="B11" s="73" t="s">
        <v>133</v>
      </c>
      <c r="C11" s="74" t="s">
        <v>134</v>
      </c>
      <c r="D11" s="4" t="s">
        <v>36</v>
      </c>
      <c r="E11" s="1">
        <v>300</v>
      </c>
      <c r="F11" s="64">
        <v>13628</v>
      </c>
      <c r="G11" s="65" t="s">
        <v>37</v>
      </c>
      <c r="H11" s="66">
        <v>13685</v>
      </c>
      <c r="I11" s="65" t="s">
        <v>31</v>
      </c>
      <c r="J11" s="66">
        <f>10000*1.19</f>
        <v>11900</v>
      </c>
      <c r="K11" s="65" t="s">
        <v>124</v>
      </c>
      <c r="L11" s="65">
        <f t="shared" si="0"/>
        <v>3</v>
      </c>
      <c r="M11" s="76">
        <f t="shared" si="1"/>
        <v>13071</v>
      </c>
      <c r="N11" s="76">
        <f t="shared" si="2"/>
        <v>1014.5161408277347</v>
      </c>
      <c r="O11" s="77">
        <f t="shared" si="3"/>
        <v>7.7615801455721417E-2</v>
      </c>
      <c r="P11" s="76">
        <f>+MEDIAN(J11,H11,F11)</f>
        <v>13628</v>
      </c>
      <c r="Q11" s="76">
        <f>+_xlfn.CEILING.MATH(M11,50,FALSE)</f>
        <v>13100</v>
      </c>
      <c r="R11" s="1">
        <v>300</v>
      </c>
      <c r="S11" s="76">
        <f t="shared" si="4"/>
        <v>3930000</v>
      </c>
    </row>
    <row r="12" spans="1:19" ht="81" customHeight="1">
      <c r="A12" s="2">
        <v>7</v>
      </c>
      <c r="B12" s="73" t="s">
        <v>41</v>
      </c>
      <c r="C12" s="74" t="s">
        <v>135</v>
      </c>
      <c r="D12" s="4" t="s">
        <v>36</v>
      </c>
      <c r="E12" s="1">
        <v>300</v>
      </c>
      <c r="F12" s="34">
        <f>1956*1.19</f>
        <v>2327.64</v>
      </c>
      <c r="G12" s="35" t="s">
        <v>31</v>
      </c>
      <c r="H12" s="34">
        <v>740</v>
      </c>
      <c r="I12" s="35" t="s">
        <v>32</v>
      </c>
      <c r="J12" s="36">
        <v>2500</v>
      </c>
      <c r="K12" s="35" t="s">
        <v>33</v>
      </c>
      <c r="L12" s="65">
        <f t="shared" si="0"/>
        <v>3</v>
      </c>
      <c r="M12" s="76">
        <f t="shared" si="1"/>
        <v>1855.8799999999999</v>
      </c>
      <c r="N12" s="76">
        <f t="shared" si="2"/>
        <v>970.21550348363337</v>
      </c>
      <c r="O12" s="77">
        <f t="shared" si="3"/>
        <v>0.52277922251634446</v>
      </c>
      <c r="P12" s="76">
        <f>+MEDIAN(J12,H12,F12)</f>
        <v>2327.64</v>
      </c>
      <c r="Q12" s="76">
        <f>+_xlfn.CEILING.MATH(M12,50,FALSE)</f>
        <v>1900</v>
      </c>
      <c r="R12" s="1">
        <v>300</v>
      </c>
      <c r="S12" s="76">
        <f t="shared" si="4"/>
        <v>570000</v>
      </c>
    </row>
    <row r="13" spans="1:19" ht="81" customHeight="1">
      <c r="A13" s="2">
        <v>8</v>
      </c>
      <c r="B13" s="73" t="s">
        <v>136</v>
      </c>
      <c r="C13" s="74" t="s">
        <v>137</v>
      </c>
      <c r="D13" s="4" t="s">
        <v>36</v>
      </c>
      <c r="E13" s="1">
        <v>500</v>
      </c>
      <c r="F13" s="64">
        <v>5600</v>
      </c>
      <c r="G13" s="65" t="s">
        <v>37</v>
      </c>
      <c r="H13" s="66">
        <v>5355</v>
      </c>
      <c r="I13" s="65" t="s">
        <v>31</v>
      </c>
      <c r="J13" s="66">
        <f>5000*1.19</f>
        <v>5950</v>
      </c>
      <c r="K13" s="65" t="s">
        <v>124</v>
      </c>
      <c r="L13" s="65">
        <f t="shared" si="0"/>
        <v>3</v>
      </c>
      <c r="M13" s="76">
        <f t="shared" si="1"/>
        <v>5635</v>
      </c>
      <c r="N13" s="76">
        <f t="shared" si="2"/>
        <v>299.0401310861136</v>
      </c>
      <c r="O13" s="77">
        <f t="shared" si="3"/>
        <v>5.3068346244208267E-2</v>
      </c>
      <c r="P13" s="76">
        <f>+MEDIAN(J13,H13,F13)</f>
        <v>5600</v>
      </c>
      <c r="Q13" s="76">
        <f>+_xlfn.CEILING.MATH(M13,50,FALSE)</f>
        <v>5650</v>
      </c>
      <c r="R13" s="1">
        <v>500</v>
      </c>
      <c r="S13" s="76">
        <f t="shared" si="4"/>
        <v>2825000</v>
      </c>
    </row>
    <row r="14" spans="1:19" ht="81" customHeight="1">
      <c r="A14" s="2">
        <v>9</v>
      </c>
      <c r="B14" s="63" t="s">
        <v>138</v>
      </c>
      <c r="C14" s="5" t="s">
        <v>139</v>
      </c>
      <c r="D14" s="4" t="s">
        <v>36</v>
      </c>
      <c r="E14" s="1">
        <v>2</v>
      </c>
      <c r="F14" s="66">
        <v>149600</v>
      </c>
      <c r="G14" s="65" t="s">
        <v>37</v>
      </c>
      <c r="H14" s="66">
        <f>90000*1.19</f>
        <v>107100</v>
      </c>
      <c r="I14" s="65" t="s">
        <v>31</v>
      </c>
      <c r="J14" s="66">
        <v>134000</v>
      </c>
      <c r="K14" s="65" t="s">
        <v>140</v>
      </c>
      <c r="L14" s="65">
        <f t="shared" si="0"/>
        <v>3</v>
      </c>
      <c r="M14" s="76">
        <f t="shared" si="1"/>
        <v>130233.33333333333</v>
      </c>
      <c r="N14" s="76">
        <f t="shared" si="2"/>
        <v>21498.914701289737</v>
      </c>
      <c r="O14" s="77">
        <f t="shared" si="3"/>
        <v>0.16507996955175125</v>
      </c>
      <c r="P14" s="76">
        <f>+MEDIAN(J14,H14,F14)</f>
        <v>134000</v>
      </c>
      <c r="Q14" s="76">
        <f>+_xlfn.CEILING.MATH(M14,50,FALSE)</f>
        <v>130250</v>
      </c>
      <c r="R14" s="1">
        <v>2</v>
      </c>
      <c r="S14" s="76">
        <f t="shared" si="4"/>
        <v>260500</v>
      </c>
    </row>
    <row r="15" spans="1:19" ht="81" customHeight="1">
      <c r="A15" s="2">
        <v>10</v>
      </c>
      <c r="B15" s="63" t="s">
        <v>141</v>
      </c>
      <c r="C15" s="5" t="s">
        <v>142</v>
      </c>
      <c r="D15" s="4" t="s">
        <v>36</v>
      </c>
      <c r="E15" s="1">
        <v>200</v>
      </c>
      <c r="F15" s="64">
        <v>3700</v>
      </c>
      <c r="G15" s="65" t="s">
        <v>37</v>
      </c>
      <c r="H15" s="66">
        <v>4105</v>
      </c>
      <c r="I15" s="65" t="s">
        <v>31</v>
      </c>
      <c r="J15" s="66">
        <f>3200*1.19</f>
        <v>3808</v>
      </c>
      <c r="K15" s="65" t="s">
        <v>124</v>
      </c>
      <c r="L15" s="65">
        <f t="shared" si="0"/>
        <v>3</v>
      </c>
      <c r="M15" s="76">
        <f t="shared" si="1"/>
        <v>3871</v>
      </c>
      <c r="N15" s="76">
        <f t="shared" si="2"/>
        <v>209.72124355915878</v>
      </c>
      <c r="O15" s="77">
        <f t="shared" si="3"/>
        <v>5.4177536439979017E-2</v>
      </c>
      <c r="P15" s="76">
        <f>+MEDIAN(J15,H15,F15)</f>
        <v>3808</v>
      </c>
      <c r="Q15" s="76">
        <f>+_xlfn.CEILING.MATH(M15,50,FALSE)</f>
        <v>3900</v>
      </c>
      <c r="R15" s="1">
        <v>2000</v>
      </c>
      <c r="S15" s="76">
        <f t="shared" si="4"/>
        <v>7800000</v>
      </c>
    </row>
    <row r="16" spans="1:19" ht="81" customHeight="1">
      <c r="A16" s="2">
        <v>11</v>
      </c>
      <c r="B16" s="63" t="s">
        <v>143</v>
      </c>
      <c r="C16" s="5" t="s">
        <v>144</v>
      </c>
      <c r="D16" s="4" t="s">
        <v>36</v>
      </c>
      <c r="E16" s="1">
        <v>200</v>
      </c>
      <c r="F16" s="66">
        <v>4227</v>
      </c>
      <c r="G16" s="65" t="s">
        <v>37</v>
      </c>
      <c r="H16" s="66">
        <v>4998</v>
      </c>
      <c r="I16" s="65" t="s">
        <v>31</v>
      </c>
      <c r="J16" s="66">
        <f>4500*1.19</f>
        <v>5355</v>
      </c>
      <c r="K16" s="65" t="s">
        <v>124</v>
      </c>
      <c r="L16" s="65">
        <f t="shared" si="0"/>
        <v>3</v>
      </c>
      <c r="M16" s="76">
        <f t="shared" si="1"/>
        <v>4860</v>
      </c>
      <c r="N16" s="76">
        <f t="shared" si="2"/>
        <v>576.5231998801089</v>
      </c>
      <c r="O16" s="77">
        <f t="shared" si="3"/>
        <v>0.11862617281483723</v>
      </c>
      <c r="P16" s="76">
        <f>+MEDIAN(J16,H16,F16)</f>
        <v>4998</v>
      </c>
      <c r="Q16" s="76">
        <f>+_xlfn.CEILING.MATH(M16,50,FALSE)</f>
        <v>4900</v>
      </c>
      <c r="R16" s="1">
        <v>200</v>
      </c>
      <c r="S16" s="76">
        <f t="shared" si="4"/>
        <v>980000</v>
      </c>
    </row>
    <row r="17" spans="1:19" ht="81" customHeight="1">
      <c r="A17" s="2">
        <v>12</v>
      </c>
      <c r="B17" s="63" t="s">
        <v>145</v>
      </c>
      <c r="C17" s="5" t="s">
        <v>146</v>
      </c>
      <c r="D17" s="4" t="s">
        <v>36</v>
      </c>
      <c r="E17" s="1">
        <v>20</v>
      </c>
      <c r="F17" s="64">
        <v>16660</v>
      </c>
      <c r="G17" s="65" t="s">
        <v>37</v>
      </c>
      <c r="H17" s="64">
        <v>17850</v>
      </c>
      <c r="I17" s="65" t="s">
        <v>31</v>
      </c>
      <c r="J17" s="66">
        <f>13500*1.19</f>
        <v>16065</v>
      </c>
      <c r="K17" s="65" t="s">
        <v>124</v>
      </c>
      <c r="L17" s="65">
        <f t="shared" si="0"/>
        <v>3</v>
      </c>
      <c r="M17" s="76">
        <f t="shared" si="1"/>
        <v>16858.333333333332</v>
      </c>
      <c r="N17" s="76">
        <f t="shared" si="2"/>
        <v>908.87751283290834</v>
      </c>
      <c r="O17" s="77">
        <f t="shared" si="3"/>
        <v>5.3912655234774599E-2</v>
      </c>
      <c r="P17" s="76">
        <f>+MEDIAN(J17,H17,F17)</f>
        <v>16660</v>
      </c>
      <c r="Q17" s="76">
        <f>+_xlfn.CEILING.MATH(M17,50,FALSE)</f>
        <v>16900</v>
      </c>
      <c r="R17" s="1">
        <v>20</v>
      </c>
      <c r="S17" s="76">
        <f t="shared" si="4"/>
        <v>338000</v>
      </c>
    </row>
    <row r="18" spans="1:19" ht="81" customHeight="1">
      <c r="A18" s="2">
        <v>13</v>
      </c>
      <c r="B18" s="63" t="s">
        <v>147</v>
      </c>
      <c r="C18" s="5" t="s">
        <v>148</v>
      </c>
      <c r="D18" s="4" t="s">
        <v>36</v>
      </c>
      <c r="E18" s="1">
        <v>100</v>
      </c>
      <c r="F18" s="66">
        <v>3332</v>
      </c>
      <c r="G18" s="65" t="s">
        <v>37</v>
      </c>
      <c r="H18" s="66">
        <v>3808</v>
      </c>
      <c r="I18" s="65" t="s">
        <v>31</v>
      </c>
      <c r="J18" s="66">
        <f>3000*1.19</f>
        <v>3570</v>
      </c>
      <c r="K18" s="65" t="s">
        <v>124</v>
      </c>
      <c r="L18" s="65">
        <f t="shared" si="0"/>
        <v>3</v>
      </c>
      <c r="M18" s="76">
        <f t="shared" si="1"/>
        <v>3570</v>
      </c>
      <c r="N18" s="76">
        <f t="shared" si="2"/>
        <v>238</v>
      </c>
      <c r="O18" s="77">
        <f t="shared" si="3"/>
        <v>6.6666666666666666E-2</v>
      </c>
      <c r="P18" s="76">
        <f>+MEDIAN(J18,H18,F18)</f>
        <v>3570</v>
      </c>
      <c r="Q18" s="76">
        <f>+_xlfn.CEILING.MATH(M18,50,FALSE)</f>
        <v>3600</v>
      </c>
      <c r="R18" s="1">
        <v>100</v>
      </c>
      <c r="S18" s="76">
        <f t="shared" si="4"/>
        <v>360000</v>
      </c>
    </row>
    <row r="19" spans="1:19" ht="81" customHeight="1">
      <c r="A19" s="2">
        <v>14</v>
      </c>
      <c r="B19" s="63" t="s">
        <v>149</v>
      </c>
      <c r="C19" s="5" t="s">
        <v>150</v>
      </c>
      <c r="D19" s="4" t="s">
        <v>36</v>
      </c>
      <c r="E19" s="1">
        <v>100</v>
      </c>
      <c r="F19" s="64">
        <v>3100</v>
      </c>
      <c r="G19" s="65" t="s">
        <v>37</v>
      </c>
      <c r="H19" s="66">
        <v>4165</v>
      </c>
      <c r="I19" s="65" t="s">
        <v>31</v>
      </c>
      <c r="J19" s="66">
        <f>3000*1.19</f>
        <v>3570</v>
      </c>
      <c r="K19" s="65" t="s">
        <v>124</v>
      </c>
      <c r="L19" s="65">
        <f t="shared" si="0"/>
        <v>3</v>
      </c>
      <c r="M19" s="76">
        <f t="shared" si="1"/>
        <v>3611.6666666666665</v>
      </c>
      <c r="N19" s="76">
        <f t="shared" si="2"/>
        <v>533.7212131191078</v>
      </c>
      <c r="O19" s="77">
        <f t="shared" si="3"/>
        <v>0.14777698563519368</v>
      </c>
      <c r="P19" s="76">
        <f>+MEDIAN(J19,H19,F19)</f>
        <v>3570</v>
      </c>
      <c r="Q19" s="76">
        <f>+_xlfn.CEILING.MATH(M19,50,FALSE)</f>
        <v>3650</v>
      </c>
      <c r="R19" s="1">
        <v>100</v>
      </c>
      <c r="S19" s="76">
        <f t="shared" si="4"/>
        <v>365000</v>
      </c>
    </row>
    <row r="20" spans="1:19" ht="81" customHeight="1">
      <c r="A20" s="239" t="s">
        <v>151</v>
      </c>
      <c r="B20" s="240"/>
      <c r="C20" s="240"/>
      <c r="D20" s="240"/>
      <c r="E20" s="240"/>
      <c r="F20" s="240"/>
      <c r="G20" s="240"/>
      <c r="H20" s="240"/>
      <c r="I20" s="240"/>
      <c r="J20" s="240"/>
      <c r="K20" s="240"/>
      <c r="L20" s="240"/>
      <c r="M20" s="240"/>
      <c r="N20" s="240"/>
      <c r="O20" s="240"/>
      <c r="P20" s="240"/>
      <c r="Q20" s="240"/>
      <c r="R20" s="241"/>
      <c r="S20" s="78">
        <f>+SUM(S6:S19)</f>
        <v>22047350</v>
      </c>
    </row>
    <row r="21" spans="1:19" ht="46.5" customHeight="1">
      <c r="A21" s="232" t="s">
        <v>152</v>
      </c>
      <c r="B21" s="233"/>
      <c r="C21" s="233"/>
      <c r="D21" s="233"/>
      <c r="E21" s="233"/>
      <c r="F21" s="233"/>
      <c r="G21" s="233"/>
      <c r="H21" s="233"/>
      <c r="I21" s="233"/>
      <c r="J21" s="233"/>
      <c r="K21" s="233"/>
      <c r="L21" s="233"/>
      <c r="M21" s="233"/>
      <c r="N21" s="233"/>
      <c r="O21" s="233"/>
      <c r="P21" s="233"/>
      <c r="Q21" s="233"/>
      <c r="R21" s="233"/>
      <c r="S21" s="234"/>
    </row>
    <row r="22" spans="1:19" ht="81" customHeight="1">
      <c r="A22" s="2">
        <v>1</v>
      </c>
      <c r="B22" s="13" t="s">
        <v>153</v>
      </c>
      <c r="C22" s="3" t="s">
        <v>154</v>
      </c>
      <c r="D22" s="4"/>
      <c r="E22" s="1"/>
      <c r="F22" s="42">
        <v>89964</v>
      </c>
      <c r="G22" s="43" t="s">
        <v>37</v>
      </c>
      <c r="H22" s="42">
        <f>85000*1.19</f>
        <v>101150</v>
      </c>
      <c r="I22" s="43" t="s">
        <v>31</v>
      </c>
      <c r="J22" s="42">
        <f>90000*1.19</f>
        <v>107100</v>
      </c>
      <c r="K22" s="43" t="s">
        <v>124</v>
      </c>
      <c r="L22" s="59">
        <f t="shared" si="0"/>
        <v>3</v>
      </c>
      <c r="M22" s="60">
        <f t="shared" si="1"/>
        <v>99404.666666666672</v>
      </c>
      <c r="N22" s="60">
        <f t="shared" si="2"/>
        <v>8700.3026001015241</v>
      </c>
      <c r="O22" s="61">
        <f t="shared" si="3"/>
        <v>8.752408606002593E-2</v>
      </c>
      <c r="P22" s="60">
        <f>+MEDIAN(J22,H22,F22)</f>
        <v>101150</v>
      </c>
      <c r="Q22" s="60">
        <f>+_xlfn.CEILING.MATH(M22,50,FALSE)</f>
        <v>99450</v>
      </c>
      <c r="R22" s="204">
        <v>1</v>
      </c>
      <c r="S22" s="60">
        <f t="shared" si="4"/>
        <v>99450</v>
      </c>
    </row>
    <row r="23" spans="1:19" ht="96" customHeight="1">
      <c r="A23" s="2">
        <v>2</v>
      </c>
      <c r="B23" s="14" t="s">
        <v>155</v>
      </c>
      <c r="C23" s="31" t="s">
        <v>156</v>
      </c>
      <c r="D23" s="31" t="s">
        <v>157</v>
      </c>
      <c r="E23" s="1"/>
      <c r="F23" s="42">
        <v>130000</v>
      </c>
      <c r="G23" s="43" t="s">
        <v>158</v>
      </c>
      <c r="H23" s="42">
        <v>150000</v>
      </c>
      <c r="I23" s="43" t="s">
        <v>159</v>
      </c>
      <c r="J23" s="42">
        <v>140000</v>
      </c>
      <c r="K23" s="43" t="s">
        <v>160</v>
      </c>
      <c r="L23" s="59">
        <f t="shared" si="0"/>
        <v>3</v>
      </c>
      <c r="M23" s="60">
        <f t="shared" si="1"/>
        <v>140000</v>
      </c>
      <c r="N23" s="60">
        <f t="shared" si="2"/>
        <v>10000</v>
      </c>
      <c r="O23" s="61">
        <f t="shared" si="3"/>
        <v>7.1428571428571425E-2</v>
      </c>
      <c r="P23" s="60">
        <f>+MEDIAN(J23,H23,F23)</f>
        <v>140000</v>
      </c>
      <c r="Q23" s="60">
        <f>+_xlfn.CEILING.MATH(M23,50,FALSE)</f>
        <v>140000</v>
      </c>
      <c r="R23" s="204">
        <v>1</v>
      </c>
      <c r="S23" s="60">
        <f t="shared" si="4"/>
        <v>140000</v>
      </c>
    </row>
    <row r="24" spans="1:19" ht="81" customHeight="1">
      <c r="A24" s="2">
        <v>3</v>
      </c>
      <c r="B24" s="13" t="s">
        <v>161</v>
      </c>
      <c r="C24" s="6" t="s">
        <v>162</v>
      </c>
      <c r="D24" s="4"/>
      <c r="E24" s="1"/>
      <c r="F24" s="42">
        <f>35000*1.19</f>
        <v>41650</v>
      </c>
      <c r="G24" s="43" t="s">
        <v>31</v>
      </c>
      <c r="H24" s="42">
        <f>40000*1.19</f>
        <v>47600</v>
      </c>
      <c r="I24" s="43" t="s">
        <v>124</v>
      </c>
      <c r="J24" s="42">
        <f>38050*1.19</f>
        <v>45279.5</v>
      </c>
      <c r="K24" s="43" t="s">
        <v>37</v>
      </c>
      <c r="L24" s="59">
        <f t="shared" si="0"/>
        <v>3</v>
      </c>
      <c r="M24" s="60">
        <f t="shared" si="1"/>
        <v>44843.166666666664</v>
      </c>
      <c r="N24" s="60">
        <f t="shared" si="2"/>
        <v>2998.9023130694559</v>
      </c>
      <c r="O24" s="61">
        <f t="shared" si="3"/>
        <v>6.6875346590958618E-2</v>
      </c>
      <c r="P24" s="60">
        <f>+MEDIAN(J24,H24,F24)</f>
        <v>45279.5</v>
      </c>
      <c r="Q24" s="60">
        <f>+_xlfn.CEILING.MATH(M24,50,FALSE)</f>
        <v>44850</v>
      </c>
      <c r="R24" s="204">
        <v>1</v>
      </c>
      <c r="S24" s="60">
        <f t="shared" si="4"/>
        <v>44850</v>
      </c>
    </row>
    <row r="25" spans="1:19" ht="81" customHeight="1">
      <c r="A25" s="2">
        <v>4</v>
      </c>
      <c r="B25" s="13" t="s">
        <v>163</v>
      </c>
      <c r="C25" s="6" t="s">
        <v>164</v>
      </c>
      <c r="D25" s="4"/>
      <c r="E25" s="1"/>
      <c r="F25" s="44">
        <f>22015*1.19</f>
        <v>26197.85</v>
      </c>
      <c r="G25" s="43" t="s">
        <v>37</v>
      </c>
      <c r="H25" s="42">
        <f>23800*1.19</f>
        <v>28322</v>
      </c>
      <c r="I25" s="43" t="s">
        <v>31</v>
      </c>
      <c r="J25" s="42">
        <f>24500*1.19</f>
        <v>29155</v>
      </c>
      <c r="K25" s="43" t="s">
        <v>124</v>
      </c>
      <c r="L25" s="59">
        <f t="shared" si="0"/>
        <v>3</v>
      </c>
      <c r="M25" s="60">
        <f t="shared" si="1"/>
        <v>27891.616666666669</v>
      </c>
      <c r="N25" s="60">
        <f t="shared" si="2"/>
        <v>1524.8299547271938</v>
      </c>
      <c r="O25" s="61">
        <f t="shared" si="3"/>
        <v>5.4669830470942954E-2</v>
      </c>
      <c r="P25" s="60">
        <f>+MEDIAN(J25,H25,F25)</f>
        <v>28322</v>
      </c>
      <c r="Q25" s="60">
        <f>+_xlfn.CEILING.MATH(M25,50,FALSE)</f>
        <v>27900</v>
      </c>
      <c r="R25" s="204">
        <v>1</v>
      </c>
      <c r="S25" s="60">
        <f t="shared" si="4"/>
        <v>27900</v>
      </c>
    </row>
    <row r="26" spans="1:19" ht="81" customHeight="1">
      <c r="A26" s="2">
        <v>5</v>
      </c>
      <c r="B26" s="169" t="s">
        <v>165</v>
      </c>
      <c r="C26" s="170" t="s">
        <v>166</v>
      </c>
      <c r="D26" s="4"/>
      <c r="E26" s="1"/>
      <c r="F26" s="42">
        <v>5450</v>
      </c>
      <c r="G26" s="43" t="s">
        <v>167</v>
      </c>
      <c r="H26" s="42">
        <v>6600</v>
      </c>
      <c r="I26" s="43" t="s">
        <v>168</v>
      </c>
      <c r="J26" s="42">
        <v>4500</v>
      </c>
      <c r="K26" s="43" t="s">
        <v>169</v>
      </c>
      <c r="L26" s="59">
        <f t="shared" si="0"/>
        <v>3</v>
      </c>
      <c r="M26" s="60">
        <f t="shared" si="1"/>
        <v>5516.666666666667</v>
      </c>
      <c r="N26" s="60">
        <f t="shared" si="2"/>
        <v>1051.5861036231584</v>
      </c>
      <c r="O26" s="61">
        <f t="shared" si="3"/>
        <v>0.19061983751477191</v>
      </c>
      <c r="P26" s="60">
        <f>+MEDIAN(J26,H26,F26)</f>
        <v>5450</v>
      </c>
      <c r="Q26" s="60">
        <f>+_xlfn.CEILING.MATH(M26,50,FALSE)</f>
        <v>5550</v>
      </c>
      <c r="R26" s="204">
        <v>1</v>
      </c>
      <c r="S26" s="60">
        <f t="shared" si="4"/>
        <v>5550</v>
      </c>
    </row>
    <row r="27" spans="1:19" ht="127.5" customHeight="1">
      <c r="A27" s="2">
        <v>6</v>
      </c>
      <c r="B27" s="14" t="s">
        <v>170</v>
      </c>
      <c r="C27" s="160" t="s">
        <v>171</v>
      </c>
      <c r="D27" s="4"/>
      <c r="E27" s="1"/>
      <c r="F27" s="42">
        <f>50000*1.19</f>
        <v>59500</v>
      </c>
      <c r="G27" s="43" t="s">
        <v>172</v>
      </c>
      <c r="H27" s="44">
        <f>50000*1.19</f>
        <v>59500</v>
      </c>
      <c r="I27" s="43" t="s">
        <v>124</v>
      </c>
      <c r="J27" s="42">
        <f>50000*1.19</f>
        <v>59500</v>
      </c>
      <c r="K27" s="43" t="s">
        <v>31</v>
      </c>
      <c r="L27" s="59">
        <f t="shared" si="0"/>
        <v>3</v>
      </c>
      <c r="M27" s="60">
        <f t="shared" si="1"/>
        <v>59500</v>
      </c>
      <c r="N27" s="60">
        <f t="shared" si="2"/>
        <v>0</v>
      </c>
      <c r="O27" s="61">
        <f t="shared" si="3"/>
        <v>0</v>
      </c>
      <c r="P27" s="60">
        <f>+MEDIAN(J27,H27,F27)</f>
        <v>59500</v>
      </c>
      <c r="Q27" s="60">
        <f>+_xlfn.CEILING.MATH(M27,50,FALSE)</f>
        <v>59500</v>
      </c>
      <c r="R27" s="204">
        <v>1</v>
      </c>
      <c r="S27" s="60">
        <f t="shared" si="4"/>
        <v>59500</v>
      </c>
    </row>
    <row r="28" spans="1:19" ht="81" customHeight="1">
      <c r="A28" s="52">
        <v>7</v>
      </c>
      <c r="B28" s="15" t="s">
        <v>173</v>
      </c>
      <c r="C28" s="11" t="s">
        <v>174</v>
      </c>
      <c r="D28" s="53"/>
      <c r="E28" s="54"/>
      <c r="F28" s="55">
        <f>28322*1.19</f>
        <v>33703.18</v>
      </c>
      <c r="G28" s="56" t="s">
        <v>37</v>
      </c>
      <c r="H28" s="57">
        <v>44030</v>
      </c>
      <c r="I28" s="56" t="s">
        <v>31</v>
      </c>
      <c r="J28" s="57">
        <f>44030*1.19</f>
        <v>52395.7</v>
      </c>
      <c r="K28" s="56" t="s">
        <v>124</v>
      </c>
      <c r="L28" s="59">
        <f t="shared" si="0"/>
        <v>3</v>
      </c>
      <c r="M28" s="60">
        <f t="shared" si="1"/>
        <v>43376.293333333328</v>
      </c>
      <c r="N28" s="60">
        <f t="shared" si="2"/>
        <v>9363.3901602001933</v>
      </c>
      <c r="O28" s="61">
        <f t="shared" si="3"/>
        <v>0.21586422998953486</v>
      </c>
      <c r="P28" s="60">
        <f>+MEDIAN(J28,H28,F28)</f>
        <v>44030</v>
      </c>
      <c r="Q28" s="60">
        <f>+_xlfn.CEILING.MATH(M28,50,FALSE)</f>
        <v>43400</v>
      </c>
      <c r="R28" s="204">
        <v>1</v>
      </c>
      <c r="S28" s="60">
        <f t="shared" si="4"/>
        <v>43400</v>
      </c>
    </row>
    <row r="29" spans="1:19" ht="81" customHeight="1">
      <c r="A29" s="2">
        <v>8</v>
      </c>
      <c r="B29" s="12" t="s">
        <v>38</v>
      </c>
      <c r="C29" s="3" t="s">
        <v>39</v>
      </c>
      <c r="D29" s="4"/>
      <c r="E29" s="1"/>
      <c r="F29" s="34">
        <f>15500*1.19</f>
        <v>18445</v>
      </c>
      <c r="G29" s="35" t="s">
        <v>32</v>
      </c>
      <c r="H29" s="36">
        <f>16000*1.19</f>
        <v>19040</v>
      </c>
      <c r="I29" s="35" t="s">
        <v>33</v>
      </c>
      <c r="J29" s="42">
        <v>29655</v>
      </c>
      <c r="K29" s="43" t="s">
        <v>37</v>
      </c>
      <c r="L29" s="59">
        <f t="shared" si="0"/>
        <v>3</v>
      </c>
      <c r="M29" s="60">
        <f t="shared" si="1"/>
        <v>22380</v>
      </c>
      <c r="N29" s="60">
        <f t="shared" si="2"/>
        <v>6307.354833842789</v>
      </c>
      <c r="O29" s="61">
        <f t="shared" si="3"/>
        <v>0.28182997470253751</v>
      </c>
      <c r="P29" s="60">
        <f>+MEDIAN(J29,H29,F29)</f>
        <v>19040</v>
      </c>
      <c r="Q29" s="60">
        <f>+_xlfn.CEILING.MATH(M29,50,FALSE)</f>
        <v>22400</v>
      </c>
      <c r="R29" s="204">
        <v>1</v>
      </c>
      <c r="S29" s="60">
        <f t="shared" si="4"/>
        <v>22400</v>
      </c>
    </row>
    <row r="30" spans="1:19" s="19" customFormat="1" ht="81" customHeight="1">
      <c r="A30" s="16">
        <v>9</v>
      </c>
      <c r="B30" s="161" t="s">
        <v>175</v>
      </c>
      <c r="C30" s="162" t="s">
        <v>176</v>
      </c>
      <c r="D30" s="17"/>
      <c r="E30" s="18"/>
      <c r="F30" s="34">
        <f>22000*1.19</f>
        <v>26180</v>
      </c>
      <c r="G30" s="35" t="s">
        <v>31</v>
      </c>
      <c r="H30" s="34">
        <f>18000*1.19</f>
        <v>21420</v>
      </c>
      <c r="I30" s="35" t="s">
        <v>32</v>
      </c>
      <c r="J30" s="36">
        <f>28000*1.19</f>
        <v>33320</v>
      </c>
      <c r="K30" s="35" t="s">
        <v>33</v>
      </c>
      <c r="L30" s="59">
        <f t="shared" si="0"/>
        <v>3</v>
      </c>
      <c r="M30" s="60">
        <f t="shared" si="1"/>
        <v>26973.333333333332</v>
      </c>
      <c r="N30" s="60">
        <f t="shared" si="2"/>
        <v>5989.5353186481216</v>
      </c>
      <c r="O30" s="61">
        <f t="shared" si="3"/>
        <v>0.22205395397855124</v>
      </c>
      <c r="P30" s="60">
        <f>+MEDIAN(J30,H30,F30)</f>
        <v>26180</v>
      </c>
      <c r="Q30" s="60">
        <f>+_xlfn.CEILING.MATH(M30,50,FALSE)</f>
        <v>27000</v>
      </c>
      <c r="R30" s="204">
        <v>1</v>
      </c>
      <c r="S30" s="60">
        <f t="shared" si="4"/>
        <v>27000</v>
      </c>
    </row>
    <row r="31" spans="1:19" ht="148.5" customHeight="1">
      <c r="A31" s="22">
        <v>10</v>
      </c>
      <c r="B31" s="27" t="s">
        <v>177</v>
      </c>
      <c r="C31" s="8" t="s">
        <v>178</v>
      </c>
      <c r="D31" s="4"/>
      <c r="E31" s="1"/>
      <c r="F31" s="42">
        <f>115000*1.19</f>
        <v>136850</v>
      </c>
      <c r="G31" s="43" t="s">
        <v>31</v>
      </c>
      <c r="H31" s="42">
        <f>150000*1.19</f>
        <v>178500</v>
      </c>
      <c r="I31" s="43" t="s">
        <v>124</v>
      </c>
      <c r="J31" s="42">
        <v>136850</v>
      </c>
      <c r="K31" s="43" t="s">
        <v>37</v>
      </c>
      <c r="L31" s="59">
        <f t="shared" si="0"/>
        <v>3</v>
      </c>
      <c r="M31" s="60">
        <f t="shared" si="1"/>
        <v>150733.33333333334</v>
      </c>
      <c r="N31" s="60">
        <f t="shared" si="2"/>
        <v>24046.638711747888</v>
      </c>
      <c r="O31" s="61">
        <f t="shared" si="3"/>
        <v>0.15953099543397536</v>
      </c>
      <c r="P31" s="60">
        <f>+MEDIAN(J31,H31,F31)</f>
        <v>136850</v>
      </c>
      <c r="Q31" s="60">
        <f>+_xlfn.CEILING.MATH(M31,50,FALSE)</f>
        <v>150750</v>
      </c>
      <c r="R31" s="204">
        <v>1</v>
      </c>
      <c r="S31" s="60">
        <f t="shared" si="4"/>
        <v>150750</v>
      </c>
    </row>
    <row r="32" spans="1:19" ht="81" customHeight="1">
      <c r="A32" s="22">
        <v>11</v>
      </c>
      <c r="B32" s="20" t="s">
        <v>179</v>
      </c>
      <c r="C32" s="252" t="s">
        <v>180</v>
      </c>
      <c r="D32" s="23"/>
      <c r="E32" s="1"/>
      <c r="F32" s="42">
        <v>278000</v>
      </c>
      <c r="G32" s="43" t="s">
        <v>181</v>
      </c>
      <c r="H32" s="42">
        <v>255000</v>
      </c>
      <c r="I32" s="43" t="s">
        <v>182</v>
      </c>
      <c r="J32" s="42">
        <v>300000</v>
      </c>
      <c r="K32" s="43" t="s">
        <v>183</v>
      </c>
      <c r="L32" s="59">
        <f t="shared" si="0"/>
        <v>3</v>
      </c>
      <c r="M32" s="60">
        <f t="shared" si="1"/>
        <v>277666.66666666669</v>
      </c>
      <c r="N32" s="60">
        <f t="shared" si="2"/>
        <v>22501.85177565023</v>
      </c>
      <c r="O32" s="61">
        <f t="shared" si="3"/>
        <v>8.103908202515088E-2</v>
      </c>
      <c r="P32" s="60">
        <f>+MEDIAN(J32,H32,F32)</f>
        <v>278000</v>
      </c>
      <c r="Q32" s="60">
        <f>+_xlfn.CEILING.MATH(M32,50,FALSE)</f>
        <v>277700</v>
      </c>
      <c r="R32" s="204">
        <v>1</v>
      </c>
      <c r="S32" s="60">
        <f t="shared" si="4"/>
        <v>277700</v>
      </c>
    </row>
    <row r="33" spans="1:20" ht="81" customHeight="1">
      <c r="A33" s="2">
        <v>12</v>
      </c>
      <c r="B33" s="172" t="s">
        <v>184</v>
      </c>
      <c r="C33" s="171" t="s">
        <v>185</v>
      </c>
      <c r="D33" s="4"/>
      <c r="E33" s="1"/>
      <c r="F33" s="42">
        <v>260000</v>
      </c>
      <c r="G33" s="43" t="s">
        <v>158</v>
      </c>
      <c r="H33" s="42">
        <v>260000</v>
      </c>
      <c r="I33" s="43" t="s">
        <v>186</v>
      </c>
      <c r="J33" s="42">
        <v>249900</v>
      </c>
      <c r="K33" s="43" t="s">
        <v>187</v>
      </c>
      <c r="L33" s="59">
        <f t="shared" si="0"/>
        <v>3</v>
      </c>
      <c r="M33" s="60">
        <f t="shared" si="1"/>
        <v>256633.33333333334</v>
      </c>
      <c r="N33" s="60">
        <f t="shared" si="2"/>
        <v>5831.2377188152204</v>
      </c>
      <c r="O33" s="61">
        <f t="shared" si="3"/>
        <v>2.2722058912125809E-2</v>
      </c>
      <c r="P33" s="60">
        <f>+MEDIAN(J33,H33,F33)</f>
        <v>260000</v>
      </c>
      <c r="Q33" s="60">
        <f>+_xlfn.CEILING.MATH(M33,50,FALSE)</f>
        <v>256650</v>
      </c>
      <c r="R33" s="204">
        <v>1</v>
      </c>
      <c r="S33" s="60">
        <f t="shared" si="4"/>
        <v>256650</v>
      </c>
    </row>
    <row r="34" spans="1:20" ht="81" customHeight="1">
      <c r="A34" s="22">
        <v>13</v>
      </c>
      <c r="B34" s="20" t="s">
        <v>179</v>
      </c>
      <c r="C34" s="21" t="s">
        <v>188</v>
      </c>
      <c r="D34" s="23"/>
      <c r="E34" s="1"/>
      <c r="F34" s="42">
        <v>280000</v>
      </c>
      <c r="G34" s="43" t="s">
        <v>186</v>
      </c>
      <c r="H34" s="42">
        <v>249000</v>
      </c>
      <c r="I34" s="43" t="s">
        <v>189</v>
      </c>
      <c r="J34" s="42">
        <v>234900</v>
      </c>
      <c r="K34" s="43" t="s">
        <v>190</v>
      </c>
      <c r="L34" s="59">
        <f t="shared" si="0"/>
        <v>3</v>
      </c>
      <c r="M34" s="60">
        <f t="shared" si="1"/>
        <v>254633.33333333334</v>
      </c>
      <c r="N34" s="60">
        <f t="shared" si="2"/>
        <v>23071.699836235159</v>
      </c>
      <c r="O34" s="61">
        <f t="shared" si="3"/>
        <v>9.0607539610820104E-2</v>
      </c>
      <c r="P34" s="60">
        <f>+MEDIAN(J34,H34,F34)</f>
        <v>249000</v>
      </c>
      <c r="Q34" s="60">
        <f>+_xlfn.CEILING.MATH(M34,50,FALSE)</f>
        <v>254650</v>
      </c>
      <c r="R34" s="204">
        <v>1</v>
      </c>
      <c r="S34" s="60">
        <f t="shared" si="4"/>
        <v>254650</v>
      </c>
    </row>
    <row r="35" spans="1:20" ht="81" customHeight="1">
      <c r="A35" s="2">
        <v>14</v>
      </c>
      <c r="B35" s="173" t="s">
        <v>191</v>
      </c>
      <c r="C35" s="174" t="s">
        <v>192</v>
      </c>
      <c r="D35" s="4"/>
      <c r="E35" s="1"/>
      <c r="F35" s="42">
        <v>278000</v>
      </c>
      <c r="G35" s="43" t="s">
        <v>181</v>
      </c>
      <c r="H35" s="42">
        <v>255000</v>
      </c>
      <c r="I35" s="43" t="s">
        <v>182</v>
      </c>
      <c r="J35" s="42">
        <v>300000</v>
      </c>
      <c r="K35" s="43" t="s">
        <v>183</v>
      </c>
      <c r="L35" s="59">
        <f t="shared" si="0"/>
        <v>3</v>
      </c>
      <c r="M35" s="60">
        <f t="shared" si="1"/>
        <v>277666.66666666669</v>
      </c>
      <c r="N35" s="60">
        <f t="shared" si="2"/>
        <v>22501.85177565023</v>
      </c>
      <c r="O35" s="61">
        <f t="shared" si="3"/>
        <v>8.103908202515088E-2</v>
      </c>
      <c r="P35" s="60">
        <f>+MEDIAN(J35,H35,F35)</f>
        <v>278000</v>
      </c>
      <c r="Q35" s="60">
        <f>+_xlfn.CEILING.MATH(M35,50,FALSE)</f>
        <v>277700</v>
      </c>
      <c r="R35" s="204">
        <v>1</v>
      </c>
      <c r="S35" s="60">
        <f t="shared" si="4"/>
        <v>277700</v>
      </c>
    </row>
    <row r="36" spans="1:20" ht="81" customHeight="1">
      <c r="A36" s="22">
        <v>15</v>
      </c>
      <c r="B36" s="25" t="s">
        <v>193</v>
      </c>
      <c r="C36" s="26" t="s">
        <v>194</v>
      </c>
      <c r="D36" s="23"/>
      <c r="E36" s="1"/>
      <c r="F36" s="42">
        <v>309900</v>
      </c>
      <c r="G36" s="43" t="s">
        <v>187</v>
      </c>
      <c r="H36" s="42">
        <v>299900</v>
      </c>
      <c r="I36" s="71" t="s">
        <v>195</v>
      </c>
      <c r="J36" s="70">
        <v>239900</v>
      </c>
      <c r="K36" s="43" t="s">
        <v>189</v>
      </c>
      <c r="L36" s="59">
        <f t="shared" si="0"/>
        <v>3</v>
      </c>
      <c r="M36" s="60">
        <f t="shared" si="1"/>
        <v>283233.33333333331</v>
      </c>
      <c r="N36" s="60">
        <f t="shared" si="2"/>
        <v>37859.388972001754</v>
      </c>
      <c r="O36" s="61">
        <f t="shared" si="3"/>
        <v>0.13366854997764538</v>
      </c>
      <c r="P36" s="60">
        <f>+MEDIAN(J36,H36,F36)</f>
        <v>299900</v>
      </c>
      <c r="Q36" s="60">
        <f>+_xlfn.CEILING.MATH(M36,50,FALSE)</f>
        <v>283250</v>
      </c>
      <c r="R36" s="204">
        <v>1</v>
      </c>
      <c r="S36" s="60">
        <f t="shared" si="4"/>
        <v>283250</v>
      </c>
    </row>
    <row r="37" spans="1:20" ht="81" customHeight="1">
      <c r="A37" s="22">
        <v>16</v>
      </c>
      <c r="B37" s="27" t="s">
        <v>196</v>
      </c>
      <c r="C37" s="28" t="s">
        <v>197</v>
      </c>
      <c r="D37" s="23"/>
      <c r="E37" s="1"/>
      <c r="F37" s="42">
        <v>42500</v>
      </c>
      <c r="G37" s="43" t="s">
        <v>181</v>
      </c>
      <c r="H37" s="156">
        <v>35000</v>
      </c>
      <c r="I37" s="24" t="s">
        <v>198</v>
      </c>
      <c r="J37" s="85"/>
      <c r="K37" s="157"/>
      <c r="L37" s="59">
        <f t="shared" si="0"/>
        <v>2</v>
      </c>
      <c r="M37" s="60">
        <f t="shared" si="1"/>
        <v>38750</v>
      </c>
      <c r="N37" s="60">
        <f t="shared" si="2"/>
        <v>5303.3008588991061</v>
      </c>
      <c r="O37" s="61">
        <f t="shared" si="3"/>
        <v>0.1368593770038479</v>
      </c>
      <c r="P37" s="60">
        <f>+MEDIAN(J37,H37,F37)</f>
        <v>38750</v>
      </c>
      <c r="Q37" s="60">
        <f>+_xlfn.CEILING.MATH(M37,50,FALSE)</f>
        <v>38750</v>
      </c>
      <c r="R37" s="204">
        <v>1</v>
      </c>
      <c r="S37" s="60">
        <f t="shared" si="4"/>
        <v>38750</v>
      </c>
    </row>
    <row r="38" spans="1:20" ht="81" customHeight="1">
      <c r="A38" s="22">
        <v>17</v>
      </c>
      <c r="B38" s="20" t="s">
        <v>199</v>
      </c>
      <c r="C38" s="24" t="s">
        <v>200</v>
      </c>
      <c r="D38" s="23"/>
      <c r="E38" s="1"/>
      <c r="F38" s="42">
        <v>33500</v>
      </c>
      <c r="G38" s="43" t="s">
        <v>181</v>
      </c>
      <c r="H38" s="156">
        <v>25000</v>
      </c>
      <c r="I38" s="24" t="s">
        <v>198</v>
      </c>
      <c r="J38" s="85"/>
      <c r="K38" s="157"/>
      <c r="L38" s="59">
        <f t="shared" si="0"/>
        <v>2</v>
      </c>
      <c r="M38" s="60">
        <f t="shared" si="1"/>
        <v>29250</v>
      </c>
      <c r="N38" s="60">
        <f t="shared" si="2"/>
        <v>6010.4076400856538</v>
      </c>
      <c r="O38" s="61">
        <f t="shared" si="3"/>
        <v>0.20548402188327022</v>
      </c>
      <c r="P38" s="60">
        <f>+MEDIAN(J38,H38,F38)</f>
        <v>29250</v>
      </c>
      <c r="Q38" s="60">
        <f>+_xlfn.CEILING.MATH(M38,50,FALSE)</f>
        <v>29250</v>
      </c>
      <c r="R38" s="204">
        <v>1</v>
      </c>
      <c r="S38" s="60">
        <f t="shared" si="4"/>
        <v>29250</v>
      </c>
    </row>
    <row r="39" spans="1:20" s="10" customFormat="1" ht="81" customHeight="1">
      <c r="A39" s="184">
        <v>18</v>
      </c>
      <c r="B39" s="163" t="s">
        <v>201</v>
      </c>
      <c r="C39" s="164" t="s">
        <v>202</v>
      </c>
      <c r="D39" s="9"/>
      <c r="E39" s="9"/>
      <c r="F39" s="45">
        <v>1300000</v>
      </c>
      <c r="G39" s="46" t="s">
        <v>203</v>
      </c>
      <c r="H39" s="45">
        <v>1235000</v>
      </c>
      <c r="I39" s="158" t="s">
        <v>204</v>
      </c>
      <c r="J39" s="159">
        <v>1150000</v>
      </c>
      <c r="K39" s="46" t="s">
        <v>205</v>
      </c>
      <c r="L39" s="59">
        <f t="shared" si="0"/>
        <v>3</v>
      </c>
      <c r="M39" s="60">
        <f t="shared" si="1"/>
        <v>1228333.3333333333</v>
      </c>
      <c r="N39" s="60">
        <f t="shared" si="2"/>
        <v>75221.893975978397</v>
      </c>
      <c r="O39" s="61">
        <f t="shared" si="3"/>
        <v>6.1238991025219867E-2</v>
      </c>
      <c r="P39" s="60">
        <f>+MEDIAN(J39,H39,F39)</f>
        <v>1235000</v>
      </c>
      <c r="Q39" s="60">
        <f>+_xlfn.CEILING.MATH(M39,50,FALSE)</f>
        <v>1228350</v>
      </c>
      <c r="R39" s="204">
        <v>1</v>
      </c>
      <c r="S39" s="60">
        <f t="shared" si="4"/>
        <v>1228350</v>
      </c>
      <c r="T39" s="41"/>
    </row>
    <row r="40" spans="1:20" ht="81" customHeight="1">
      <c r="A40" s="29">
        <v>19</v>
      </c>
      <c r="B40" s="30" t="s">
        <v>206</v>
      </c>
      <c r="C40" s="21" t="s">
        <v>207</v>
      </c>
      <c r="F40" s="42">
        <v>680000</v>
      </c>
      <c r="G40" s="46" t="s">
        <v>203</v>
      </c>
      <c r="H40" s="42">
        <v>653000</v>
      </c>
      <c r="I40" s="43" t="s">
        <v>182</v>
      </c>
      <c r="J40" s="42">
        <v>580000</v>
      </c>
      <c r="K40" s="43" t="s">
        <v>183</v>
      </c>
      <c r="L40" s="59">
        <f t="shared" si="0"/>
        <v>3</v>
      </c>
      <c r="M40" s="60">
        <f t="shared" si="1"/>
        <v>637666.66666666663</v>
      </c>
      <c r="N40" s="60">
        <f t="shared" si="2"/>
        <v>51733.29037798904</v>
      </c>
      <c r="O40" s="61">
        <f t="shared" si="3"/>
        <v>8.1129049207510268E-2</v>
      </c>
      <c r="P40" s="60">
        <f>+MEDIAN(J40,H40,F40)</f>
        <v>653000</v>
      </c>
      <c r="Q40" s="60">
        <f>+_xlfn.CEILING.MATH(M40,50,FALSE)</f>
        <v>637700</v>
      </c>
      <c r="R40" s="204">
        <v>1</v>
      </c>
      <c r="S40" s="60">
        <f t="shared" si="4"/>
        <v>637700</v>
      </c>
    </row>
    <row r="41" spans="1:20" ht="81" customHeight="1">
      <c r="A41">
        <v>20</v>
      </c>
      <c r="B41" s="175" t="s">
        <v>208</v>
      </c>
      <c r="C41" s="176" t="s">
        <v>209</v>
      </c>
      <c r="F41" s="38">
        <f>3800*1.19</f>
        <v>4522</v>
      </c>
      <c r="G41" s="39" t="s">
        <v>31</v>
      </c>
      <c r="H41" s="40">
        <f>4500*1.19</f>
        <v>5355</v>
      </c>
      <c r="I41" s="39" t="s">
        <v>33</v>
      </c>
      <c r="J41" s="40">
        <f>3800*1.19</f>
        <v>4522</v>
      </c>
      <c r="K41" s="39" t="s">
        <v>210</v>
      </c>
      <c r="L41" s="59">
        <f t="shared" si="0"/>
        <v>3</v>
      </c>
      <c r="M41" s="60">
        <f t="shared" si="1"/>
        <v>4799.666666666667</v>
      </c>
      <c r="N41" s="60">
        <f t="shared" si="2"/>
        <v>480.93277423495823</v>
      </c>
      <c r="O41" s="61">
        <f t="shared" si="3"/>
        <v>0.10020128638828214</v>
      </c>
      <c r="P41" s="60">
        <f>+MEDIAN(J41,H41,F41)</f>
        <v>4522</v>
      </c>
      <c r="Q41" s="60">
        <f>+_xlfn.CEILING.MATH(M41,50,FALSE)</f>
        <v>4800</v>
      </c>
      <c r="R41" s="204">
        <v>1</v>
      </c>
      <c r="S41" s="60">
        <f t="shared" si="4"/>
        <v>4800</v>
      </c>
    </row>
    <row r="42" spans="1:20" ht="229.5" customHeight="1">
      <c r="A42">
        <v>21</v>
      </c>
      <c r="B42" s="173" t="s">
        <v>211</v>
      </c>
      <c r="C42" s="173" t="s">
        <v>212</v>
      </c>
      <c r="F42" s="42">
        <f>2750000*1.19</f>
        <v>3272500</v>
      </c>
      <c r="G42" s="43" t="s">
        <v>213</v>
      </c>
      <c r="H42" s="42">
        <f>2500000*1.19</f>
        <v>2975000</v>
      </c>
      <c r="I42" s="43" t="s">
        <v>214</v>
      </c>
      <c r="J42" s="42"/>
      <c r="K42" s="43"/>
      <c r="L42" s="59">
        <f t="shared" si="0"/>
        <v>2</v>
      </c>
      <c r="M42" s="60">
        <f t="shared" si="1"/>
        <v>3123750</v>
      </c>
      <c r="N42" s="60">
        <f t="shared" si="2"/>
        <v>210364.26740299788</v>
      </c>
      <c r="O42" s="61">
        <f t="shared" si="3"/>
        <v>6.7343502970147379E-2</v>
      </c>
      <c r="P42" s="60">
        <f>+MEDIAN(J42,H42,F42)</f>
        <v>3123750</v>
      </c>
      <c r="Q42" s="60">
        <f>+_xlfn.CEILING.MATH(M42,50,FALSE)</f>
        <v>3123750</v>
      </c>
      <c r="R42" s="204">
        <v>1</v>
      </c>
      <c r="S42" s="60">
        <f t="shared" si="4"/>
        <v>3123750</v>
      </c>
    </row>
    <row r="43" spans="1:20" ht="99" customHeight="1">
      <c r="A43">
        <v>22</v>
      </c>
      <c r="B43" s="173" t="s">
        <v>215</v>
      </c>
      <c r="C43" s="177" t="s">
        <v>216</v>
      </c>
      <c r="F43" s="42">
        <v>4359000</v>
      </c>
      <c r="G43" s="43" t="s">
        <v>195</v>
      </c>
      <c r="H43" s="42">
        <v>4099000</v>
      </c>
      <c r="I43" s="43" t="s">
        <v>189</v>
      </c>
      <c r="J43" s="42">
        <v>3950000</v>
      </c>
      <c r="K43" s="47" t="s">
        <v>217</v>
      </c>
      <c r="L43" s="59">
        <f t="shared" si="0"/>
        <v>3</v>
      </c>
      <c r="M43" s="60">
        <f t="shared" si="1"/>
        <v>4136000</v>
      </c>
      <c r="N43" s="60">
        <f t="shared" si="2"/>
        <v>206995.16902575287</v>
      </c>
      <c r="O43" s="61">
        <f t="shared" si="3"/>
        <v>5.0047187868895761E-2</v>
      </c>
      <c r="P43" s="60">
        <f>+MEDIAN(J43,H43,F43)</f>
        <v>4099000</v>
      </c>
      <c r="Q43" s="60">
        <f>+_xlfn.CEILING.MATH(M43,50,FALSE)</f>
        <v>4136000</v>
      </c>
      <c r="R43" s="204">
        <v>1</v>
      </c>
      <c r="S43" s="60">
        <f t="shared" si="4"/>
        <v>4136000</v>
      </c>
    </row>
    <row r="44" spans="1:20" ht="81" customHeight="1">
      <c r="A44">
        <v>23</v>
      </c>
      <c r="B44" s="177" t="s">
        <v>218</v>
      </c>
      <c r="C44" s="177" t="s">
        <v>219</v>
      </c>
      <c r="F44" s="42">
        <v>417900</v>
      </c>
      <c r="G44" s="43" t="s">
        <v>220</v>
      </c>
      <c r="H44" s="42">
        <v>417900</v>
      </c>
      <c r="I44" s="43" t="s">
        <v>221</v>
      </c>
      <c r="J44" s="42">
        <v>440300</v>
      </c>
      <c r="K44" s="43" t="s">
        <v>222</v>
      </c>
      <c r="L44" s="59">
        <f t="shared" si="0"/>
        <v>3</v>
      </c>
      <c r="M44" s="60">
        <f t="shared" si="1"/>
        <v>425366.66666666669</v>
      </c>
      <c r="N44" s="60">
        <f t="shared" si="2"/>
        <v>12932.646029847616</v>
      </c>
      <c r="O44" s="61">
        <f t="shared" si="3"/>
        <v>3.0403524872300639E-2</v>
      </c>
      <c r="P44" s="60">
        <f>+MEDIAN(J44,H44,F44)</f>
        <v>417900</v>
      </c>
      <c r="Q44" s="60">
        <f>+_xlfn.CEILING.MATH(M44,50,FALSE)</f>
        <v>425400</v>
      </c>
      <c r="R44" s="204">
        <v>1</v>
      </c>
      <c r="S44" s="60">
        <f t="shared" si="4"/>
        <v>425400</v>
      </c>
    </row>
    <row r="45" spans="1:20" ht="81" customHeight="1">
      <c r="A45">
        <v>24</v>
      </c>
      <c r="B45" s="173" t="s">
        <v>223</v>
      </c>
      <c r="C45" s="177" t="s">
        <v>224</v>
      </c>
      <c r="F45" s="42">
        <v>60000</v>
      </c>
      <c r="G45" s="43" t="s">
        <v>225</v>
      </c>
      <c r="H45" s="42">
        <f>55000*1.19</f>
        <v>65450</v>
      </c>
      <c r="I45" s="43" t="s">
        <v>226</v>
      </c>
      <c r="J45" s="42">
        <v>56000</v>
      </c>
      <c r="K45" s="43" t="s">
        <v>227</v>
      </c>
      <c r="L45" s="59">
        <f t="shared" si="0"/>
        <v>3</v>
      </c>
      <c r="M45" s="60">
        <f t="shared" si="1"/>
        <v>60483.333333333336</v>
      </c>
      <c r="N45" s="60">
        <f t="shared" si="2"/>
        <v>4743.5043304853571</v>
      </c>
      <c r="O45" s="61">
        <f t="shared" si="3"/>
        <v>7.8426635389672469E-2</v>
      </c>
      <c r="P45" s="60">
        <f>+MEDIAN(J45,H45,F45)</f>
        <v>60000</v>
      </c>
      <c r="Q45" s="60">
        <f>+_xlfn.CEILING.MATH(M45,50,FALSE)</f>
        <v>60500</v>
      </c>
      <c r="R45" s="204">
        <v>1</v>
      </c>
      <c r="S45" s="60">
        <f t="shared" si="4"/>
        <v>60500</v>
      </c>
    </row>
    <row r="46" spans="1:20" ht="81" customHeight="1">
      <c r="A46">
        <v>25</v>
      </c>
      <c r="B46" s="173" t="s">
        <v>228</v>
      </c>
      <c r="C46" s="177" t="s">
        <v>229</v>
      </c>
      <c r="F46" s="42">
        <v>1099000</v>
      </c>
      <c r="G46" s="43" t="s">
        <v>187</v>
      </c>
      <c r="H46" s="42">
        <v>1499000</v>
      </c>
      <c r="I46" s="43" t="s">
        <v>189</v>
      </c>
      <c r="J46" s="42">
        <v>1219000</v>
      </c>
      <c r="K46" s="43" t="s">
        <v>195</v>
      </c>
      <c r="L46" s="59">
        <f t="shared" si="0"/>
        <v>3</v>
      </c>
      <c r="M46" s="60">
        <f t="shared" si="1"/>
        <v>1272333.3333333333</v>
      </c>
      <c r="N46" s="60">
        <f t="shared" si="2"/>
        <v>205264.05757787576</v>
      </c>
      <c r="O46" s="61">
        <f t="shared" si="3"/>
        <v>0.16132883749898541</v>
      </c>
      <c r="P46" s="60">
        <f>+MEDIAN(J46,H46,F46)</f>
        <v>1219000</v>
      </c>
      <c r="Q46" s="60">
        <f>+_xlfn.CEILING.MATH(M46,50,FALSE)</f>
        <v>1272350</v>
      </c>
      <c r="R46" s="204">
        <v>1</v>
      </c>
      <c r="S46" s="60">
        <f t="shared" si="4"/>
        <v>1272350</v>
      </c>
    </row>
    <row r="47" spans="1:20" ht="228.75" customHeight="1">
      <c r="A47">
        <v>26</v>
      </c>
      <c r="B47" s="173" t="s">
        <v>230</v>
      </c>
      <c r="C47" s="177" t="s">
        <v>231</v>
      </c>
      <c r="F47" s="42">
        <v>86900</v>
      </c>
      <c r="G47" s="43" t="s">
        <v>187</v>
      </c>
      <c r="H47" s="42">
        <v>76000</v>
      </c>
      <c r="I47" s="43" t="s">
        <v>232</v>
      </c>
      <c r="J47" s="42">
        <v>86900</v>
      </c>
      <c r="K47" s="43" t="s">
        <v>189</v>
      </c>
      <c r="L47" s="59">
        <f t="shared" si="0"/>
        <v>3</v>
      </c>
      <c r="M47" s="60">
        <f t="shared" si="1"/>
        <v>83266.666666666672</v>
      </c>
      <c r="N47" s="60">
        <f t="shared" si="2"/>
        <v>6293.1179341669213</v>
      </c>
      <c r="O47" s="61">
        <f t="shared" si="3"/>
        <v>7.5577877512012656E-2</v>
      </c>
      <c r="P47" s="60">
        <f>+MEDIAN(J47,H47,F47)</f>
        <v>86900</v>
      </c>
      <c r="Q47" s="60">
        <f>+_xlfn.CEILING.MATH(M47,50,FALSE)</f>
        <v>83300</v>
      </c>
      <c r="R47" s="204">
        <v>1</v>
      </c>
      <c r="S47" s="60">
        <f t="shared" si="4"/>
        <v>83300</v>
      </c>
    </row>
    <row r="48" spans="1:20" ht="81" customHeight="1">
      <c r="A48">
        <v>27</v>
      </c>
      <c r="B48" s="173" t="s">
        <v>233</v>
      </c>
      <c r="C48" s="177" t="s">
        <v>234</v>
      </c>
      <c r="F48" s="34">
        <f>15000*1.19</f>
        <v>17850</v>
      </c>
      <c r="G48" s="37" t="s">
        <v>31</v>
      </c>
      <c r="H48" s="34">
        <f>18000*1.19</f>
        <v>21420</v>
      </c>
      <c r="I48" s="35" t="s">
        <v>32</v>
      </c>
      <c r="J48" s="42">
        <f>17850*1.19</f>
        <v>21241.5</v>
      </c>
      <c r="K48" s="43" t="s">
        <v>37</v>
      </c>
      <c r="L48" s="59">
        <f t="shared" si="0"/>
        <v>3</v>
      </c>
      <c r="M48" s="60">
        <f t="shared" si="1"/>
        <v>20170.5</v>
      </c>
      <c r="N48" s="60">
        <f t="shared" si="2"/>
        <v>2011.5928390208592</v>
      </c>
      <c r="O48" s="61">
        <f t="shared" si="3"/>
        <v>9.9729448403403934E-2</v>
      </c>
      <c r="P48" s="60">
        <f>+MEDIAN(J48,H48,F48)</f>
        <v>21241.5</v>
      </c>
      <c r="Q48" s="60">
        <f>+_xlfn.CEILING.MATH(M48,50,FALSE)</f>
        <v>20200</v>
      </c>
      <c r="R48" s="204">
        <v>1</v>
      </c>
      <c r="S48" s="60">
        <f t="shared" si="4"/>
        <v>20200</v>
      </c>
    </row>
    <row r="49" spans="1:19" s="33" customFormat="1" ht="81" customHeight="1">
      <c r="A49" s="33">
        <v>28</v>
      </c>
      <c r="B49" s="173" t="s">
        <v>165</v>
      </c>
      <c r="C49" s="173" t="s">
        <v>165</v>
      </c>
      <c r="F49" s="42">
        <v>5400</v>
      </c>
      <c r="G49" s="43" t="s">
        <v>167</v>
      </c>
      <c r="H49" s="42">
        <v>5400</v>
      </c>
      <c r="I49" s="43" t="s">
        <v>168</v>
      </c>
      <c r="J49" s="42">
        <v>5000</v>
      </c>
      <c r="K49" s="43" t="s">
        <v>169</v>
      </c>
      <c r="L49" s="43">
        <f t="shared" si="0"/>
        <v>3</v>
      </c>
      <c r="M49" s="62">
        <f t="shared" si="1"/>
        <v>5266.666666666667</v>
      </c>
      <c r="N49" s="62">
        <f t="shared" si="2"/>
        <v>230.9401076758503</v>
      </c>
      <c r="O49" s="77">
        <f t="shared" si="3"/>
        <v>4.3849387533389295E-2</v>
      </c>
      <c r="P49" s="62">
        <f>+MEDIAN(J49,H49,F49)</f>
        <v>5400</v>
      </c>
      <c r="Q49" s="62">
        <f>+_xlfn.CEILING.MATH(M49,50,FALSE)</f>
        <v>5300</v>
      </c>
      <c r="R49" s="205">
        <v>1</v>
      </c>
      <c r="S49" s="62">
        <f t="shared" si="4"/>
        <v>5300</v>
      </c>
    </row>
    <row r="50" spans="1:19" ht="81" customHeight="1">
      <c r="A50">
        <v>29</v>
      </c>
      <c r="B50" s="173" t="s">
        <v>235</v>
      </c>
      <c r="C50" s="177" t="s">
        <v>236</v>
      </c>
      <c r="F50" s="42">
        <v>5800</v>
      </c>
      <c r="G50" s="43" t="s">
        <v>168</v>
      </c>
      <c r="H50" s="42">
        <v>6400</v>
      </c>
      <c r="I50" s="43" t="s">
        <v>167</v>
      </c>
      <c r="J50" s="42">
        <v>6200</v>
      </c>
      <c r="K50" s="43" t="s">
        <v>169</v>
      </c>
      <c r="L50" s="59">
        <f t="shared" si="0"/>
        <v>3</v>
      </c>
      <c r="M50" s="60">
        <f t="shared" si="1"/>
        <v>6133.333333333333</v>
      </c>
      <c r="N50" s="60">
        <f t="shared" si="2"/>
        <v>305.50504633038935</v>
      </c>
      <c r="O50" s="61">
        <f t="shared" si="3"/>
        <v>4.9810605379954791E-2</v>
      </c>
      <c r="P50" s="60">
        <f>+MEDIAN(J50,H50,F50)</f>
        <v>6200</v>
      </c>
      <c r="Q50" s="60">
        <f>+_xlfn.CEILING.MATH(M50,50,FALSE)</f>
        <v>6150</v>
      </c>
      <c r="R50" s="204">
        <v>1</v>
      </c>
      <c r="S50" s="60">
        <f t="shared" si="4"/>
        <v>6150</v>
      </c>
    </row>
    <row r="51" spans="1:19" ht="81" customHeight="1">
      <c r="A51">
        <v>30</v>
      </c>
      <c r="B51" s="173" t="s">
        <v>237</v>
      </c>
      <c r="C51" s="177" t="s">
        <v>238</v>
      </c>
      <c r="F51" s="42">
        <v>158981</v>
      </c>
      <c r="G51" s="43" t="s">
        <v>167</v>
      </c>
      <c r="H51" s="42">
        <v>161528</v>
      </c>
      <c r="I51" s="43" t="s">
        <v>168</v>
      </c>
      <c r="J51" s="42">
        <v>158870</v>
      </c>
      <c r="K51" s="43" t="s">
        <v>169</v>
      </c>
      <c r="L51" s="59">
        <f t="shared" si="0"/>
        <v>3</v>
      </c>
      <c r="M51" s="60">
        <f t="shared" si="1"/>
        <v>159793</v>
      </c>
      <c r="N51" s="60">
        <f t="shared" si="2"/>
        <v>1503.5787308950603</v>
      </c>
      <c r="O51" s="61">
        <f t="shared" si="3"/>
        <v>9.4095406613247164E-3</v>
      </c>
      <c r="P51" s="60">
        <f>+MEDIAN(J51,H51,F51)</f>
        <v>158981</v>
      </c>
      <c r="Q51" s="60">
        <f>+_xlfn.CEILING.MATH(M51,50,FALSE)</f>
        <v>159800</v>
      </c>
      <c r="R51" s="204">
        <v>1</v>
      </c>
      <c r="S51" s="60">
        <f t="shared" si="4"/>
        <v>159800</v>
      </c>
    </row>
    <row r="52" spans="1:19" ht="126.75" customHeight="1">
      <c r="A52">
        <v>31</v>
      </c>
      <c r="B52" s="178" t="s">
        <v>239</v>
      </c>
      <c r="C52" s="179" t="s">
        <v>240</v>
      </c>
      <c r="F52" s="42">
        <v>11580</v>
      </c>
      <c r="G52" s="43" t="s">
        <v>168</v>
      </c>
      <c r="H52" s="42">
        <v>10820</v>
      </c>
      <c r="I52" s="43" t="s">
        <v>167</v>
      </c>
      <c r="J52" s="42">
        <v>11299</v>
      </c>
      <c r="K52" s="43" t="s">
        <v>169</v>
      </c>
      <c r="L52" s="59">
        <f t="shared" si="0"/>
        <v>3</v>
      </c>
      <c r="M52" s="60">
        <f t="shared" si="1"/>
        <v>11233</v>
      </c>
      <c r="N52" s="60">
        <f t="shared" si="2"/>
        <v>384.27464136994519</v>
      </c>
      <c r="O52" s="61">
        <f t="shared" si="3"/>
        <v>3.4209440164688437E-2</v>
      </c>
      <c r="P52" s="60">
        <f>+MEDIAN(J52,H52,F52)</f>
        <v>11299</v>
      </c>
      <c r="Q52" s="60">
        <f>+_xlfn.CEILING.MATH(M52,50,FALSE)</f>
        <v>11250</v>
      </c>
      <c r="R52" s="204">
        <v>1</v>
      </c>
      <c r="S52" s="60">
        <f t="shared" si="4"/>
        <v>11250</v>
      </c>
    </row>
    <row r="53" spans="1:19" ht="81" customHeight="1">
      <c r="A53">
        <v>32</v>
      </c>
      <c r="B53" s="173" t="s">
        <v>241</v>
      </c>
      <c r="C53" s="177" t="s">
        <v>242</v>
      </c>
      <c r="F53" s="42">
        <v>8600</v>
      </c>
      <c r="G53" s="43" t="s">
        <v>169</v>
      </c>
      <c r="H53" s="42">
        <v>9050</v>
      </c>
      <c r="I53" s="43" t="s">
        <v>167</v>
      </c>
      <c r="J53" s="42">
        <v>8600</v>
      </c>
      <c r="K53" s="43" t="s">
        <v>168</v>
      </c>
      <c r="L53" s="59">
        <f t="shared" si="0"/>
        <v>3</v>
      </c>
      <c r="M53" s="60">
        <f t="shared" si="1"/>
        <v>8750</v>
      </c>
      <c r="N53" s="60">
        <f t="shared" si="2"/>
        <v>259.8076211353316</v>
      </c>
      <c r="O53" s="61">
        <f t="shared" si="3"/>
        <v>2.9692299558323611E-2</v>
      </c>
      <c r="P53" s="60">
        <f>+MEDIAN(J53,H53,F53)</f>
        <v>8600</v>
      </c>
      <c r="Q53" s="60">
        <f>+_xlfn.CEILING.MATH(M53,50,FALSE)</f>
        <v>8750</v>
      </c>
      <c r="R53" s="204">
        <v>1</v>
      </c>
      <c r="S53" s="60">
        <f t="shared" si="4"/>
        <v>8750</v>
      </c>
    </row>
    <row r="54" spans="1:19" ht="81" customHeight="1">
      <c r="A54">
        <v>33</v>
      </c>
      <c r="B54" s="173" t="s">
        <v>243</v>
      </c>
      <c r="C54" s="180" t="s">
        <v>244</v>
      </c>
      <c r="F54" s="42">
        <v>200000</v>
      </c>
      <c r="G54" s="43" t="s">
        <v>245</v>
      </c>
      <c r="H54" s="42">
        <f>220000*1.19</f>
        <v>261800</v>
      </c>
      <c r="I54" s="43" t="s">
        <v>226</v>
      </c>
      <c r="J54" s="42">
        <v>200000</v>
      </c>
      <c r="K54" s="43" t="s">
        <v>246</v>
      </c>
      <c r="L54" s="59">
        <f t="shared" si="0"/>
        <v>3</v>
      </c>
      <c r="M54" s="60">
        <f t="shared" si="1"/>
        <v>220600</v>
      </c>
      <c r="N54" s="60">
        <f t="shared" si="2"/>
        <v>35680.246635918869</v>
      </c>
      <c r="O54" s="61">
        <f t="shared" si="3"/>
        <v>0.16174182518548899</v>
      </c>
      <c r="P54" s="60">
        <f>+MEDIAN(J54,H54,F54)</f>
        <v>200000</v>
      </c>
      <c r="Q54" s="60">
        <f>+_xlfn.CEILING.MATH(M54,50,FALSE)</f>
        <v>220600</v>
      </c>
      <c r="R54" s="204">
        <v>1</v>
      </c>
      <c r="S54" s="60">
        <f t="shared" si="4"/>
        <v>220600</v>
      </c>
    </row>
    <row r="55" spans="1:19" ht="183" customHeight="1">
      <c r="A55">
        <v>34</v>
      </c>
      <c r="B55" s="177" t="s">
        <v>247</v>
      </c>
      <c r="C55" s="177" t="s">
        <v>248</v>
      </c>
      <c r="F55" s="42">
        <f>32000*1.19</f>
        <v>38080</v>
      </c>
      <c r="G55" s="43" t="s">
        <v>31</v>
      </c>
      <c r="H55" s="42">
        <v>38080</v>
      </c>
      <c r="I55" s="43" t="s">
        <v>249</v>
      </c>
      <c r="J55" s="42"/>
      <c r="K55" s="43"/>
      <c r="L55" s="59">
        <f t="shared" si="0"/>
        <v>2</v>
      </c>
      <c r="M55" s="60">
        <f t="shared" si="1"/>
        <v>38080</v>
      </c>
      <c r="N55" s="60">
        <f t="shared" si="2"/>
        <v>0</v>
      </c>
      <c r="O55" s="61">
        <f t="shared" si="3"/>
        <v>0</v>
      </c>
      <c r="P55" s="60">
        <f>+MEDIAN(J55,H55,F55)</f>
        <v>38080</v>
      </c>
      <c r="Q55" s="60">
        <f>+_xlfn.CEILING.MATH(M55,50,FALSE)</f>
        <v>38100</v>
      </c>
      <c r="R55" s="204">
        <v>1</v>
      </c>
      <c r="S55" s="60">
        <f t="shared" si="4"/>
        <v>38100</v>
      </c>
    </row>
    <row r="56" spans="1:19" ht="147" customHeight="1">
      <c r="A56">
        <v>35</v>
      </c>
      <c r="B56" s="173" t="s">
        <v>250</v>
      </c>
      <c r="C56" s="174" t="s">
        <v>251</v>
      </c>
      <c r="F56" s="42">
        <v>575000</v>
      </c>
      <c r="G56" s="43" t="s">
        <v>252</v>
      </c>
      <c r="H56" s="42">
        <v>560430</v>
      </c>
      <c r="I56" s="43" t="s">
        <v>253</v>
      </c>
      <c r="J56" s="42">
        <v>540000</v>
      </c>
      <c r="K56" s="43" t="s">
        <v>254</v>
      </c>
      <c r="L56" s="59">
        <f t="shared" si="0"/>
        <v>3</v>
      </c>
      <c r="M56" s="60">
        <f t="shared" si="1"/>
        <v>558476.66666666663</v>
      </c>
      <c r="N56" s="60">
        <f t="shared" si="2"/>
        <v>17581.570843736728</v>
      </c>
      <c r="O56" s="61">
        <f t="shared" si="3"/>
        <v>3.1481298849376095E-2</v>
      </c>
      <c r="P56" s="60">
        <f>+MEDIAN(J56,H56,F56)</f>
        <v>560430</v>
      </c>
      <c r="Q56" s="60">
        <f>+_xlfn.CEILING.MATH(M56,50,FALSE)</f>
        <v>558500</v>
      </c>
      <c r="R56" s="204">
        <v>1</v>
      </c>
      <c r="S56" s="60">
        <f t="shared" si="4"/>
        <v>558500</v>
      </c>
    </row>
    <row r="57" spans="1:19" ht="81" customHeight="1">
      <c r="A57">
        <v>36</v>
      </c>
      <c r="B57" s="177" t="s">
        <v>255</v>
      </c>
      <c r="C57" s="177" t="s">
        <v>256</v>
      </c>
      <c r="F57" s="34">
        <v>16450</v>
      </c>
      <c r="G57" s="35" t="s">
        <v>195</v>
      </c>
      <c r="H57" s="34">
        <v>18600</v>
      </c>
      <c r="I57" s="35" t="s">
        <v>168</v>
      </c>
      <c r="J57" s="36">
        <v>17000</v>
      </c>
      <c r="K57" s="35" t="s">
        <v>78</v>
      </c>
      <c r="L57" s="59">
        <f t="shared" si="0"/>
        <v>3</v>
      </c>
      <c r="M57" s="60">
        <f t="shared" si="1"/>
        <v>17350</v>
      </c>
      <c r="N57" s="60">
        <f t="shared" si="2"/>
        <v>1116.9153951844339</v>
      </c>
      <c r="O57" s="61">
        <f t="shared" si="3"/>
        <v>6.437552709996737E-2</v>
      </c>
      <c r="P57" s="60">
        <f>+MEDIAN(J57,H57,F57)</f>
        <v>17000</v>
      </c>
      <c r="Q57" s="60">
        <f>+_xlfn.CEILING.MATH(M57,50,FALSE)</f>
        <v>17350</v>
      </c>
      <c r="R57" s="204">
        <v>1</v>
      </c>
      <c r="S57" s="60">
        <f t="shared" si="4"/>
        <v>17350</v>
      </c>
    </row>
    <row r="58" spans="1:19" ht="81" customHeight="1">
      <c r="A58">
        <v>37</v>
      </c>
      <c r="B58" s="177" t="s">
        <v>257</v>
      </c>
      <c r="C58" s="177" t="s">
        <v>258</v>
      </c>
      <c r="F58" s="42">
        <v>19800</v>
      </c>
      <c r="G58" s="43" t="s">
        <v>259</v>
      </c>
      <c r="H58" s="42">
        <v>17400</v>
      </c>
      <c r="I58" s="43" t="s">
        <v>167</v>
      </c>
      <c r="J58" s="42">
        <v>19800</v>
      </c>
      <c r="K58" s="43" t="s">
        <v>168</v>
      </c>
      <c r="L58" s="59">
        <f t="shared" si="0"/>
        <v>3</v>
      </c>
      <c r="M58" s="60">
        <f t="shared" si="1"/>
        <v>19000</v>
      </c>
      <c r="N58" s="60">
        <f t="shared" si="2"/>
        <v>1385.6406460551018</v>
      </c>
      <c r="O58" s="61">
        <f t="shared" si="3"/>
        <v>7.292845505553168E-2</v>
      </c>
      <c r="P58" s="60">
        <f>+MEDIAN(J58,H58,F58)</f>
        <v>19800</v>
      </c>
      <c r="Q58" s="60">
        <f>+_xlfn.CEILING.MATH(M58,50,FALSE)</f>
        <v>19000</v>
      </c>
      <c r="R58" s="204">
        <v>1</v>
      </c>
      <c r="S58" s="60">
        <f t="shared" si="4"/>
        <v>19000</v>
      </c>
    </row>
    <row r="59" spans="1:19" ht="81" customHeight="1">
      <c r="A59">
        <v>38</v>
      </c>
      <c r="B59" s="177" t="s">
        <v>260</v>
      </c>
      <c r="C59" s="177" t="s">
        <v>261</v>
      </c>
      <c r="F59" s="42">
        <v>12999000</v>
      </c>
      <c r="G59" s="43" t="s">
        <v>187</v>
      </c>
      <c r="H59" s="42">
        <v>12076000</v>
      </c>
      <c r="I59" s="43" t="s">
        <v>232</v>
      </c>
      <c r="J59" s="42">
        <v>14599000</v>
      </c>
      <c r="K59" s="43" t="s">
        <v>189</v>
      </c>
      <c r="L59" s="59">
        <f t="shared" si="0"/>
        <v>3</v>
      </c>
      <c r="M59" s="60">
        <f t="shared" si="1"/>
        <v>13224666.666666666</v>
      </c>
      <c r="N59" s="60">
        <f t="shared" si="2"/>
        <v>1276548.6020255294</v>
      </c>
      <c r="O59" s="61">
        <f t="shared" si="3"/>
        <v>9.6527847105827194E-2</v>
      </c>
      <c r="P59" s="60">
        <f>+MEDIAN(J59,H59,F59)</f>
        <v>12999000</v>
      </c>
      <c r="Q59" s="60">
        <f>+_xlfn.CEILING.MATH(M59,50,FALSE)</f>
        <v>13224700</v>
      </c>
      <c r="R59" s="204">
        <v>1</v>
      </c>
      <c r="S59" s="60">
        <f t="shared" si="4"/>
        <v>13224700</v>
      </c>
    </row>
    <row r="60" spans="1:19" ht="81" customHeight="1">
      <c r="A60">
        <v>39</v>
      </c>
      <c r="B60" s="177" t="s">
        <v>262</v>
      </c>
      <c r="C60" s="177" t="s">
        <v>263</v>
      </c>
      <c r="F60" s="42">
        <f>22000*1.19</f>
        <v>26180</v>
      </c>
      <c r="G60" s="43" t="s">
        <v>264</v>
      </c>
      <c r="H60" s="42">
        <f>44000*1.19</f>
        <v>52360</v>
      </c>
      <c r="I60" s="43" t="s">
        <v>265</v>
      </c>
      <c r="J60" s="42">
        <v>45000</v>
      </c>
      <c r="K60" s="43" t="s">
        <v>266</v>
      </c>
      <c r="L60" s="59">
        <f t="shared" si="0"/>
        <v>3</v>
      </c>
      <c r="M60" s="60">
        <f t="shared" si="1"/>
        <v>41180</v>
      </c>
      <c r="N60" s="60">
        <f t="shared" si="2"/>
        <v>13501.570279045323</v>
      </c>
      <c r="O60" s="61">
        <f t="shared" si="3"/>
        <v>0.32786717530464604</v>
      </c>
      <c r="P60" s="60">
        <f>+MEDIAN(J60,H60,F60)</f>
        <v>45000</v>
      </c>
      <c r="Q60" s="60">
        <f>+_xlfn.CEILING.MATH(M60,50,FALSE)</f>
        <v>41200</v>
      </c>
      <c r="R60" s="204">
        <v>1</v>
      </c>
      <c r="S60" s="60">
        <f t="shared" si="4"/>
        <v>41200</v>
      </c>
    </row>
    <row r="61" spans="1:19" ht="81" customHeight="1">
      <c r="A61">
        <v>40</v>
      </c>
      <c r="B61" s="177" t="s">
        <v>267</v>
      </c>
      <c r="C61" s="177" t="s">
        <v>268</v>
      </c>
      <c r="F61" s="42">
        <f>39000*1.19</f>
        <v>46410</v>
      </c>
      <c r="G61" s="43" t="s">
        <v>264</v>
      </c>
      <c r="H61" s="42">
        <f>24000*1.19</f>
        <v>28560</v>
      </c>
      <c r="I61" s="43" t="s">
        <v>265</v>
      </c>
      <c r="J61" s="42">
        <v>24000</v>
      </c>
      <c r="K61" s="43" t="s">
        <v>266</v>
      </c>
      <c r="L61" s="59">
        <f t="shared" si="0"/>
        <v>3</v>
      </c>
      <c r="M61" s="60">
        <f t="shared" si="1"/>
        <v>32990</v>
      </c>
      <c r="N61" s="60">
        <f t="shared" si="2"/>
        <v>11843.59320476687</v>
      </c>
      <c r="O61" s="61">
        <f t="shared" si="3"/>
        <v>0.35900555334243317</v>
      </c>
      <c r="P61" s="60">
        <f>+MEDIAN(J61,H61,F61)</f>
        <v>28560</v>
      </c>
      <c r="Q61" s="60">
        <f>+_xlfn.CEILING.MATH(M61,50,FALSE)</f>
        <v>33000</v>
      </c>
      <c r="R61" s="204">
        <v>1</v>
      </c>
      <c r="S61" s="60">
        <f t="shared" si="4"/>
        <v>33000</v>
      </c>
    </row>
    <row r="62" spans="1:19" ht="81" customHeight="1">
      <c r="A62" s="255">
        <v>41</v>
      </c>
      <c r="B62" s="177" t="s">
        <v>269</v>
      </c>
      <c r="C62" s="177" t="s">
        <v>270</v>
      </c>
      <c r="D62" s="255"/>
      <c r="E62" s="255"/>
      <c r="F62" s="256">
        <v>79900</v>
      </c>
      <c r="G62" s="257" t="s">
        <v>187</v>
      </c>
      <c r="H62" s="256">
        <v>99900</v>
      </c>
      <c r="I62" s="257" t="s">
        <v>189</v>
      </c>
      <c r="J62" s="256">
        <v>99600</v>
      </c>
      <c r="K62" s="257" t="s">
        <v>195</v>
      </c>
      <c r="L62" s="258">
        <f t="shared" si="0"/>
        <v>3</v>
      </c>
      <c r="M62" s="259">
        <f t="shared" si="1"/>
        <v>93133.333333333328</v>
      </c>
      <c r="N62" s="259">
        <f t="shared" si="2"/>
        <v>11461.384442262346</v>
      </c>
      <c r="O62" s="260">
        <f t="shared" si="3"/>
        <v>0.12306425671720486</v>
      </c>
      <c r="P62" s="259">
        <f>+MEDIAN(J62,H62,F62)</f>
        <v>99600</v>
      </c>
      <c r="Q62" s="259">
        <f>+_xlfn.CEILING.MATH(M62,50,FALSE)</f>
        <v>93150</v>
      </c>
      <c r="R62" s="261">
        <v>1</v>
      </c>
      <c r="S62" s="60">
        <f t="shared" si="4"/>
        <v>93150</v>
      </c>
    </row>
    <row r="63" spans="1:19" ht="81" customHeight="1">
      <c r="A63" s="255">
        <v>42</v>
      </c>
      <c r="B63" s="177" t="s">
        <v>271</v>
      </c>
      <c r="C63" s="177" t="s">
        <v>272</v>
      </c>
      <c r="D63" s="255"/>
      <c r="E63" s="255"/>
      <c r="F63" s="256">
        <v>13025</v>
      </c>
      <c r="G63" s="257" t="s">
        <v>168</v>
      </c>
      <c r="H63" s="256">
        <v>14400</v>
      </c>
      <c r="I63" s="257" t="s">
        <v>167</v>
      </c>
      <c r="J63" s="256">
        <v>14500</v>
      </c>
      <c r="K63" s="257" t="s">
        <v>259</v>
      </c>
      <c r="L63" s="258">
        <f t="shared" si="0"/>
        <v>3</v>
      </c>
      <c r="M63" s="259">
        <f t="shared" si="1"/>
        <v>13975</v>
      </c>
      <c r="N63" s="259">
        <f t="shared" si="2"/>
        <v>824.24207609172686</v>
      </c>
      <c r="O63" s="260">
        <f t="shared" si="3"/>
        <v>5.8979754997619094E-2</v>
      </c>
      <c r="P63" s="259">
        <f>+MEDIAN(J63,H63,F63)</f>
        <v>14400</v>
      </c>
      <c r="Q63" s="259">
        <f>+_xlfn.CEILING.MATH(M63,50,FALSE)</f>
        <v>14000</v>
      </c>
      <c r="R63" s="261">
        <v>1</v>
      </c>
      <c r="S63" s="60">
        <f t="shared" si="4"/>
        <v>14000</v>
      </c>
    </row>
    <row r="64" spans="1:19" ht="81" customHeight="1">
      <c r="A64" s="255">
        <v>43</v>
      </c>
      <c r="B64" s="177" t="s">
        <v>273</v>
      </c>
      <c r="C64" s="177" t="s">
        <v>274</v>
      </c>
      <c r="D64" s="255"/>
      <c r="E64" s="255"/>
      <c r="F64" s="256">
        <v>125000</v>
      </c>
      <c r="G64" s="257" t="s">
        <v>252</v>
      </c>
      <c r="H64" s="256">
        <v>101000</v>
      </c>
      <c r="I64" s="257" t="s">
        <v>253</v>
      </c>
      <c r="J64" s="256">
        <v>119000</v>
      </c>
      <c r="K64" s="257" t="s">
        <v>275</v>
      </c>
      <c r="L64" s="258">
        <f t="shared" si="0"/>
        <v>3</v>
      </c>
      <c r="M64" s="259">
        <f t="shared" si="1"/>
        <v>115000</v>
      </c>
      <c r="N64" s="259">
        <f t="shared" si="2"/>
        <v>12489.995996796797</v>
      </c>
      <c r="O64" s="260">
        <f t="shared" si="3"/>
        <v>0.10860866084171128</v>
      </c>
      <c r="P64" s="259">
        <f>+MEDIAN(J64,H64,F64)</f>
        <v>119000</v>
      </c>
      <c r="Q64" s="259">
        <f>+_xlfn.CEILING.MATH(M64,50,FALSE)</f>
        <v>115000</v>
      </c>
      <c r="R64" s="261">
        <v>1</v>
      </c>
      <c r="S64" s="60">
        <f t="shared" si="4"/>
        <v>115000</v>
      </c>
    </row>
    <row r="65" spans="1:19" ht="81" customHeight="1">
      <c r="A65" s="255">
        <v>44</v>
      </c>
      <c r="B65" s="177" t="s">
        <v>276</v>
      </c>
      <c r="C65" s="177" t="s">
        <v>277</v>
      </c>
      <c r="D65" s="255"/>
      <c r="E65" s="255"/>
      <c r="F65" s="256">
        <v>450000</v>
      </c>
      <c r="G65" s="257" t="s">
        <v>278</v>
      </c>
      <c r="H65" s="256">
        <v>450000</v>
      </c>
      <c r="I65" s="257" t="s">
        <v>279</v>
      </c>
      <c r="J65" s="256">
        <v>457845</v>
      </c>
      <c r="K65" s="257" t="s">
        <v>280</v>
      </c>
      <c r="L65" s="258">
        <f t="shared" si="0"/>
        <v>3</v>
      </c>
      <c r="M65" s="259">
        <f t="shared" si="1"/>
        <v>452615</v>
      </c>
      <c r="N65" s="259">
        <f t="shared" si="2"/>
        <v>4529.3128617926141</v>
      </c>
      <c r="O65" s="260">
        <f t="shared" si="3"/>
        <v>1.0006987973868772E-2</v>
      </c>
      <c r="P65" s="259">
        <f>+MEDIAN(J65,H65,F65)</f>
        <v>450000</v>
      </c>
      <c r="Q65" s="259">
        <f>+_xlfn.CEILING.MATH(M65,50,FALSE)</f>
        <v>452650</v>
      </c>
      <c r="R65" s="261">
        <v>1</v>
      </c>
      <c r="S65" s="60">
        <f t="shared" si="4"/>
        <v>452650</v>
      </c>
    </row>
    <row r="66" spans="1:19" ht="81" customHeight="1">
      <c r="A66" s="255">
        <v>45</v>
      </c>
      <c r="B66" s="177" t="s">
        <v>281</v>
      </c>
      <c r="C66" s="177" t="s">
        <v>282</v>
      </c>
      <c r="D66" s="255"/>
      <c r="E66" s="255"/>
      <c r="F66" s="262">
        <v>36890</v>
      </c>
      <c r="G66" s="257" t="s">
        <v>37</v>
      </c>
      <c r="H66" s="256">
        <v>38080</v>
      </c>
      <c r="I66" s="257" t="s">
        <v>31</v>
      </c>
      <c r="J66" s="256">
        <f>30000*1.19</f>
        <v>35700</v>
      </c>
      <c r="K66" s="257" t="s">
        <v>124</v>
      </c>
      <c r="L66" s="258">
        <f t="shared" si="0"/>
        <v>3</v>
      </c>
      <c r="M66" s="259">
        <f t="shared" si="1"/>
        <v>36890</v>
      </c>
      <c r="N66" s="259">
        <f t="shared" si="2"/>
        <v>1190</v>
      </c>
      <c r="O66" s="260">
        <f t="shared" si="3"/>
        <v>3.2258064516129031E-2</v>
      </c>
      <c r="P66" s="259">
        <f>+MEDIAN(J66,H66,F66)</f>
        <v>36890</v>
      </c>
      <c r="Q66" s="259">
        <f>+_xlfn.CEILING.MATH(M66,50,FALSE)</f>
        <v>36900</v>
      </c>
      <c r="R66" s="261">
        <v>1</v>
      </c>
      <c r="S66" s="60">
        <f t="shared" si="4"/>
        <v>36900</v>
      </c>
    </row>
    <row r="67" spans="1:19" ht="81" customHeight="1">
      <c r="A67" s="255">
        <v>46</v>
      </c>
      <c r="B67" s="177" t="s">
        <v>283</v>
      </c>
      <c r="C67" s="177" t="s">
        <v>284</v>
      </c>
      <c r="D67" s="255"/>
      <c r="E67" s="255"/>
      <c r="F67" s="256">
        <v>69000</v>
      </c>
      <c r="G67" s="257" t="s">
        <v>189</v>
      </c>
      <c r="H67" s="256">
        <v>65900</v>
      </c>
      <c r="I67" s="257" t="s">
        <v>195</v>
      </c>
      <c r="J67" s="256">
        <v>69900</v>
      </c>
      <c r="K67" s="257" t="s">
        <v>187</v>
      </c>
      <c r="L67" s="258">
        <f t="shared" si="0"/>
        <v>3</v>
      </c>
      <c r="M67" s="259">
        <f t="shared" si="1"/>
        <v>68266.666666666672</v>
      </c>
      <c r="N67" s="259">
        <f t="shared" si="2"/>
        <v>2098.4120980716189</v>
      </c>
      <c r="O67" s="260">
        <f t="shared" si="3"/>
        <v>3.0738458467845977E-2</v>
      </c>
      <c r="P67" s="259">
        <f>+MEDIAN(J67,H67,F67)</f>
        <v>69000</v>
      </c>
      <c r="Q67" s="259">
        <f>+_xlfn.CEILING.MATH(M67,50,FALSE)</f>
        <v>68300</v>
      </c>
      <c r="R67" s="261">
        <v>1</v>
      </c>
      <c r="S67" s="60">
        <f t="shared" si="4"/>
        <v>68300</v>
      </c>
    </row>
    <row r="68" spans="1:19" ht="81" customHeight="1">
      <c r="A68" s="255">
        <v>47</v>
      </c>
      <c r="B68" s="177" t="s">
        <v>285</v>
      </c>
      <c r="C68" s="177" t="s">
        <v>286</v>
      </c>
      <c r="D68" s="255"/>
      <c r="E68" s="255"/>
      <c r="F68" s="256">
        <v>340600</v>
      </c>
      <c r="G68" s="257" t="s">
        <v>195</v>
      </c>
      <c r="H68" s="256">
        <v>355500</v>
      </c>
      <c r="I68" s="257" t="s">
        <v>287</v>
      </c>
      <c r="J68" s="256">
        <v>329900</v>
      </c>
      <c r="K68" s="257" t="s">
        <v>221</v>
      </c>
      <c r="L68" s="258">
        <f t="shared" si="0"/>
        <v>3</v>
      </c>
      <c r="M68" s="259">
        <f t="shared" si="1"/>
        <v>342000</v>
      </c>
      <c r="N68" s="259">
        <f t="shared" si="2"/>
        <v>12857.293649909378</v>
      </c>
      <c r="O68" s="260">
        <f t="shared" si="3"/>
        <v>3.7594425876928003E-2</v>
      </c>
      <c r="P68" s="259">
        <f>+MEDIAN(J68,H68,F68)</f>
        <v>340600</v>
      </c>
      <c r="Q68" s="259">
        <f>+_xlfn.CEILING.MATH(M68,50,FALSE)</f>
        <v>342000</v>
      </c>
      <c r="R68" s="261">
        <v>1</v>
      </c>
      <c r="S68" s="60">
        <f t="shared" si="4"/>
        <v>342000</v>
      </c>
    </row>
    <row r="69" spans="1:19" ht="81" customHeight="1">
      <c r="A69" s="255">
        <v>48</v>
      </c>
      <c r="B69" s="177" t="s">
        <v>288</v>
      </c>
      <c r="C69" s="177" t="s">
        <v>289</v>
      </c>
      <c r="D69" s="255"/>
      <c r="E69" s="255"/>
      <c r="F69" s="262">
        <v>119900</v>
      </c>
      <c r="G69" s="257" t="s">
        <v>187</v>
      </c>
      <c r="H69" s="256">
        <v>119900</v>
      </c>
      <c r="I69" s="257" t="s">
        <v>189</v>
      </c>
      <c r="J69" s="262">
        <v>100000</v>
      </c>
      <c r="K69" s="257" t="s">
        <v>290</v>
      </c>
      <c r="L69" s="258">
        <f t="shared" si="0"/>
        <v>3</v>
      </c>
      <c r="M69" s="259">
        <f t="shared" si="1"/>
        <v>113266.66666666667</v>
      </c>
      <c r="N69" s="259">
        <f t="shared" si="2"/>
        <v>11489.270356873552</v>
      </c>
      <c r="O69" s="260">
        <f t="shared" si="3"/>
        <v>0.10143558290353342</v>
      </c>
      <c r="P69" s="259">
        <f>+MEDIAN(J69,H69,F69)</f>
        <v>119900</v>
      </c>
      <c r="Q69" s="259">
        <f>+_xlfn.CEILING.MATH(M69,50,FALSE)</f>
        <v>113300</v>
      </c>
      <c r="R69" s="261">
        <v>1</v>
      </c>
      <c r="S69" s="60">
        <f t="shared" si="4"/>
        <v>113300</v>
      </c>
    </row>
    <row r="70" spans="1:19" ht="81" customHeight="1">
      <c r="A70" s="263">
        <v>49</v>
      </c>
      <c r="B70" s="177" t="s">
        <v>291</v>
      </c>
      <c r="C70" s="177" t="s">
        <v>292</v>
      </c>
      <c r="D70" s="255"/>
      <c r="E70" s="255"/>
      <c r="F70" s="256">
        <v>681000</v>
      </c>
      <c r="G70" s="257" t="s">
        <v>293</v>
      </c>
      <c r="H70" s="256">
        <v>797000</v>
      </c>
      <c r="I70" s="257" t="s">
        <v>294</v>
      </c>
      <c r="J70" s="256">
        <v>759050</v>
      </c>
      <c r="K70" s="257" t="s">
        <v>295</v>
      </c>
      <c r="L70" s="257">
        <f t="shared" si="0"/>
        <v>3</v>
      </c>
      <c r="M70" s="264">
        <f t="shared" si="1"/>
        <v>745683.33333333337</v>
      </c>
      <c r="N70" s="264">
        <f t="shared" si="2"/>
        <v>59143.899375449815</v>
      </c>
      <c r="O70" s="260">
        <f t="shared" si="3"/>
        <v>7.931503458856505E-2</v>
      </c>
      <c r="P70" s="264">
        <f>+MEDIAN(J70,H70,F70)</f>
        <v>759050</v>
      </c>
      <c r="Q70" s="264">
        <f>+_xlfn.CEILING.MATH(M70,50,FALSE)</f>
        <v>745700</v>
      </c>
      <c r="R70" s="265">
        <v>1</v>
      </c>
      <c r="S70" s="62">
        <f t="shared" si="4"/>
        <v>745700</v>
      </c>
    </row>
    <row r="71" spans="1:19" ht="81" customHeight="1">
      <c r="A71" s="255">
        <v>50</v>
      </c>
      <c r="B71" s="181" t="s">
        <v>296</v>
      </c>
      <c r="C71" s="181" t="s">
        <v>297</v>
      </c>
      <c r="D71" s="255"/>
      <c r="E71" s="255"/>
      <c r="F71" s="266">
        <f>160000*1.19</f>
        <v>190400</v>
      </c>
      <c r="G71" s="267" t="s">
        <v>31</v>
      </c>
      <c r="H71" s="266">
        <v>170000</v>
      </c>
      <c r="I71" s="267" t="s">
        <v>124</v>
      </c>
      <c r="J71" s="266">
        <v>155295</v>
      </c>
      <c r="K71" s="267" t="s">
        <v>37</v>
      </c>
      <c r="L71" s="268">
        <f t="shared" si="0"/>
        <v>3</v>
      </c>
      <c r="M71" s="269">
        <f t="shared" si="1"/>
        <v>171898.33333333334</v>
      </c>
      <c r="N71" s="269">
        <f t="shared" si="2"/>
        <v>17629.322401423524</v>
      </c>
      <c r="O71" s="270">
        <f t="shared" si="3"/>
        <v>0.10255668021654382</v>
      </c>
      <c r="P71" s="271">
        <f>+MEDIAN(J71,H71,F71)</f>
        <v>170000</v>
      </c>
      <c r="Q71" s="269">
        <f>+_xlfn.CEILING.MATH(M71,50,FALSE)</f>
        <v>171900</v>
      </c>
      <c r="R71" s="272">
        <v>1</v>
      </c>
      <c r="S71" s="72">
        <f t="shared" si="4"/>
        <v>171900</v>
      </c>
    </row>
    <row r="72" spans="1:19" ht="14.45" customHeight="1">
      <c r="A72" s="242" t="s">
        <v>151</v>
      </c>
      <c r="B72" s="242"/>
      <c r="C72" s="242"/>
      <c r="D72" s="242"/>
      <c r="E72" s="242"/>
      <c r="F72" s="242"/>
      <c r="G72" s="242"/>
      <c r="H72" s="242"/>
      <c r="I72" s="242"/>
      <c r="J72" s="242"/>
      <c r="K72" s="242"/>
      <c r="L72" s="242"/>
      <c r="M72" s="242"/>
      <c r="N72" s="242"/>
      <c r="O72" s="242"/>
      <c r="P72" s="242"/>
      <c r="Q72" s="242"/>
      <c r="R72" s="242"/>
      <c r="S72" s="68">
        <f>+SUM(S22:S71)</f>
        <v>29527700</v>
      </c>
    </row>
    <row r="73" spans="1:19">
      <c r="A73" s="243" t="s">
        <v>298</v>
      </c>
      <c r="B73" s="243"/>
      <c r="C73" s="243"/>
      <c r="D73" s="243"/>
      <c r="E73" s="243"/>
      <c r="F73" s="243"/>
      <c r="G73" s="243"/>
      <c r="H73" s="243"/>
      <c r="I73" s="243"/>
      <c r="J73" s="243"/>
      <c r="K73" s="243"/>
      <c r="L73" s="243"/>
      <c r="M73" s="243"/>
      <c r="N73" s="243"/>
      <c r="O73" s="243"/>
      <c r="P73" s="243"/>
      <c r="Q73" s="243"/>
      <c r="R73" s="243"/>
      <c r="S73" s="69">
        <f>+S72+S20</f>
        <v>51575050</v>
      </c>
    </row>
    <row r="74" spans="1:19"/>
  </sheetData>
  <autoFilter ref="L3:S71" xr:uid="{00000000-0001-0000-0000-000000000000}"/>
  <mergeCells count="23">
    <mergeCell ref="A72:R72"/>
    <mergeCell ref="A73:R73"/>
    <mergeCell ref="A1:S1"/>
    <mergeCell ref="A2:S2"/>
    <mergeCell ref="L3:L4"/>
    <mergeCell ref="M3:M4"/>
    <mergeCell ref="N3:N4"/>
    <mergeCell ref="P3:P4"/>
    <mergeCell ref="Q3:Q4"/>
    <mergeCell ref="R3:R4"/>
    <mergeCell ref="F3:G3"/>
    <mergeCell ref="H3:I3"/>
    <mergeCell ref="J3:K3"/>
    <mergeCell ref="A3:A4"/>
    <mergeCell ref="B3:B4"/>
    <mergeCell ref="C3:C4"/>
    <mergeCell ref="D3:D4"/>
    <mergeCell ref="E3:E4"/>
    <mergeCell ref="A21:S21"/>
    <mergeCell ref="A5:S5"/>
    <mergeCell ref="S3:S4"/>
    <mergeCell ref="O3:O4"/>
    <mergeCell ref="A20:R20"/>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9" ma:contentTypeDescription="Crear nuevo documento." ma:contentTypeScope="" ma:versionID="b5cb03095ff1e76190c12db9e86d8536">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3306e41b5e120791f986c9654d86e2f0"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9BE0CB0B-4F75-49E2-AF25-1FBDCE41C95D}"/>
</file>

<file path=customXml/itemProps2.xml><?xml version="1.0" encoding="utf-8"?>
<ds:datastoreItem xmlns:ds="http://schemas.openxmlformats.org/officeDocument/2006/customXml" ds:itemID="{7F93D654-C2B8-4317-BE86-4550B51255C1}"/>
</file>

<file path=customXml/itemProps3.xml><?xml version="1.0" encoding="utf-8"?>
<ds:datastoreItem xmlns:ds="http://schemas.openxmlformats.org/officeDocument/2006/customXml" ds:itemID="{4C88FF6F-8099-4AE0-8AE8-6F664D8FF3C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Alejo Nicolas Moreno Canon</dc:creator>
  <cp:keywords/>
  <dc:description/>
  <cp:lastModifiedBy>Sergio Steven Munoz Tobar</cp:lastModifiedBy>
  <cp:revision/>
  <dcterms:created xsi:type="dcterms:W3CDTF">2022-10-26T19:30:16Z</dcterms:created>
  <dcterms:modified xsi:type="dcterms:W3CDTF">2024-10-29T23:40:47Z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