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https://sdpgovco-my.sharepoint.com/personal/omontes_sdp_gov_co/Documents/Omar  Equipo Drive/Omar DGF/DF Indicadores Estudio X Sector/Indicadores 2024/Procesos Ctos/22 Ev Justicia Escolar PR 923_SDP-CM-005-2024/4 Trasl Evaluacion Subsane/"/>
    </mc:Choice>
  </mc:AlternateContent>
  <xr:revisionPtr revIDLastSave="337" documentId="11_441C42DB1B6259EAA62D3352D9A68606DA4D13D4" xr6:coauthVersionLast="47" xr6:coauthVersionMax="47" xr10:uidLastSave="{EC109487-CDEE-4006-83F2-53B8CF7A5A63}"/>
  <bookViews>
    <workbookView xWindow="-120" yWindow="-120" windowWidth="29040" windowHeight="15720" xr2:uid="{00000000-000D-0000-FFFF-FFFF00000000}"/>
  </bookViews>
  <sheets>
    <sheet name="INDICADORES" sheetId="1" r:id="rId1"/>
    <sheet name="Tener en cuenta" sheetId="8" state="hidden" r:id="rId2"/>
    <sheet name="SCE" sheetId="10" state="hidden" r:id="rId3"/>
    <sheet name="resumen" sheetId="9" state="hidden" r:id="rId4"/>
  </sheets>
  <definedNames>
    <definedName name="_xlnm._FilterDatabase" localSheetId="0" hidden="1">INDICADORES!$A$6:$AD$164</definedName>
    <definedName name="_xlnm._FilterDatabase" localSheetId="2" hidden="1">SCE!$A$2:$P$2</definedName>
    <definedName name="_xlnm._FilterDatabase" localSheetId="1" hidden="1">'Tener en cuenta'!$A$1:$AC$1</definedName>
    <definedName name="_xlnm.Print_Area" localSheetId="0">INDICADORES!$A$1:$AD$176</definedName>
    <definedName name="_xlnm.Print_Titles" localSheetId="0">INDICADORES!$1:$6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44" i="1" l="1"/>
  <c r="M144" i="1"/>
  <c r="K144" i="1"/>
  <c r="J144" i="1"/>
  <c r="M137" i="1"/>
  <c r="K137" i="1"/>
  <c r="I137" i="1"/>
  <c r="N130" i="1"/>
  <c r="M130" i="1"/>
  <c r="N123" i="1"/>
  <c r="K123" i="1"/>
  <c r="N116" i="1"/>
  <c r="M116" i="1"/>
  <c r="K116" i="1"/>
  <c r="M109" i="1"/>
  <c r="J109" i="1"/>
  <c r="I109" i="1"/>
  <c r="N102" i="1"/>
  <c r="M102" i="1"/>
  <c r="I102" i="1"/>
  <c r="N95" i="1"/>
  <c r="K95" i="1"/>
  <c r="J95" i="1"/>
  <c r="M4" i="9"/>
  <c r="M3" i="9"/>
  <c r="N21" i="1"/>
  <c r="M21" i="1"/>
  <c r="J21" i="1"/>
  <c r="M5" i="9" l="1"/>
  <c r="M7" i="1"/>
  <c r="V3" i="8" s="1"/>
  <c r="B151" i="1" l="1"/>
  <c r="B144" i="1"/>
  <c r="N109" i="1" l="1"/>
  <c r="H25" i="10" l="1"/>
  <c r="N25" i="10"/>
  <c r="O25" i="10" s="1"/>
  <c r="N24" i="10"/>
  <c r="O24" i="10" s="1"/>
  <c r="H24" i="10"/>
  <c r="N23" i="10"/>
  <c r="O23" i="10" s="1"/>
  <c r="H23" i="10"/>
  <c r="G25" i="10" l="1"/>
  <c r="G23" i="10"/>
  <c r="G24" i="10"/>
  <c r="N18" i="10"/>
  <c r="O18" i="10" s="1"/>
  <c r="H18" i="10"/>
  <c r="N17" i="10"/>
  <c r="O17" i="10" s="1"/>
  <c r="H17" i="10"/>
  <c r="H28" i="10"/>
  <c r="H27" i="10"/>
  <c r="H26" i="10"/>
  <c r="H22" i="10"/>
  <c r="H21" i="10"/>
  <c r="H20" i="10"/>
  <c r="H19" i="10"/>
  <c r="H16" i="10"/>
  <c r="H3" i="10"/>
  <c r="H4" i="10"/>
  <c r="H5" i="10"/>
  <c r="H6" i="10"/>
  <c r="H7" i="10"/>
  <c r="H8" i="10"/>
  <c r="H9" i="10"/>
  <c r="H10" i="10"/>
  <c r="H11" i="10"/>
  <c r="H12" i="10"/>
  <c r="H13" i="10"/>
  <c r="H14" i="10"/>
  <c r="H15" i="10"/>
  <c r="G17" i="10" l="1"/>
  <c r="N28" i="10"/>
  <c r="O28" i="10" s="1"/>
  <c r="G28" i="10" s="1"/>
  <c r="F28" i="10" s="1"/>
  <c r="P24" i="8" s="1"/>
  <c r="N27" i="10"/>
  <c r="O27" i="10" s="1"/>
  <c r="G27" i="10" s="1"/>
  <c r="F27" i="10" s="1"/>
  <c r="P23" i="8" s="1"/>
  <c r="P155" i="1" s="1"/>
  <c r="N26" i="10"/>
  <c r="O26" i="10" s="1"/>
  <c r="G26" i="10" s="1"/>
  <c r="F26" i="10" s="1"/>
  <c r="P22" i="8" s="1"/>
  <c r="N14" i="10"/>
  <c r="O14" i="10" s="1"/>
  <c r="G14" i="10" s="1"/>
  <c r="F14" i="10" s="1"/>
  <c r="P14" i="8" s="1"/>
  <c r="P92" i="1" s="1"/>
  <c r="N13" i="10"/>
  <c r="O13" i="10" s="1"/>
  <c r="G13" i="10" s="1"/>
  <c r="F13" i="10" s="1"/>
  <c r="P13" i="8" s="1"/>
  <c r="P85" i="1" s="1"/>
  <c r="N12" i="10"/>
  <c r="O12" i="10" s="1"/>
  <c r="G12" i="10" s="1"/>
  <c r="F12" i="10" s="1"/>
  <c r="P12" i="8" s="1"/>
  <c r="P77" i="1" s="1"/>
  <c r="N11" i="10"/>
  <c r="O11" i="10" s="1"/>
  <c r="G11" i="10" s="1"/>
  <c r="F11" i="10" s="1"/>
  <c r="P11" i="8" s="1"/>
  <c r="P70" i="1" s="1"/>
  <c r="N10" i="10"/>
  <c r="O10" i="10" s="1"/>
  <c r="G10" i="10" s="1"/>
  <c r="F10" i="10" s="1"/>
  <c r="P10" i="8" s="1"/>
  <c r="P62" i="1" s="1"/>
  <c r="N9" i="10"/>
  <c r="O9" i="10" s="1"/>
  <c r="G9" i="10" s="1"/>
  <c r="F9" i="10" s="1"/>
  <c r="P9" i="8" s="1"/>
  <c r="P55" i="1" s="1"/>
  <c r="N8" i="10"/>
  <c r="O8" i="10" s="1"/>
  <c r="G8" i="10" s="1"/>
  <c r="F8" i="10" s="1"/>
  <c r="P8" i="8" s="1"/>
  <c r="P47" i="1" s="1"/>
  <c r="N7" i="10"/>
  <c r="O7" i="10" s="1"/>
  <c r="G7" i="10" s="1"/>
  <c r="F7" i="10" s="1"/>
  <c r="P7" i="8" s="1"/>
  <c r="P40" i="1" s="1"/>
  <c r="N6" i="10"/>
  <c r="O6" i="10" s="1"/>
  <c r="G6" i="10" s="1"/>
  <c r="F6" i="10" s="1"/>
  <c r="P6" i="8" s="1"/>
  <c r="P33" i="1"/>
  <c r="N5" i="10"/>
  <c r="O5" i="10" s="1"/>
  <c r="G5" i="10" s="1"/>
  <c r="F5" i="10" s="1"/>
  <c r="P5" i="8" s="1"/>
  <c r="P25" i="1" s="1"/>
  <c r="N4" i="10"/>
  <c r="O4" i="10" s="1"/>
  <c r="G4" i="10" s="1"/>
  <c r="F4" i="10" s="1"/>
  <c r="P4" i="8" s="1"/>
  <c r="P18" i="1" s="1"/>
  <c r="N3" i="10"/>
  <c r="O3" i="10" s="1"/>
  <c r="G3" i="10" s="1"/>
  <c r="F3" i="10" s="1"/>
  <c r="P3" i="8" s="1"/>
  <c r="P11" i="1" s="1"/>
  <c r="B80" i="1"/>
  <c r="B65" i="1"/>
  <c r="B50" i="1"/>
  <c r="B28" i="1"/>
  <c r="P161" i="1"/>
  <c r="P154" i="1"/>
  <c r="P147" i="1"/>
  <c r="P158" i="1"/>
  <c r="P151" i="1"/>
  <c r="P144" i="1"/>
  <c r="P7" i="1"/>
  <c r="P14" i="1"/>
  <c r="P21" i="1"/>
  <c r="P29" i="1"/>
  <c r="P36" i="1"/>
  <c r="P43" i="1"/>
  <c r="P51" i="1"/>
  <c r="P58" i="1"/>
  <c r="P66" i="1"/>
  <c r="P73" i="1"/>
  <c r="P81" i="1"/>
  <c r="P88" i="1"/>
  <c r="P137" i="1"/>
  <c r="P130" i="1"/>
  <c r="P123" i="1"/>
  <c r="P116" i="1"/>
  <c r="P109" i="1"/>
  <c r="P102" i="1"/>
  <c r="P95" i="1"/>
  <c r="P148" i="1" l="1"/>
  <c r="N22" i="10" l="1"/>
  <c r="O22" i="10" s="1"/>
  <c r="G22" i="10" s="1"/>
  <c r="F22" i="10" s="1"/>
  <c r="N21" i="10"/>
  <c r="O21" i="10" s="1"/>
  <c r="G21" i="10" s="1"/>
  <c r="F21" i="10" s="1"/>
  <c r="P20" i="8" s="1"/>
  <c r="N20" i="10"/>
  <c r="O20" i="10" s="1"/>
  <c r="G20" i="10" s="1"/>
  <c r="F20" i="10" s="1"/>
  <c r="P19" i="8" s="1"/>
  <c r="N19" i="10"/>
  <c r="O19" i="10" s="1"/>
  <c r="G19" i="10" s="1"/>
  <c r="F19" i="10" s="1"/>
  <c r="P18" i="8" s="1"/>
  <c r="G18" i="10"/>
  <c r="F18" i="10" s="1"/>
  <c r="P17" i="8" s="1"/>
  <c r="N16" i="10"/>
  <c r="O16" i="10" s="1"/>
  <c r="G16" i="10" s="1"/>
  <c r="F16" i="10" s="1"/>
  <c r="P16" i="8" s="1"/>
  <c r="P106" i="1" s="1"/>
  <c r="N31" i="10"/>
  <c r="O31" i="10" s="1"/>
  <c r="H31" i="10"/>
  <c r="G31" i="10" s="1"/>
  <c r="P162" i="1" s="1"/>
  <c r="N15" i="10"/>
  <c r="O15" i="10" s="1"/>
  <c r="G15" i="10" s="1"/>
  <c r="F15" i="10" s="1"/>
  <c r="P15" i="8" s="1"/>
  <c r="P99" i="1" s="1"/>
  <c r="P141" i="1" l="1"/>
  <c r="P134" i="1"/>
  <c r="P127" i="1"/>
  <c r="P120" i="1"/>
  <c r="P113" i="1"/>
  <c r="P140" i="1" l="1"/>
  <c r="P10" i="1"/>
  <c r="P17" i="1"/>
  <c r="P24" i="1"/>
  <c r="P32" i="1"/>
  <c r="P39" i="1"/>
  <c r="P46" i="1"/>
  <c r="P54" i="1"/>
  <c r="P61" i="1"/>
  <c r="P69" i="1"/>
  <c r="P76" i="1"/>
  <c r="P84" i="1"/>
  <c r="P91" i="1"/>
  <c r="P133" i="1"/>
  <c r="P126" i="1"/>
  <c r="P119" i="1"/>
  <c r="P112" i="1"/>
  <c r="P105" i="1"/>
  <c r="P98" i="1"/>
  <c r="B137" i="1"/>
  <c r="B130" i="1"/>
  <c r="B123" i="1"/>
  <c r="B116" i="1"/>
  <c r="B109" i="1"/>
  <c r="B102" i="1"/>
  <c r="B95" i="1"/>
  <c r="M81" i="1"/>
  <c r="J14" i="1"/>
  <c r="AH26" i="8"/>
  <c r="N7" i="1" l="1"/>
  <c r="N43" i="1"/>
  <c r="W8" i="8" s="1"/>
  <c r="M43" i="1"/>
  <c r="V8" i="8" s="1"/>
  <c r="L43" i="1"/>
  <c r="U8" i="8" s="1"/>
  <c r="K43" i="1"/>
  <c r="T8" i="8" s="1"/>
  <c r="J43" i="1"/>
  <c r="S8" i="8" s="1"/>
  <c r="I43" i="1"/>
  <c r="J8" i="8"/>
  <c r="B48" i="1"/>
  <c r="B47" i="1"/>
  <c r="B43" i="1"/>
  <c r="B92" i="1"/>
  <c r="B85" i="1"/>
  <c r="B77" i="1"/>
  <c r="B70" i="1"/>
  <c r="B62" i="1"/>
  <c r="B55" i="1"/>
  <c r="B40" i="1"/>
  <c r="B33" i="1"/>
  <c r="B88" i="1"/>
  <c r="B81" i="1"/>
  <c r="B73" i="1"/>
  <c r="B66" i="1"/>
  <c r="B58" i="1"/>
  <c r="B51" i="1"/>
  <c r="B36" i="1"/>
  <c r="B29" i="1"/>
  <c r="B63" i="1"/>
  <c r="B56" i="1"/>
  <c r="B41" i="1"/>
  <c r="N36" i="1"/>
  <c r="W7" i="8" s="1"/>
  <c r="M36" i="1"/>
  <c r="V7" i="8" s="1"/>
  <c r="L36" i="1"/>
  <c r="U7" i="8" s="1"/>
  <c r="K36" i="1"/>
  <c r="T7" i="8" s="1"/>
  <c r="J36" i="1"/>
  <c r="I36" i="1"/>
  <c r="J7" i="8"/>
  <c r="C168" i="1"/>
  <c r="N24" i="8" l="1"/>
  <c r="P159" i="1" s="1"/>
  <c r="N9" i="8"/>
  <c r="P52" i="1" s="1"/>
  <c r="N13" i="8"/>
  <c r="P82" i="1" s="1"/>
  <c r="N4" i="8"/>
  <c r="P15" i="1" s="1"/>
  <c r="N3" i="8"/>
  <c r="P8" i="1" s="1"/>
  <c r="N23" i="8"/>
  <c r="P152" i="1" s="1"/>
  <c r="N8" i="8"/>
  <c r="P44" i="1" s="1"/>
  <c r="N7" i="8"/>
  <c r="P37" i="1" s="1"/>
  <c r="N6" i="8"/>
  <c r="P30" i="1" s="1"/>
  <c r="N5" i="8"/>
  <c r="P22" i="1" s="1"/>
  <c r="N12" i="8"/>
  <c r="P74" i="1" s="1"/>
  <c r="N11" i="8"/>
  <c r="P67" i="1" s="1"/>
  <c r="N10" i="8"/>
  <c r="P59" i="1" s="1"/>
  <c r="N22" i="8"/>
  <c r="P145" i="1" s="1"/>
  <c r="N14" i="8"/>
  <c r="P89" i="1" s="1"/>
  <c r="N16" i="8"/>
  <c r="P103" i="1" s="1"/>
  <c r="N15" i="8"/>
  <c r="P96" i="1" s="1"/>
  <c r="Q5" i="1"/>
  <c r="K1" i="8" s="1"/>
  <c r="N18" i="8"/>
  <c r="P117" i="1" s="1"/>
  <c r="N17" i="8"/>
  <c r="P110" i="1" s="1"/>
  <c r="N20" i="8"/>
  <c r="P131" i="1" s="1"/>
  <c r="N19" i="8"/>
  <c r="P124" i="1" s="1"/>
  <c r="N21" i="8"/>
  <c r="P138" i="1" s="1"/>
  <c r="R8" i="8"/>
  <c r="P45" i="1"/>
  <c r="R7" i="8"/>
  <c r="P38" i="1"/>
  <c r="S7" i="8"/>
  <c r="N29" i="1"/>
  <c r="Q36" i="1" l="1"/>
  <c r="O41" i="1" s="1"/>
  <c r="Q43" i="1"/>
  <c r="O48" i="1" s="1"/>
  <c r="N28" i="1"/>
  <c r="W27" i="8" s="1"/>
  <c r="I29" i="1"/>
  <c r="J29" i="1"/>
  <c r="L29" i="1"/>
  <c r="M29" i="1"/>
  <c r="K29" i="1"/>
  <c r="K7" i="8" l="1"/>
  <c r="K8" i="8"/>
  <c r="J28" i="1"/>
  <c r="S27" i="8" s="1"/>
  <c r="P31" i="1"/>
  <c r="Q29" i="1" s="1"/>
  <c r="I28" i="1"/>
  <c r="R27" i="8" s="1"/>
  <c r="K28" i="1"/>
  <c r="T27" i="8" s="1"/>
  <c r="M28" i="1"/>
  <c r="V27" i="8" s="1"/>
  <c r="L28" i="1"/>
  <c r="U27" i="8" s="1"/>
  <c r="J51" i="1"/>
  <c r="I51" i="1"/>
  <c r="B21" i="1"/>
  <c r="B14" i="1"/>
  <c r="B7" i="1"/>
  <c r="P53" i="1" l="1"/>
  <c r="Q51" i="1" s="1"/>
  <c r="O34" i="1"/>
  <c r="K6" i="8"/>
  <c r="L151" i="1"/>
  <c r="O56" i="1" l="1"/>
  <c r="K9" i="8"/>
  <c r="J5" i="1"/>
  <c r="B163" i="1" l="1"/>
  <c r="B156" i="1"/>
  <c r="B149" i="1"/>
  <c r="B142" i="1"/>
  <c r="B135" i="1"/>
  <c r="B128" i="1"/>
  <c r="B121" i="1"/>
  <c r="B114" i="1"/>
  <c r="B107" i="1"/>
  <c r="B100" i="1"/>
  <c r="B93" i="1"/>
  <c r="B86" i="1"/>
  <c r="B78" i="1"/>
  <c r="B71" i="1"/>
  <c r="B34" i="1"/>
  <c r="B26" i="1"/>
  <c r="B19" i="1"/>
  <c r="B12" i="1"/>
  <c r="J24" i="8"/>
  <c r="J23" i="8"/>
  <c r="J22" i="8"/>
  <c r="J21" i="8"/>
  <c r="J20" i="8"/>
  <c r="J19" i="8"/>
  <c r="J18" i="8"/>
  <c r="J17" i="8"/>
  <c r="J16" i="8"/>
  <c r="J15" i="8"/>
  <c r="J14" i="8"/>
  <c r="J13" i="8"/>
  <c r="J12" i="8"/>
  <c r="J11" i="8"/>
  <c r="J10" i="8"/>
  <c r="J9" i="8"/>
  <c r="J6" i="8"/>
  <c r="J5" i="8"/>
  <c r="J4" i="8"/>
  <c r="J3" i="8"/>
  <c r="N158" i="1"/>
  <c r="W24" i="8" s="1"/>
  <c r="N151" i="1"/>
  <c r="N137" i="1"/>
  <c r="N88" i="1"/>
  <c r="N81" i="1"/>
  <c r="N73" i="1"/>
  <c r="N66" i="1"/>
  <c r="N58" i="1"/>
  <c r="N51" i="1"/>
  <c r="N14" i="1"/>
  <c r="M158" i="1"/>
  <c r="M151" i="1"/>
  <c r="M123" i="1"/>
  <c r="M95" i="1"/>
  <c r="M88" i="1"/>
  <c r="M73" i="1"/>
  <c r="M66" i="1"/>
  <c r="M58" i="1"/>
  <c r="M51" i="1"/>
  <c r="M14" i="1"/>
  <c r="K158" i="1"/>
  <c r="K151" i="1"/>
  <c r="K130" i="1"/>
  <c r="K109" i="1"/>
  <c r="K102" i="1"/>
  <c r="K88" i="1"/>
  <c r="K81" i="1"/>
  <c r="K73" i="1"/>
  <c r="K66" i="1"/>
  <c r="K58" i="1"/>
  <c r="K51" i="1"/>
  <c r="K21" i="1"/>
  <c r="K14" i="1"/>
  <c r="K7" i="1"/>
  <c r="J158" i="1"/>
  <c r="J151" i="1"/>
  <c r="J137" i="1"/>
  <c r="J130" i="1"/>
  <c r="J123" i="1"/>
  <c r="J116" i="1"/>
  <c r="J102" i="1"/>
  <c r="J88" i="1"/>
  <c r="J81" i="1"/>
  <c r="J73" i="1"/>
  <c r="J66" i="1"/>
  <c r="J65" i="1" s="1"/>
  <c r="J58" i="1"/>
  <c r="J7" i="1"/>
  <c r="S3" i="8" s="1"/>
  <c r="I158" i="1"/>
  <c r="I151" i="1"/>
  <c r="I144" i="1"/>
  <c r="I130" i="1"/>
  <c r="I123" i="1"/>
  <c r="I116" i="1"/>
  <c r="I95" i="1"/>
  <c r="I88" i="1"/>
  <c r="I81" i="1"/>
  <c r="I73" i="1"/>
  <c r="I66" i="1"/>
  <c r="I58" i="1"/>
  <c r="I21" i="1"/>
  <c r="P23" i="1" s="1"/>
  <c r="Q21" i="1" s="1"/>
  <c r="I14" i="1"/>
  <c r="P16" i="1" s="1"/>
  <c r="Q14" i="1" s="1"/>
  <c r="I7" i="1"/>
  <c r="P9" i="1" l="1"/>
  <c r="Q7" i="1" s="1"/>
  <c r="R3" i="8"/>
  <c r="R19" i="8"/>
  <c r="P125" i="1"/>
  <c r="Q123" i="1" s="1"/>
  <c r="R20" i="8"/>
  <c r="P132" i="1"/>
  <c r="Q130" i="1" s="1"/>
  <c r="R16" i="8"/>
  <c r="P104" i="1"/>
  <c r="Q102" i="1" s="1"/>
  <c r="R17" i="8"/>
  <c r="P111" i="1"/>
  <c r="Q109" i="1" s="1"/>
  <c r="R18" i="8"/>
  <c r="P118" i="1"/>
  <c r="Q116" i="1" s="1"/>
  <c r="K65" i="1"/>
  <c r="T29" i="8" s="1"/>
  <c r="I65" i="1"/>
  <c r="R29" i="8" s="1"/>
  <c r="P68" i="1"/>
  <c r="Q66" i="1" s="1"/>
  <c r="J50" i="1"/>
  <c r="S28" i="8" s="1"/>
  <c r="N80" i="1"/>
  <c r="W30" i="8" s="1"/>
  <c r="P83" i="1"/>
  <c r="Q81" i="1" s="1"/>
  <c r="I80" i="1"/>
  <c r="R30" i="8" s="1"/>
  <c r="K50" i="1"/>
  <c r="T28" i="8" s="1"/>
  <c r="M80" i="1"/>
  <c r="V30" i="8" s="1"/>
  <c r="R14" i="8"/>
  <c r="P90" i="1"/>
  <c r="Q88" i="1" s="1"/>
  <c r="J80" i="1"/>
  <c r="S30" i="8" s="1"/>
  <c r="O12" i="1"/>
  <c r="K3" i="8"/>
  <c r="O19" i="1"/>
  <c r="K4" i="8"/>
  <c r="M50" i="1"/>
  <c r="V28" i="8" s="1"/>
  <c r="N50" i="1"/>
  <c r="W28" i="8" s="1"/>
  <c r="R12" i="8"/>
  <c r="P75" i="1"/>
  <c r="Q73" i="1" s="1"/>
  <c r="O26" i="1"/>
  <c r="K5" i="8"/>
  <c r="K80" i="1"/>
  <c r="T30" i="8" s="1"/>
  <c r="P60" i="1"/>
  <c r="Q58" i="1" s="1"/>
  <c r="I50" i="1"/>
  <c r="R28" i="8" s="1"/>
  <c r="M65" i="1"/>
  <c r="V29" i="8" s="1"/>
  <c r="N65" i="1"/>
  <c r="W29" i="8" s="1"/>
  <c r="R22" i="8"/>
  <c r="P146" i="1"/>
  <c r="Q144" i="1" s="1"/>
  <c r="R23" i="8"/>
  <c r="P153" i="1"/>
  <c r="Q151" i="1" s="1"/>
  <c r="R24" i="8"/>
  <c r="P160" i="1"/>
  <c r="Q158" i="1" s="1"/>
  <c r="R21" i="8"/>
  <c r="P139" i="1"/>
  <c r="Q137" i="1" s="1"/>
  <c r="R15" i="8"/>
  <c r="P97" i="1"/>
  <c r="Q95" i="1" s="1"/>
  <c r="S29" i="8"/>
  <c r="R11" i="8"/>
  <c r="R13" i="8"/>
  <c r="V24" i="8"/>
  <c r="T24" i="8"/>
  <c r="S24" i="8"/>
  <c r="W23" i="8"/>
  <c r="V23" i="8"/>
  <c r="U23" i="8"/>
  <c r="T23" i="8"/>
  <c r="S23" i="8"/>
  <c r="W22" i="8"/>
  <c r="V22" i="8"/>
  <c r="T22" i="8"/>
  <c r="S22" i="8"/>
  <c r="W21" i="8"/>
  <c r="V21" i="8"/>
  <c r="T21" i="8"/>
  <c r="S21" i="8"/>
  <c r="W20" i="8"/>
  <c r="V20" i="8"/>
  <c r="T20" i="8"/>
  <c r="S20" i="8"/>
  <c r="W19" i="8"/>
  <c r="V19" i="8"/>
  <c r="T19" i="8"/>
  <c r="S19" i="8"/>
  <c r="W18" i="8"/>
  <c r="V18" i="8"/>
  <c r="T18" i="8"/>
  <c r="S18" i="8"/>
  <c r="W17" i="8"/>
  <c r="V17" i="8"/>
  <c r="T17" i="8"/>
  <c r="S17" i="8"/>
  <c r="W16" i="8"/>
  <c r="V16" i="8"/>
  <c r="T16" i="8"/>
  <c r="S16" i="8"/>
  <c r="W15" i="8"/>
  <c r="V15" i="8"/>
  <c r="T15" i="8"/>
  <c r="S15" i="8"/>
  <c r="W14" i="8"/>
  <c r="V14" i="8"/>
  <c r="T14" i="8"/>
  <c r="S14" i="8"/>
  <c r="W13" i="8"/>
  <c r="V13" i="8"/>
  <c r="T13" i="8"/>
  <c r="S13" i="8"/>
  <c r="W12" i="8"/>
  <c r="V12" i="8"/>
  <c r="T12" i="8"/>
  <c r="S12" i="8"/>
  <c r="W11" i="8"/>
  <c r="V11" i="8"/>
  <c r="T11" i="8"/>
  <c r="S11" i="8"/>
  <c r="W10" i="8"/>
  <c r="V10" i="8"/>
  <c r="T10" i="8"/>
  <c r="S10" i="8"/>
  <c r="R10" i="8"/>
  <c r="W9" i="8"/>
  <c r="V9" i="8"/>
  <c r="T9" i="8"/>
  <c r="S9" i="8"/>
  <c r="R9" i="8"/>
  <c r="AC158" i="1"/>
  <c r="AB158" i="1"/>
  <c r="AA158" i="1"/>
  <c r="Y158" i="1"/>
  <c r="X158" i="1"/>
  <c r="W158" i="1"/>
  <c r="V158" i="1"/>
  <c r="U158" i="1"/>
  <c r="S158" i="1"/>
  <c r="R158" i="1"/>
  <c r="L158" i="1"/>
  <c r="U24" i="8" s="1"/>
  <c r="AC151" i="1"/>
  <c r="AB151" i="1"/>
  <c r="AA151" i="1"/>
  <c r="Y151" i="1"/>
  <c r="X151" i="1"/>
  <c r="W151" i="1"/>
  <c r="V151" i="1"/>
  <c r="U151" i="1"/>
  <c r="S151" i="1"/>
  <c r="R151" i="1"/>
  <c r="AC144" i="1"/>
  <c r="AB144" i="1"/>
  <c r="AA144" i="1"/>
  <c r="Y144" i="1"/>
  <c r="X144" i="1"/>
  <c r="W144" i="1"/>
  <c r="V144" i="1"/>
  <c r="U144" i="1"/>
  <c r="S144" i="1"/>
  <c r="R144" i="1"/>
  <c r="L144" i="1"/>
  <c r="U22" i="8" s="1"/>
  <c r="AC137" i="1"/>
  <c r="AB137" i="1"/>
  <c r="AA137" i="1"/>
  <c r="Y137" i="1"/>
  <c r="X137" i="1"/>
  <c r="W137" i="1"/>
  <c r="V137" i="1"/>
  <c r="U137" i="1"/>
  <c r="S137" i="1"/>
  <c r="R137" i="1"/>
  <c r="L137" i="1"/>
  <c r="U21" i="8" s="1"/>
  <c r="AC130" i="1"/>
  <c r="AB130" i="1"/>
  <c r="AA130" i="1"/>
  <c r="Y130" i="1"/>
  <c r="X130" i="1"/>
  <c r="W130" i="1"/>
  <c r="V130" i="1"/>
  <c r="U130" i="1"/>
  <c r="S130" i="1"/>
  <c r="R130" i="1"/>
  <c r="L130" i="1"/>
  <c r="U20" i="8" s="1"/>
  <c r="AC123" i="1"/>
  <c r="AB123" i="1"/>
  <c r="AA123" i="1"/>
  <c r="Y123" i="1"/>
  <c r="X123" i="1"/>
  <c r="W123" i="1"/>
  <c r="V123" i="1"/>
  <c r="U123" i="1"/>
  <c r="S123" i="1"/>
  <c r="R123" i="1"/>
  <c r="L123" i="1"/>
  <c r="U19" i="8" s="1"/>
  <c r="AC116" i="1"/>
  <c r="AB116" i="1"/>
  <c r="AA116" i="1"/>
  <c r="Y116" i="1"/>
  <c r="X116" i="1"/>
  <c r="W116" i="1"/>
  <c r="V116" i="1"/>
  <c r="U116" i="1"/>
  <c r="S116" i="1"/>
  <c r="R116" i="1"/>
  <c r="L116" i="1"/>
  <c r="U18" i="8" s="1"/>
  <c r="AC109" i="1"/>
  <c r="AB109" i="1"/>
  <c r="AA109" i="1"/>
  <c r="Y109" i="1"/>
  <c r="X109" i="1"/>
  <c r="W109" i="1"/>
  <c r="V109" i="1"/>
  <c r="U109" i="1"/>
  <c r="S109" i="1"/>
  <c r="R109" i="1"/>
  <c r="L109" i="1"/>
  <c r="U17" i="8" s="1"/>
  <c r="AC102" i="1"/>
  <c r="AB102" i="1"/>
  <c r="AA102" i="1"/>
  <c r="Y102" i="1"/>
  <c r="X102" i="1"/>
  <c r="W102" i="1"/>
  <c r="V102" i="1"/>
  <c r="U102" i="1"/>
  <c r="S102" i="1"/>
  <c r="R102" i="1"/>
  <c r="L102" i="1"/>
  <c r="U16" i="8" s="1"/>
  <c r="AC95" i="1"/>
  <c r="AB95" i="1"/>
  <c r="AA95" i="1"/>
  <c r="Y95" i="1"/>
  <c r="X95" i="1"/>
  <c r="W95" i="1"/>
  <c r="V95" i="1"/>
  <c r="U95" i="1"/>
  <c r="S95" i="1"/>
  <c r="R95" i="1"/>
  <c r="L95" i="1"/>
  <c r="U15" i="8" s="1"/>
  <c r="AC88" i="1"/>
  <c r="AB88" i="1"/>
  <c r="AA88" i="1"/>
  <c r="Y88" i="1"/>
  <c r="X88" i="1"/>
  <c r="W88" i="1"/>
  <c r="V88" i="1"/>
  <c r="U88" i="1"/>
  <c r="S88" i="1"/>
  <c r="R88" i="1"/>
  <c r="L88" i="1"/>
  <c r="U14" i="8" s="1"/>
  <c r="AC81" i="1"/>
  <c r="AB81" i="1"/>
  <c r="AA81" i="1"/>
  <c r="Y81" i="1"/>
  <c r="X81" i="1"/>
  <c r="W81" i="1"/>
  <c r="V81" i="1"/>
  <c r="U81" i="1"/>
  <c r="S81" i="1"/>
  <c r="R81" i="1"/>
  <c r="L81" i="1"/>
  <c r="AC73" i="1"/>
  <c r="AB73" i="1"/>
  <c r="AA73" i="1"/>
  <c r="Y73" i="1"/>
  <c r="X73" i="1"/>
  <c r="W73" i="1"/>
  <c r="V73" i="1"/>
  <c r="U73" i="1"/>
  <c r="S73" i="1"/>
  <c r="R73" i="1"/>
  <c r="L73" i="1"/>
  <c r="U12" i="8" s="1"/>
  <c r="AC66" i="1"/>
  <c r="AB66" i="1"/>
  <c r="AA66" i="1"/>
  <c r="Y66" i="1"/>
  <c r="X66" i="1"/>
  <c r="W66" i="1"/>
  <c r="V66" i="1"/>
  <c r="U66" i="1"/>
  <c r="S66" i="1"/>
  <c r="R66" i="1"/>
  <c r="L66" i="1"/>
  <c r="AC58" i="1"/>
  <c r="AB58" i="1"/>
  <c r="AA58" i="1"/>
  <c r="Y58" i="1"/>
  <c r="X58" i="1"/>
  <c r="W58" i="1"/>
  <c r="V58" i="1"/>
  <c r="U58" i="1"/>
  <c r="S58" i="1"/>
  <c r="R58" i="1"/>
  <c r="L58" i="1"/>
  <c r="U10" i="8" s="1"/>
  <c r="AC51" i="1"/>
  <c r="AB51" i="1"/>
  <c r="AA51" i="1"/>
  <c r="Y51" i="1"/>
  <c r="X51" i="1"/>
  <c r="W51" i="1"/>
  <c r="V51" i="1"/>
  <c r="U51" i="1"/>
  <c r="S51" i="1"/>
  <c r="R51" i="1"/>
  <c r="L51" i="1"/>
  <c r="O114" i="1" l="1"/>
  <c r="K17" i="8"/>
  <c r="O107" i="1"/>
  <c r="K16" i="8"/>
  <c r="O135" i="1"/>
  <c r="K20" i="8"/>
  <c r="O121" i="1"/>
  <c r="K18" i="8"/>
  <c r="K19" i="8"/>
  <c r="O128" i="1"/>
  <c r="O142" i="1"/>
  <c r="K21" i="8"/>
  <c r="O149" i="1"/>
  <c r="K22" i="8"/>
  <c r="O156" i="1"/>
  <c r="K23" i="8"/>
  <c r="O163" i="1"/>
  <c r="K24" i="8"/>
  <c r="O100" i="1"/>
  <c r="K15" i="8"/>
  <c r="O86" i="1"/>
  <c r="K13" i="8"/>
  <c r="O93" i="1"/>
  <c r="K14" i="8"/>
  <c r="O63" i="1"/>
  <c r="K10" i="8"/>
  <c r="O71" i="1"/>
  <c r="K11" i="8"/>
  <c r="O78" i="1"/>
  <c r="K12" i="8"/>
  <c r="L50" i="1"/>
  <c r="U28" i="8" s="1"/>
  <c r="U11" i="8"/>
  <c r="L65" i="1"/>
  <c r="U29" i="8" s="1"/>
  <c r="U13" i="8"/>
  <c r="L80" i="1"/>
  <c r="U30" i="8" s="1"/>
  <c r="U9" i="8"/>
  <c r="L7" i="1"/>
  <c r="U3" i="8" s="1"/>
  <c r="I5" i="1" l="1"/>
  <c r="K5" i="1"/>
  <c r="N5" i="1"/>
  <c r="M5" i="1"/>
  <c r="D170" i="1"/>
  <c r="AC29" i="1"/>
  <c r="AB29" i="1"/>
  <c r="AA29" i="1"/>
  <c r="Y29" i="1"/>
  <c r="X29" i="1"/>
  <c r="W29" i="1"/>
  <c r="V29" i="1"/>
  <c r="U29" i="1"/>
  <c r="S29" i="1"/>
  <c r="R29" i="1"/>
  <c r="W6" i="8"/>
  <c r="V6" i="8"/>
  <c r="U6" i="8"/>
  <c r="T6" i="8"/>
  <c r="S6" i="8"/>
  <c r="R6" i="8"/>
  <c r="AC21" i="1"/>
  <c r="AB21" i="1"/>
  <c r="AA21" i="1"/>
  <c r="Y21" i="1"/>
  <c r="X21" i="1"/>
  <c r="W21" i="1"/>
  <c r="V21" i="1"/>
  <c r="U21" i="1"/>
  <c r="S21" i="1"/>
  <c r="R21" i="1"/>
  <c r="W5" i="8"/>
  <c r="V5" i="8"/>
  <c r="L21" i="1"/>
  <c r="U5" i="8" s="1"/>
  <c r="T5" i="8"/>
  <c r="S5" i="8"/>
  <c r="R5" i="8"/>
  <c r="AC14" i="1"/>
  <c r="AB14" i="1"/>
  <c r="AA14" i="1"/>
  <c r="Y14" i="1"/>
  <c r="X14" i="1"/>
  <c r="W14" i="1"/>
  <c r="V14" i="1"/>
  <c r="U14" i="1"/>
  <c r="S14" i="1"/>
  <c r="R14" i="1"/>
  <c r="W4" i="8"/>
  <c r="V4" i="8"/>
  <c r="L14" i="1"/>
  <c r="U4" i="8" s="1"/>
  <c r="T4" i="8"/>
  <c r="S4" i="8"/>
  <c r="R4" i="8"/>
  <c r="C170" i="1" l="1"/>
  <c r="L5" i="1" s="1"/>
  <c r="B170" i="1"/>
  <c r="W3" i="8"/>
  <c r="T3" i="8" l="1"/>
  <c r="AC7" i="1" l="1"/>
  <c r="AB7" i="1"/>
  <c r="AA7" i="1"/>
  <c r="Y7" i="1"/>
  <c r="X7" i="1"/>
  <c r="W7" i="1"/>
  <c r="V7" i="1"/>
  <c r="U7" i="1"/>
  <c r="S7" i="1"/>
  <c r="R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Omar Fabian Montes Plata</author>
  </authors>
  <commentList>
    <comment ref="Q5" authorId="0" shapeId="0" xr:uid="{00000000-0006-0000-0000-000001000000}">
      <text>
        <r>
          <rPr>
            <b/>
            <sz val="9"/>
            <color indexed="81"/>
            <rFont val="Tahoma"/>
            <family val="2"/>
          </rPr>
          <t>Omar Fabian Montes Plata:</t>
        </r>
        <r>
          <rPr>
            <sz val="9"/>
            <color indexed="81"/>
            <rFont val="Tahoma"/>
            <family val="2"/>
          </rPr>
          <t xml:space="preserve">
CRP=CO*(((E+CT+CF))/100)-SCE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Omar Fabian Montes Plata</author>
  </authors>
  <commentList>
    <comment ref="AF1" authorId="0" shapeId="0" xr:uid="{00000000-0006-0000-0100-000001000000}">
      <text>
        <r>
          <rPr>
            <b/>
            <sz val="9"/>
            <color indexed="81"/>
            <rFont val="Tahoma"/>
            <family val="2"/>
          </rPr>
          <t>Omar Fabian Montes Plata:</t>
        </r>
        <r>
          <rPr>
            <sz val="9"/>
            <color indexed="81"/>
            <rFont val="Tahoma"/>
            <family val="2"/>
          </rPr>
          <t xml:space="preserve">
3.1 Cálculo de la capacidad residual para el proceso de contratación (CRPC)
El proponente será hábil si su capacidad residual es mayor o igual a la capacidad residual de proceso de contratación (CRPC). Así:
CRP ≥ CRPC
El Proponente debe acreditar una capacidad residual o K de Contratación igual o superior a $150.000.000 conforme lo establecido en el artículo 18 del Decreto 791 del 22 de abril de 2014 y el decreto 1082 de 2015.
Teniendo en cuenta que el plazo de ejecución de la obra corresponde a 4 meses, para el cálculo del monto de capacidad residual solicitada, se aplicó la siguiente fórmula, la cual corresponde para procesos con plazo de ejecución menor o igual a 12 meses: 
CRPC=POE-Anticipo o pago anticipado
Donde:
CRPC = Capacidad residual del proceso de contratación.
POE = Presupuesto oficial estimado.
3.2 Cálculo de la capacidad residual del proponente (CRP)
La capacidad residual del proponente se calculará de la siguiente manera:
CRP=CO*(((E+CT+CF))/100)-SCE
En donde:
CRP = Capacidad residual del Proponente
CO = Capacidad de Organización
E = Experiencia
CT = Capacidad Técnica
CF = Capacidad Financiera
SCE = Saldos de Contratos en Ejecución
La CRP del proponente plural es la suma de la capacidad residual de cada uno de sus miembros, sin tener en cuenta el porcentaje de participación de los integrantes de la estructura plural; lo anterior, en cumplimiento de lo dispuesto para tal fin en la Guía para Determinar y Verificar la Capacidad Residual del Proponente en los Procesos de Contratación de Obra Pública, de Colombia Compra Eficiente. En caso de ser negativa la capacidad residual de uno de los miembros, este valor se restará
de la capacidad residual total del proponente plural.
A cada uno de los factores se le asigna máximo el siguiente puntaje: 
La Capacidad de Organización (CO) no tiene asignación de puntaje en la fórmula porque su unidad de medida es en pesos colombianos y constituye un factor multiplicador de los demás factores.</t>
        </r>
      </text>
    </comment>
    <comment ref="AF2" authorId="0" shapeId="0" xr:uid="{00000000-0006-0000-0100-000002000000}">
      <text>
        <r>
          <rPr>
            <b/>
            <sz val="9"/>
            <color indexed="81"/>
            <rFont val="Tahoma"/>
            <family val="2"/>
          </rPr>
          <t>Omar Fabian Montes Plata:</t>
        </r>
        <r>
          <rPr>
            <sz val="9"/>
            <color indexed="81"/>
            <rFont val="Tahoma"/>
            <family val="2"/>
          </rPr>
          <t xml:space="preserve">
El factor (CF) para propósitos de la capacidad residual se obtiene teniendo en cuenta el índice de liquidez del Proponente con base en la siguiente fórmula:
Índice de liquidez=(Activo Corriente)/(Pasivo Corriente)
El puntaje para la liquidez se debe asignar con base en la siguiente tabla:
Cuando el proponente tiene un pasivo corriente igual a cero (0) y por consiguiente su índice de liquidez sea indeterminado, la entidad debe otorgar el mayor puntaje en el componente de capacidad financiera (CF).</t>
        </r>
      </text>
    </comment>
    <comment ref="AF7" authorId="0" shapeId="0" xr:uid="{00000000-0006-0000-0100-000003000000}">
      <text>
        <r>
          <rPr>
            <b/>
            <sz val="9"/>
            <color indexed="81"/>
            <rFont val="Tahoma"/>
            <family val="2"/>
          </rPr>
          <t>Omar Fabian Montes Plata:</t>
        </r>
        <r>
          <rPr>
            <sz val="9"/>
            <color indexed="81"/>
            <rFont val="Tahoma"/>
            <family val="2"/>
          </rPr>
          <t xml:space="preserve">
En los pliegos quedó mal quedó 1,1 y era 1,01</t>
        </r>
      </text>
    </comment>
    <comment ref="AF10" authorId="0" shapeId="0" xr:uid="{00000000-0006-0000-0100-000004000000}">
      <text>
        <r>
          <rPr>
            <b/>
            <sz val="9"/>
            <color indexed="81"/>
            <rFont val="Tahoma"/>
            <family val="2"/>
          </rPr>
          <t>Omar Fabian Montes Plata:</t>
        </r>
        <r>
          <rPr>
            <sz val="9"/>
            <color indexed="81"/>
            <rFont val="Tahoma"/>
            <family val="2"/>
          </rPr>
          <t xml:space="preserve">
El factor (CT) para propósitos de la capacidad residual se asigna teniendo en cuenta el número de socios y profesionales de la Arquitectura, Ingeniería y Geología vinculados mediante una relación laboral o contractual vigente conforme a la cual desarrollen actividades vinculadas directamente con la construcción.
Para acreditar el factor (CT) el Proponente o integrante nacional y extranjero con o sin sucursal en Colombia deben diligenciar el Formato 5 – Capacidad residual.</t>
        </r>
      </text>
    </comment>
    <comment ref="AF16" authorId="0" shapeId="0" xr:uid="{00000000-0006-0000-0100-000005000000}">
      <text>
        <r>
          <rPr>
            <b/>
            <sz val="9"/>
            <color indexed="81"/>
            <rFont val="Tahoma"/>
            <family val="2"/>
          </rPr>
          <t>Omar Fabian Montes Plata:</t>
        </r>
        <r>
          <rPr>
            <sz val="9"/>
            <color indexed="81"/>
            <rFont val="Tahoma"/>
            <family val="2"/>
          </rPr>
          <t xml:space="preserve">
I. El factor SCE es la suma de los montos por ejecutar de los contratos vigentes durante los 12 meses siguientes. Si el número de días por ejecutar en un contrato es superior a 12 meses, es decir 360 días, el factor (SCE) solo tendrá en cuenta la proporción lineal de 12 meses. 
II. Los contratos de obras civiles en ejecución son aquellos que a la fecha de presentación de la oferta obligan al proponente con entidades estatales y con entidades privadas para ejecutar obras civiles. Estas incluyen las obras civiles de los contratos de concesión y los contratos de obra suscritos con concesionarios, así como, los contratos suspendidos y aquellos que no tengan acta de inicio. No se entenderán como contratos en ejecución los que se encuentren en liquidación.
III. Se tendrán en cuenta los contratos de obras civiles en ejecución suscritos por el proponente o por sociedades, consorcios o uniones temporales en los cuales el proponente tenga participación. 
IV. Si un contrato se encuentra suspendido, el cálculo del (SCE) de dicho contrato debe efectuarse asumiendo que lo que falta por ejecutar iniciara en la fecha de presentación de la oferta del Proceso de Contratación. Si el contrato está suspendido el proponente debe informar el saldo pendiente por ejecutar. 
V. El cálculo del factor (SCE) debe hacerse linealmente calculando una ejecución diaria equivalente al valor del contrato dividido por el plazo del contrato expresado en días. Este resultado se multiplica por el número de días pendientes para cumplir el plazo del contrato y si el contrato es ejecutado por una estructura plural por la participación del proponente en la respectiva estructura. 
VI. Para los proponentes o integrantes extranjeros sin domicilio o sin sucursal en Colombia deben diligenciar el Formato 5 – Capacidad residual firmado por la persona natural o el representante legal de la persona jurídica y el contador público colombiano que los hubiere convertido a pesos colombianos usando para ello la sección ___ del pliego de condiciones.  </t>
        </r>
      </text>
    </comment>
    <comment ref="AF19" authorId="0" shapeId="0" xr:uid="{00000000-0006-0000-0100-000006000000}">
      <text>
        <r>
          <rPr>
            <b/>
            <sz val="9"/>
            <color indexed="81"/>
            <rFont val="Tahoma"/>
            <family val="2"/>
          </rPr>
          <t>Omar Fabian Montes Plata:</t>
        </r>
        <r>
          <rPr>
            <sz val="9"/>
            <color indexed="81"/>
            <rFont val="Tahoma"/>
            <family val="2"/>
          </rPr>
          <t xml:space="preserve">
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estimado del proceso de contratación.
La relación indica el número de veces que el proponente ha ejecutado contratos equivalentes a la cuantía del proceso de contratación objeto de la acreditación de la capacidad residual. Para proponentes individuales se expresa así:
E=(Valor total de los contratos (COP))/(Presupuesto total estimado (COP))
Para el caso de proponentes plurales, el factor (E) de un miembro se calcula así:
E=(Valor total de los contratos (COP))/((Presupuesto estimado*% de participación))
El cálculo del factor (E) para efectos de la capacidad residual de un miembro de un proponente plural debe tener en cuenta su participación en el Proceso de Contratación objeto del cálculo de la capacidad residual. Si el Proponente no es plural no hay lugar a porcentaje. Es de aclarar que el resultado del Factor (E) solo será tenido en cuenta en valores enteros, aproximados en un decimal al valor entero más cercano. 
Para acreditar el factor (E), el proponente debe diligenciar el Formato 5 – Capacidad residual el cual contiene los contratos inscritos en el segmento 72 y su valor total en pesos colombianos liquidados con el SMMLV. Así mismo, el presupuesto oficial estimado debe ser liquidado con el SMMLV para el año de publicación del pliego de condiciones definitivo del proceso de contratación.
Los proponentes o integrantes extranjeros sin domicilio o sin sucursal en Colombia adicionalmente deben aportar copia de los contratos ejecutados o certificaciones de terceros que hubieran recibido los servicios de construcción de obras civiles con terceros, bien sean públicos o privados. La información de los contratos soportados por las certificaciones de terceros que hubieren recibido los servicios de construcción de obras civiles debe ser obligatoriamente los mismos que el Proponente presenta en el equivalente de Experiencia. La información del Formato 5 – Capacidad residual deberá ser presentada en pesos colombianos, salvo donde se registre el valor del contrato en la moneda del país de origen. Cuando el valor de los contratos esté expresado en monedas extranjeras deberá convertirse a pesos colombianos en los términos indicados en el numeral ___ del presente pliego de condiciones.
</t>
        </r>
      </text>
    </comment>
    <comment ref="AF28" authorId="0" shapeId="0" xr:uid="{00000000-0006-0000-0100-000007000000}">
      <text>
        <r>
          <rPr>
            <b/>
            <sz val="9"/>
            <color indexed="81"/>
            <rFont val="Tahoma"/>
            <family val="2"/>
          </rPr>
          <t>Omar Fabian Montes Plata:</t>
        </r>
        <r>
          <rPr>
            <sz val="9"/>
            <color indexed="81"/>
            <rFont val="Tahoma"/>
            <family val="2"/>
          </rPr>
          <t xml:space="preserve">
NO ES PUNTUABLE
Si los ingresos operacionales del proponente con uno (1) o más años de información financiera es menor a USD125.000, el factor (CO) del proponente es igual a USD125.000.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II. Copia de la tarjeta profesional y certificado de antecedentes disciplinarios vigentes de los Contadores Públicos, Revisores Fiscales, Contadores independientes (externos), quienes suscribieron los documentos señalados en el presente literal.
Los proponentes personas naturales o jurídicas extranjeras sin domicilio o sucursal en Colombia, deben presentar el estado de resultados integral consolidado (estado de resultados o pérdida o ganancias) del año en que hayan obtenido el mayor ingreso operacional en los últimos cinco (5) años, auditado, con la firma de quien se encuentre en obligación de hacerlo, de acuerdo con la normativa vigente en el país de origen, en la moneda legal del país en el cual fue emitido, de conformidad con la legislación propia del país de origen.
Adicional a lo anterior, deben allegar la traducción al idioma castellano de la información financiera, observando lo siguiente: i) los valores deben ser expresados pesos colombianos, convertidos a la tasa representativa del mercado (TRM) de la fecha de corte de los mismos, ii) presentados de acuerdo con las normas NIIF; y iii) debidamente firmados por el contador público colombiano que los hubiere convertido. 
Si alguno de estos requerimientos no aplica en el país del domicilio del proponente extranjero, el representante legal o el apoderado en Colombia deberán hacerlo constar bajo la gravedad de juramento. Así mismo se podrá acreditar este requisito por la firma auditora externa.</t>
        </r>
      </text>
    </comment>
    <comment ref="AI30" authorId="0" shapeId="0" xr:uid="{00000000-0006-0000-0100-000008000000}">
      <text>
        <r>
          <rPr>
            <b/>
            <sz val="9"/>
            <color indexed="81"/>
            <rFont val="Tahoma"/>
            <family val="2"/>
          </rPr>
          <t>Omar Fabian Montes Plata:
https://colombiacompra.gov.co/sites/cce_public/files/files_2020/vf_umbrales_actualizaciones_2022_-_2023_1.pdf</t>
        </r>
        <r>
          <rPr>
            <sz val="9"/>
            <color indexed="81"/>
            <rFont val="Tahoma"/>
            <family val="2"/>
          </rPr>
          <t xml:space="preserve">
TRM $3,658,38 Según Colombia Compra Eficiente $457,297,264 </t>
        </r>
      </text>
    </comment>
  </commentList>
</comments>
</file>

<file path=xl/sharedStrings.xml><?xml version="1.0" encoding="utf-8"?>
<sst xmlns="http://schemas.openxmlformats.org/spreadsheetml/2006/main" count="626" uniqueCount="172">
  <si>
    <t>No</t>
  </si>
  <si>
    <t>CIFRAS MILES DE PESOS</t>
  </si>
  <si>
    <t>VERIFICACIÓN DE REQUISITOS FINANCIEROS</t>
  </si>
  <si>
    <t>PROPONENTE</t>
  </si>
  <si>
    <t>ESTADOS FINANCIEROS</t>
  </si>
  <si>
    <t>Detalle</t>
  </si>
  <si>
    <t>OBSERVACIONES</t>
  </si>
  <si>
    <t>APROBÓ:</t>
  </si>
  <si>
    <t>TOTAL PASIVO CORRIENTE</t>
  </si>
  <si>
    <t>TOTAL PASIVO</t>
  </si>
  <si>
    <t>TOTAL PATRIMONIO</t>
  </si>
  <si>
    <t>TOTAL ACTIVO CORRIENTE</t>
  </si>
  <si>
    <t>TOTAL ACTIVO</t>
  </si>
  <si>
    <t>UTILIDAD /PERDIDA OPERACIONAL</t>
  </si>
  <si>
    <t>GASTOS DE INTERESES</t>
  </si>
  <si>
    <t>INDETERMINADO</t>
  </si>
  <si>
    <t>PLAZO EJECUCIÓN DEL CONTRATO</t>
  </si>
  <si>
    <t>ELABORÓ:</t>
  </si>
  <si>
    <t>RENTABILIDAD DEL ACTIVO                       &gt;=  1%
UTILIDAD OPERACIONAL / ACTIVO TOTAL</t>
  </si>
  <si>
    <t>AÑO 2018</t>
  </si>
  <si>
    <t>AÑO  2019</t>
  </si>
  <si>
    <t xml:space="preserve">INDICE LIQUIDEZ   &gt;= 1,2
ACTIVO CTE / PASIVO CTE </t>
  </si>
  <si>
    <t>INDICE DE ENDEUDAMIENTO             &lt;= 55%
PASIVO TOTAL/ ACTIVO TOTAL</t>
  </si>
  <si>
    <t>RAZON COBERTURA DE INTERESES             
&gt;= 1,8
UTIL/PERDIDA OPERACIONAL / GASTOS DE INTERESES</t>
  </si>
  <si>
    <t>RENTABILIDAD DEL PATRIMONIO              &gt;= 1%               
UTILIDAD OPERACIONAL / PATRIMONIO</t>
  </si>
  <si>
    <t xml:space="preserve">CAPITAL DE TRABAJO                       &gt;= 55 %  ($100.016 )
(Activo Cte -Pasivo Cte)  </t>
  </si>
  <si>
    <t>MEJORES INDICADORES SEGÚN REGISTRO UNICO DE PROPONENTES</t>
  </si>
  <si>
    <t>Fecha Cierre proceso</t>
  </si>
  <si>
    <t>Año escogido para indicadores
2019-2020-2021</t>
  </si>
  <si>
    <t>#</t>
  </si>
  <si>
    <t>Pliegos</t>
  </si>
  <si>
    <t>Excel de evaluacion</t>
  </si>
  <si>
    <t>Memorando</t>
  </si>
  <si>
    <t>Memorando de resultados evaluación</t>
  </si>
  <si>
    <t>Docs a enviar Directora Financiera
por correo</t>
  </si>
  <si>
    <t xml:space="preserve"> los RUP de cada proponente</t>
  </si>
  <si>
    <t xml:space="preserve"> Si hay uniones temporales se envían los RUP de cada proponente + la carta de conformación del consorcio o union temporal</t>
  </si>
  <si>
    <t>Envio respuesta a DGC</t>
  </si>
  <si>
    <t>Excel de la evaluación</t>
  </si>
  <si>
    <r>
      <t xml:space="preserve">INDICE LIQUIDEZ  
 &gt;= </t>
    </r>
    <r>
      <rPr>
        <b/>
        <sz val="8"/>
        <color rgb="FFFF0000"/>
        <rFont val="Arial"/>
        <family val="2"/>
      </rPr>
      <t>X,X</t>
    </r>
    <r>
      <rPr>
        <b/>
        <sz val="8"/>
        <rFont val="Arial"/>
        <family val="2"/>
      </rPr>
      <t xml:space="preserve">
ACTIVO CTE / PASIVO CTE </t>
    </r>
  </si>
  <si>
    <r>
      <t xml:space="preserve">RAZON COBERTURA DE INTERESES             
&gt;= </t>
    </r>
    <r>
      <rPr>
        <b/>
        <sz val="8"/>
        <color rgb="FFFF0000"/>
        <rFont val="Arial"/>
        <family val="2"/>
      </rPr>
      <t>X</t>
    </r>
    <r>
      <rPr>
        <b/>
        <sz val="8"/>
        <rFont val="Arial"/>
        <family val="2"/>
      </rPr>
      <t xml:space="preserve">
UTIL/PERDIDA OPERACIONAL / GASTOS DE INTERESES</t>
    </r>
  </si>
  <si>
    <r>
      <t xml:space="preserve">RENTABILIDAD DEL PATRIMONIO &gt;= </t>
    </r>
    <r>
      <rPr>
        <b/>
        <sz val="8"/>
        <color rgb="FFFF0000"/>
        <rFont val="Arial"/>
        <family val="2"/>
      </rPr>
      <t>X.XX</t>
    </r>
    <r>
      <rPr>
        <b/>
        <sz val="8"/>
        <rFont val="Arial"/>
        <family val="2"/>
      </rPr>
      <t xml:space="preserve">
UTILIDAD OPERACIONAL / PATRIMONIO</t>
    </r>
  </si>
  <si>
    <r>
      <t xml:space="preserve">RENTABILIDAD DEL ACTIVO
 &gt;= </t>
    </r>
    <r>
      <rPr>
        <b/>
        <sz val="8"/>
        <color rgb="FFFF0000"/>
        <rFont val="Arial"/>
        <family val="2"/>
      </rPr>
      <t>X.XX</t>
    </r>
    <r>
      <rPr>
        <b/>
        <sz val="8"/>
        <rFont val="Arial"/>
        <family val="2"/>
      </rPr>
      <t xml:space="preserve">
UTILIDAD OPERACIONAL / ACTIVO TOTAL</t>
    </r>
  </si>
  <si>
    <t xml:space="preserve">SE EVALUA CON INFORMACIÓN FINANCIERA CONTENIDA EN EL RUP CON CORTE A DICIEMBRE 31 DE </t>
  </si>
  <si>
    <t>HABILITADO</t>
  </si>
  <si>
    <t>ESTADO</t>
  </si>
  <si>
    <t>meses</t>
  </si>
  <si>
    <t>Otro</t>
  </si>
  <si>
    <t>Fecha Rup vigente</t>
  </si>
  <si>
    <t>VALOR PRESUPUESTAL OFICIAL</t>
  </si>
  <si>
    <t>(En miles)</t>
  </si>
  <si>
    <r>
      <t>20</t>
    </r>
    <r>
      <rPr>
        <b/>
        <sz val="12"/>
        <color rgb="FFFF0000"/>
        <rFont val="Arial"/>
        <family val="2"/>
      </rPr>
      <t>XX</t>
    </r>
  </si>
  <si>
    <t xml:space="preserve">Omar Fabian Montes Plata </t>
  </si>
  <si>
    <t>Profesional Especializado</t>
  </si>
  <si>
    <t>Año 2021
(en miles de pesos)</t>
  </si>
  <si>
    <t>Año 2020
(en miles de pesos)</t>
  </si>
  <si>
    <t>NIT</t>
  </si>
  <si>
    <t>Año 2022
(en miles de pesos)</t>
  </si>
  <si>
    <r>
      <t xml:space="preserve">CAPITAL DE TRABAJO                       &gt;= </t>
    </r>
    <r>
      <rPr>
        <b/>
        <sz val="8"/>
        <color rgb="FFFF0000"/>
        <rFont val="Arial"/>
        <family val="2"/>
      </rPr>
      <t>XX</t>
    </r>
    <r>
      <rPr>
        <b/>
        <sz val="8"/>
        <rFont val="Arial"/>
        <family val="2"/>
      </rPr>
      <t xml:space="preserve"> %   ($</t>
    </r>
    <r>
      <rPr>
        <b/>
        <sz val="8"/>
        <color rgb="FFFF0000"/>
        <rFont val="Arial"/>
        <family val="2"/>
      </rPr>
      <t>xxx.xxxx.xxx</t>
    </r>
    <r>
      <rPr>
        <b/>
        <sz val="8"/>
        <rFont val="Arial"/>
        <family val="2"/>
      </rPr>
      <t xml:space="preserve">)
(Activo Cte -Pasivo Cte)  </t>
    </r>
  </si>
  <si>
    <r>
      <t>LA INFORMACION RELACIONADA CON LA INSCRIPCION AQUI CERTIFICADA, (</t>
    </r>
    <r>
      <rPr>
        <sz val="8"/>
        <color rgb="FFFF0000"/>
        <rFont val="Arial"/>
        <family val="2"/>
      </rPr>
      <t xml:space="preserve">QUEDO o QUEDARA) </t>
    </r>
    <r>
      <rPr>
        <sz val="8"/>
        <rFont val="Arial"/>
        <family val="2"/>
      </rPr>
      <t xml:space="preserve">EN FIRME DIEZ (10) DIAS HABILES DESPUES DE LA FECHA DE PUBLICACION (ARTICULO 6.3 DE LA LEY 1150 DE 2007).   </t>
    </r>
    <r>
      <rPr>
        <b/>
        <sz val="7.5"/>
        <rFont val="Arial"/>
        <family val="2"/>
      </rPr>
      <t>FIRME</t>
    </r>
    <r>
      <rPr>
        <sz val="7.5"/>
        <rFont val="Arial"/>
        <family val="2"/>
      </rPr>
      <t xml:space="preserve">
</t>
    </r>
    <r>
      <rPr>
        <b/>
        <sz val="7.5"/>
        <rFont val="Arial"/>
        <family val="2"/>
      </rPr>
      <t>QUEDÓ= SI
QUEDARA= NO</t>
    </r>
  </si>
  <si>
    <r>
      <t>QUE EL DIA 31 DEL MES DE MARZO DE 20</t>
    </r>
    <r>
      <rPr>
        <sz val="8"/>
        <color rgb="FFFF0000"/>
        <rFont val="Arial"/>
        <family val="2"/>
      </rPr>
      <t>xx</t>
    </r>
    <r>
      <rPr>
        <sz val="8"/>
        <rFont val="Arial"/>
        <family val="2"/>
      </rPr>
      <t xml:space="preserve"> EL PROPONENTE RENOVO EL
REGISTRO UNICO DE PROPONENTES BAJO EL NUMERO </t>
    </r>
    <r>
      <rPr>
        <sz val="8"/>
        <color rgb="FFFF0000"/>
        <rFont val="Arial"/>
        <family val="2"/>
      </rPr>
      <t xml:space="preserve">xxxxx   </t>
    </r>
    <r>
      <rPr>
        <b/>
        <sz val="8"/>
        <color theme="1"/>
        <rFont val="Arial"/>
        <family val="2"/>
      </rPr>
      <t>RENOVO</t>
    </r>
  </si>
  <si>
    <r>
      <t xml:space="preserve">CLASIFICACION POR TAMAÑO DE LA EMPRESA
 en el RUP       </t>
    </r>
    <r>
      <rPr>
        <b/>
        <sz val="8"/>
        <rFont val="Arial"/>
        <family val="2"/>
      </rPr>
      <t>TAMAÑO</t>
    </r>
  </si>
  <si>
    <t>Proponente</t>
  </si>
  <si>
    <t>NO HABILITADO</t>
  </si>
  <si>
    <r>
      <t xml:space="preserve">INDICE DE ENDEUDAMIENTO             &lt;= </t>
    </r>
    <r>
      <rPr>
        <b/>
        <sz val="8"/>
        <color rgb="FFFF0000"/>
        <rFont val="Arial"/>
        <family val="2"/>
      </rPr>
      <t>XX</t>
    </r>
    <r>
      <rPr>
        <b/>
        <sz val="8"/>
        <rFont val="Arial"/>
        <family val="2"/>
      </rPr>
      <t xml:space="preserve"> %
PASIVO TOTAL / ACTIVO TOTAL</t>
    </r>
  </si>
  <si>
    <t>Proceso SISCO</t>
  </si>
  <si>
    <t>Sipa enviado de respuesta evaluación</t>
  </si>
  <si>
    <t>5a</t>
  </si>
  <si>
    <t>5b</t>
  </si>
  <si>
    <t>4a</t>
  </si>
  <si>
    <t>4b</t>
  </si>
  <si>
    <t>6a</t>
  </si>
  <si>
    <t>6b</t>
  </si>
  <si>
    <t>7a</t>
  </si>
  <si>
    <t>7b</t>
  </si>
  <si>
    <t>4c</t>
  </si>
  <si>
    <t>Concepto Financiero</t>
  </si>
  <si>
    <t>Evaluación de la propuesta</t>
  </si>
  <si>
    <t>CO</t>
  </si>
  <si>
    <t>CF</t>
  </si>
  <si>
    <t>SCE</t>
  </si>
  <si>
    <t>CT</t>
  </si>
  <si>
    <t>E</t>
  </si>
  <si>
    <t>Items
Capacidad Residual</t>
  </si>
  <si>
    <t>INDICADOR DE CAPACIDAD RESIDUAL</t>
  </si>
  <si>
    <t>CF = Puntaje Capacidad Financiera</t>
  </si>
  <si>
    <t>Mayor A</t>
  </si>
  <si>
    <t>Menor o igual A</t>
  </si>
  <si>
    <t>Puntaje</t>
  </si>
  <si>
    <t>mayor</t>
  </si>
  <si>
    <t>CT = Puntaje Capacidad Técnica</t>
  </si>
  <si>
    <t>SCE = Saldos de Contratos en Ejecución</t>
  </si>
  <si>
    <t>E = Experiencia</t>
  </si>
  <si>
    <t>total max CRP</t>
  </si>
  <si>
    <t>CO = Capacidad Organizacional</t>
  </si>
  <si>
    <t>USD 125.000 (Liquidados a la tasa de cambio determinada por el Ministerio de Comercio, Industria y Turismo cada 2 años para efectos del umbral del beneficio de las Mipyme.)</t>
  </si>
  <si>
    <t>Mayor ingreso operacional de los años de existencia del proponente.</t>
  </si>
  <si>
    <t>Mayor ingreso operacional de los últimos 5 años</t>
  </si>
  <si>
    <t>NO</t>
  </si>
  <si>
    <t>E
Vlr Total Ctos</t>
  </si>
  <si>
    <r>
      <rPr>
        <b/>
        <sz val="8"/>
        <rFont val="Arial"/>
        <family val="2"/>
      </rPr>
      <t>Cáluculo E</t>
    </r>
    <r>
      <rPr>
        <sz val="8"/>
        <rFont val="Arial"/>
        <family val="2"/>
      </rPr>
      <t xml:space="preserve">
VLR Total Ctos / Ppto Oficial * % Partic</t>
    </r>
  </si>
  <si>
    <t>Cto</t>
  </si>
  <si>
    <t>anticipo</t>
  </si>
  <si>
    <t>CRP  NO Cumple</t>
  </si>
  <si>
    <t>CRP  SI Cumple</t>
  </si>
  <si>
    <t>Directora Financiera ( E )</t>
  </si>
  <si>
    <t>nit</t>
  </si>
  <si>
    <t>proponente</t>
  </si>
  <si>
    <t>plazo
Meses</t>
  </si>
  <si>
    <t>Vlr Cto</t>
  </si>
  <si>
    <t>Fecha Inicio</t>
  </si>
  <si>
    <t>% Partic</t>
  </si>
  <si>
    <t>Fecha Presentación Oferta</t>
  </si>
  <si>
    <t>Días ejecutados</t>
  </si>
  <si>
    <t>Días x ejecutar Cto</t>
  </si>
  <si>
    <t>Está Suspendido</t>
  </si>
  <si>
    <t>EJEMPLO</t>
  </si>
  <si>
    <t>SDE
Saldo Diario Cto Ejecuc</t>
  </si>
  <si>
    <t>SCE
Sdo Cto Ejec</t>
  </si>
  <si>
    <t>HABILITADOS</t>
  </si>
  <si>
    <t>NO  HABILITADOS</t>
  </si>
  <si>
    <t>K Residual</t>
  </si>
  <si>
    <t>CRP</t>
  </si>
  <si>
    <t>OBSERVACION</t>
  </si>
  <si>
    <r>
      <rPr>
        <b/>
        <sz val="8"/>
        <rFont val="Arial"/>
        <family val="2"/>
      </rPr>
      <t>CT</t>
    </r>
    <r>
      <rPr>
        <sz val="8"/>
        <rFont val="Arial"/>
        <family val="2"/>
      </rPr>
      <t xml:space="preserve">
# Profesionales</t>
    </r>
  </si>
  <si>
    <r>
      <rPr>
        <b/>
        <sz val="8"/>
        <rFont val="Arial"/>
        <family val="2"/>
      </rPr>
      <t>CO</t>
    </r>
    <r>
      <rPr>
        <sz val="8"/>
        <rFont val="Arial"/>
        <family val="2"/>
      </rPr>
      <t xml:space="preserve">
Ing operacionales &gt;= 125,000 USD
O $457.297.264</t>
    </r>
  </si>
  <si>
    <r>
      <rPr>
        <b/>
        <sz val="8"/>
        <rFont val="Arial"/>
        <family val="2"/>
      </rPr>
      <t>SCE</t>
    </r>
    <r>
      <rPr>
        <sz val="8"/>
        <rFont val="Arial"/>
        <family val="2"/>
      </rPr>
      <t xml:space="preserve">
Sdo Cto Ejec</t>
    </r>
  </si>
  <si>
    <t>N/A</t>
  </si>
  <si>
    <t>Total
SCE
Sdo Cto Ejec</t>
  </si>
  <si>
    <t>plazo
Meses / días</t>
  </si>
  <si>
    <t>Subsane proponentes</t>
  </si>
  <si>
    <t>Evaluación del cumplimiento de requisitos</t>
  </si>
  <si>
    <t>Estudio de Mercado</t>
  </si>
  <si>
    <t xml:space="preserve">PR. </t>
  </si>
  <si>
    <t>Año RUP</t>
  </si>
  <si>
    <t>20XX</t>
  </si>
  <si>
    <r>
      <t>20</t>
    </r>
    <r>
      <rPr>
        <sz val="10"/>
        <color rgb="FFFF0000"/>
        <rFont val="Arial"/>
        <family val="2"/>
      </rPr>
      <t>XX</t>
    </r>
  </si>
  <si>
    <t>Año 2023
(en miles de pesos)</t>
  </si>
  <si>
    <t>Director Financiero</t>
  </si>
  <si>
    <t>Andrés Vergara Ballén</t>
  </si>
  <si>
    <t>Claudia Liliana Lucero Campaña</t>
  </si>
  <si>
    <t>Proponentes</t>
  </si>
  <si>
    <t>Habilitados</t>
  </si>
  <si>
    <t>No Habilitados</t>
  </si>
  <si>
    <t>Total</t>
  </si>
  <si>
    <t>RESUMEN UT y CONSORCIOS</t>
  </si>
  <si>
    <t>“REALIZAR UNA EVALUACIÓN DE RESULTADOS DE LA ESTRATEGIA DE JUSTICIA ESCOLAR RESTAURATIVA IMPLEMENTADA POR LA SECRETARÍA DE EDUCACIÓN DISTRITAL”.</t>
  </si>
  <si>
    <t>SDP-CM-005-2024</t>
  </si>
  <si>
    <t>900.196.555-1</t>
  </si>
  <si>
    <t>CONSULTORES EN INFORMACION INFOMETRIKA SAS</t>
  </si>
  <si>
    <t>MEDIANA EMPRESA</t>
  </si>
  <si>
    <t>SI</t>
  </si>
  <si>
    <t>900.555.513-3</t>
  </si>
  <si>
    <t>PROYECTAMOS COLOMBIA SAS</t>
  </si>
  <si>
    <t>830.109.191-1</t>
  </si>
  <si>
    <t>OPORTUNIDAD ESTRATEGICA SAS</t>
  </si>
  <si>
    <t>PEQUEÑA EMPRESA</t>
  </si>
  <si>
    <t>830.044.030-1</t>
  </si>
  <si>
    <t>FUNDACION FORO CIVICO ESCUELA DE DEMOCRACIA, DERECHOS HUMANOS Y PARTICIPACION CIUDADANA</t>
  </si>
  <si>
    <t>900.103.559-2</t>
  </si>
  <si>
    <t>ECONOMIA URBANA SAS</t>
  </si>
  <si>
    <t>800.011.951-9</t>
  </si>
  <si>
    <t>GRAN EMPRESA</t>
  </si>
  <si>
    <t>CENTRO NACIONAL DE CONSULTORIA S A - CNC</t>
  </si>
  <si>
    <t>900.914.244-8</t>
  </si>
  <si>
    <t>PROINSO SF SAS  SIGLA PROINSO SF SAS</t>
  </si>
  <si>
    <t>PROINSO SF SAS  
SIGLA PROINSO SF SAS</t>
  </si>
  <si>
    <t>MICRO EMPRESA</t>
  </si>
  <si>
    <t>890.319.494-5</t>
  </si>
  <si>
    <t>IPSOS NAPOLEON FRANCO &amp; CIA SAS</t>
  </si>
  <si>
    <t>3-2024-36937</t>
  </si>
  <si>
    <t>Subsanó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</si>
</sst>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41" formatCode="_-* #,##0_-;\-* #,##0_-;_-* &quot;-&quot;_-;_-@_-"/>
    <numFmt numFmtId="164" formatCode="_ * #,##0.00_ ;_ * \-#,##0.00_ ;_ * &quot;-&quot;??_ ;_ @_ "/>
    <numFmt numFmtId="165" formatCode="_ &quot;$&quot;\ * #,##0_ ;_ &quot;$&quot;\ * \-#,##0_ ;_ &quot;$&quot;\ * &quot;-&quot;??_ ;_ @_ "/>
    <numFmt numFmtId="166" formatCode="#,##0.0_ ;\-#,##0.0\ "/>
    <numFmt numFmtId="167" formatCode="#,##0.00_ ;\-#,##0.00\ "/>
    <numFmt numFmtId="168" formatCode="_-* #,##0.00_-;\-* #,##0.00_-;_-* &quot;-&quot;_-;_-@_-"/>
    <numFmt numFmtId="169" formatCode="#,##0.0"/>
    <numFmt numFmtId="170" formatCode="dd/mm/yyyy"/>
    <numFmt numFmtId="171" formatCode="#,##0_ ;[Red]\-#,##0\ "/>
    <numFmt numFmtId="172" formatCode="0%\ \ \_xd83d_\_xdd3b_"/>
    <numFmt numFmtId="173" formatCode="#,##0_ \ \✔;[Red]\-#,##0\ \_xd83d_\_xdd3b_"/>
    <numFmt numFmtId="174" formatCode="#,##0,"/>
    <numFmt numFmtId="175" formatCode="&quot;$&quot;\ #,##0,;[Red]\-&quot;$&quot;\ #,##0,"/>
    <numFmt numFmtId="176" formatCode="#,##0.00_ ;[Red]\-#,##0.00\ "/>
  </numFmts>
  <fonts count="53" x14ac:knownFonts="1">
    <font>
      <sz val="10"/>
      <name val="Arial"/>
    </font>
    <font>
      <sz val="10"/>
      <name val="Arial"/>
      <family val="2"/>
    </font>
    <font>
      <b/>
      <sz val="10"/>
      <name val="Arial"/>
      <family val="2"/>
    </font>
    <font>
      <sz val="11"/>
      <color indexed="8"/>
      <name val="Arial"/>
      <family val="2"/>
    </font>
    <font>
      <sz val="8"/>
      <name val="Arial"/>
      <family val="2"/>
    </font>
    <font>
      <b/>
      <sz val="12"/>
      <color indexed="8"/>
      <name val="Arial"/>
      <family val="2"/>
    </font>
    <font>
      <b/>
      <sz val="11"/>
      <color indexed="8"/>
      <name val="Arial"/>
      <family val="2"/>
    </font>
    <font>
      <sz val="12"/>
      <name val="Arial"/>
      <family val="2"/>
    </font>
    <font>
      <b/>
      <sz val="11"/>
      <name val="Arial"/>
      <family val="2"/>
    </font>
    <font>
      <sz val="10"/>
      <color indexed="10"/>
      <name val="Arial"/>
      <family val="2"/>
    </font>
    <font>
      <i/>
      <sz val="11"/>
      <color indexed="8"/>
      <name val="Arial"/>
      <family val="2"/>
    </font>
    <font>
      <b/>
      <sz val="10"/>
      <color indexed="8"/>
      <name val="Arial"/>
      <family val="2"/>
    </font>
    <font>
      <sz val="11"/>
      <name val="Arial"/>
      <family val="2"/>
    </font>
    <font>
      <sz val="10"/>
      <name val="Arial"/>
      <family val="2"/>
    </font>
    <font>
      <sz val="11"/>
      <color theme="1"/>
      <name val="Arial"/>
      <family val="2"/>
    </font>
    <font>
      <b/>
      <sz val="13"/>
      <color indexed="8"/>
      <name val="Arial"/>
      <family val="2"/>
    </font>
    <font>
      <b/>
      <sz val="12"/>
      <name val="Arial"/>
      <family val="2"/>
    </font>
    <font>
      <b/>
      <sz val="12"/>
      <color theme="1"/>
      <name val="Arial"/>
      <family val="2"/>
    </font>
    <font>
      <b/>
      <i/>
      <sz val="12"/>
      <name val="Arial"/>
      <family val="2"/>
    </font>
    <font>
      <b/>
      <sz val="9"/>
      <name val="Arial"/>
      <family val="2"/>
    </font>
    <font>
      <i/>
      <sz val="11"/>
      <name val="Arial"/>
      <family val="2"/>
    </font>
    <font>
      <b/>
      <sz val="14"/>
      <color indexed="8"/>
      <name val="Arial"/>
      <family val="2"/>
    </font>
    <font>
      <b/>
      <sz val="14"/>
      <color theme="1"/>
      <name val="Arial"/>
      <family val="2"/>
    </font>
    <font>
      <b/>
      <sz val="16"/>
      <name val="Arial"/>
      <family val="2"/>
    </font>
    <font>
      <b/>
      <sz val="16"/>
      <color theme="1"/>
      <name val="Arial"/>
      <family val="2"/>
    </font>
    <font>
      <b/>
      <sz val="8"/>
      <name val="Arial"/>
      <family val="2"/>
    </font>
    <font>
      <sz val="8"/>
      <color rgb="FFFF0000"/>
      <name val="Arial"/>
      <family val="2"/>
    </font>
    <font>
      <b/>
      <sz val="8"/>
      <color rgb="FFFF0000"/>
      <name val="Arial"/>
      <family val="2"/>
    </font>
    <font>
      <sz val="9.5"/>
      <name val="Arial"/>
      <family val="2"/>
    </font>
    <font>
      <b/>
      <sz val="12"/>
      <color rgb="FFFF0000"/>
      <name val="Arial"/>
      <family val="2"/>
    </font>
    <font>
      <b/>
      <sz val="10.5"/>
      <color indexed="8"/>
      <name val="Arial"/>
      <family val="2"/>
    </font>
    <font>
      <b/>
      <sz val="7.5"/>
      <name val="Arial"/>
      <family val="2"/>
    </font>
    <font>
      <sz val="7.5"/>
      <name val="Arial"/>
      <family val="2"/>
    </font>
    <font>
      <b/>
      <sz val="8"/>
      <color theme="1"/>
      <name val="Arial"/>
      <family val="2"/>
    </font>
    <font>
      <sz val="9"/>
      <name val="Arial"/>
      <family val="2"/>
    </font>
    <font>
      <sz val="9"/>
      <color indexed="81"/>
      <name val="Tahoma"/>
      <family val="2"/>
    </font>
    <font>
      <b/>
      <sz val="9"/>
      <color indexed="81"/>
      <name val="Tahoma"/>
      <family val="2"/>
    </font>
    <font>
      <sz val="10"/>
      <color rgb="FF0070C0"/>
      <name val="Arial"/>
      <family val="2"/>
    </font>
    <font>
      <b/>
      <sz val="12"/>
      <color theme="2" tint="-9.9978637043366805E-2"/>
      <name val="Arial"/>
      <family val="2"/>
    </font>
    <font>
      <sz val="7"/>
      <name val="Arial"/>
      <family val="2"/>
    </font>
    <font>
      <b/>
      <i/>
      <sz val="10"/>
      <name val="Arial"/>
      <family val="2"/>
    </font>
    <font>
      <b/>
      <sz val="10"/>
      <color theme="2"/>
      <name val="Arial"/>
      <family val="2"/>
    </font>
    <font>
      <b/>
      <sz val="12"/>
      <color theme="2"/>
      <name val="Arial"/>
      <family val="2"/>
    </font>
    <font>
      <sz val="10"/>
      <color theme="2"/>
      <name val="Arial"/>
      <family val="2"/>
    </font>
    <font>
      <b/>
      <sz val="11"/>
      <color theme="1"/>
      <name val="Calibri"/>
      <family val="2"/>
      <scheme val="minor"/>
    </font>
    <font>
      <sz val="8"/>
      <color theme="1"/>
      <name val="Calibri"/>
      <family val="2"/>
      <scheme val="minor"/>
    </font>
    <font>
      <sz val="11"/>
      <color theme="0" tint="-4.9989318521683403E-2"/>
      <name val="Arial"/>
      <family val="2"/>
    </font>
    <font>
      <sz val="12"/>
      <color theme="0" tint="-4.9989318521683403E-2"/>
      <name val="Arial"/>
      <family val="2"/>
    </font>
    <font>
      <sz val="10"/>
      <color rgb="FFC00000"/>
      <name val="Arial"/>
      <family val="2"/>
    </font>
    <font>
      <b/>
      <sz val="12"/>
      <color theme="4" tint="0.79998168889431442"/>
      <name val="Arial"/>
      <family val="2"/>
    </font>
    <font>
      <sz val="10"/>
      <color rgb="FFFF0000"/>
      <name val="Arial"/>
      <family val="2"/>
    </font>
    <font>
      <b/>
      <i/>
      <u/>
      <sz val="12"/>
      <color indexed="8"/>
      <name val="Arial"/>
      <family val="2"/>
    </font>
    <font>
      <b/>
      <i/>
      <u/>
      <sz val="12"/>
      <name val="Arial"/>
      <family val="2"/>
    </font>
  </fonts>
  <fills count="14">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theme="2"/>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thin">
        <color indexed="64"/>
      </left>
      <right/>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right style="thin">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theme="0"/>
      </left>
      <right style="medium">
        <color indexed="64"/>
      </right>
      <top style="medium">
        <color indexed="64"/>
      </top>
      <bottom style="medium">
        <color indexed="64"/>
      </bottom>
      <diagonal/>
    </border>
    <border>
      <left style="medium">
        <color theme="0"/>
      </left>
      <right style="medium">
        <color theme="0"/>
      </right>
      <top style="medium">
        <color indexed="64"/>
      </top>
      <bottom style="medium">
        <color indexed="64"/>
      </bottom>
      <diagonal/>
    </border>
    <border>
      <left style="thin">
        <color rgb="FF0070C0"/>
      </left>
      <right style="thin">
        <color indexed="64"/>
      </right>
      <top style="thin">
        <color rgb="FF0070C0"/>
      </top>
      <bottom style="thin">
        <color rgb="FF0070C0"/>
      </bottom>
      <diagonal/>
    </border>
    <border>
      <left style="thin">
        <color indexed="64"/>
      </left>
      <right/>
      <top style="medium">
        <color indexed="64"/>
      </top>
      <bottom/>
      <diagonal/>
    </border>
    <border>
      <left/>
      <right/>
      <top style="thin">
        <color auto="1"/>
      </top>
      <bottom style="thin">
        <color auto="1"/>
      </bottom>
      <diagonal/>
    </border>
    <border>
      <left style="thin">
        <color rgb="FF00B050"/>
      </left>
      <right style="thin">
        <color indexed="64"/>
      </right>
      <top style="thin">
        <color rgb="FF00B050"/>
      </top>
      <bottom style="thin">
        <color rgb="FF00B050"/>
      </bottom>
      <diagonal/>
    </border>
    <border>
      <left style="thin">
        <color rgb="FF00B050"/>
      </left>
      <right style="thin">
        <color indexed="64"/>
      </right>
      <top style="thin">
        <color rgb="FF00B050"/>
      </top>
      <bottom/>
      <diagonal/>
    </border>
    <border>
      <left style="thin">
        <color rgb="FF00B050"/>
      </left>
      <right style="thin">
        <color indexed="64"/>
      </right>
      <top/>
      <bottom style="thin">
        <color rgb="FF00B050"/>
      </bottom>
      <diagonal/>
    </border>
    <border>
      <left style="thin">
        <color rgb="FF0070C0"/>
      </left>
      <right style="thin">
        <color indexed="64"/>
      </right>
      <top style="medium">
        <color rgb="FF0070C0"/>
      </top>
      <bottom style="thin">
        <color rgb="FF0070C0"/>
      </bottom>
      <diagonal/>
    </border>
    <border>
      <left style="thin">
        <color rgb="FF0070C0"/>
      </left>
      <right style="thin">
        <color indexed="64"/>
      </right>
      <top style="thin">
        <color rgb="FF0070C0"/>
      </top>
      <bottom style="medium">
        <color rgb="FF0070C0"/>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diagonalDown="1">
      <left style="thin">
        <color indexed="64"/>
      </left>
      <right style="thin">
        <color indexed="64"/>
      </right>
      <top style="thin">
        <color indexed="64"/>
      </top>
      <bottom style="medium">
        <color indexed="64"/>
      </bottom>
      <diagonal style="thin">
        <color indexed="64"/>
      </diagonal>
    </border>
    <border diagonalUp="1"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diagonalUp="1" diagonalDown="1">
      <left style="thin">
        <color indexed="64"/>
      </left>
      <right style="thin">
        <color indexed="64"/>
      </right>
      <top/>
      <bottom/>
      <diagonal style="thin">
        <color indexed="64"/>
      </diagonal>
    </border>
    <border diagonalUp="1" diagonalDown="1">
      <left style="thin">
        <color indexed="64"/>
      </left>
      <right style="thin">
        <color indexed="64"/>
      </right>
      <top style="thin">
        <color indexed="64"/>
      </top>
      <bottom/>
      <diagonal style="thin">
        <color indexed="64"/>
      </diagonal>
    </border>
    <border diagonalUp="1" diagonalDown="1">
      <left style="thin">
        <color indexed="64"/>
      </left>
      <right style="thin">
        <color indexed="64"/>
      </right>
      <top style="medium">
        <color indexed="64"/>
      </top>
      <bottom style="thin">
        <color indexed="64"/>
      </bottom>
      <diagonal style="thin">
        <color indexed="64"/>
      </diagonal>
    </border>
    <border diagonalUp="1" diagonalDown="1">
      <left style="thin">
        <color indexed="64"/>
      </left>
      <right style="thin">
        <color indexed="64"/>
      </right>
      <top/>
      <bottom style="medium">
        <color indexed="64"/>
      </bottom>
      <diagonal style="thin">
        <color indexed="64"/>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41" fontId="13" fillId="0" borderId="0" applyFont="0" applyFill="0" applyBorder="0" applyAlignment="0" applyProtection="0"/>
    <xf numFmtId="0" fontId="1" fillId="0" borderId="0"/>
  </cellStyleXfs>
  <cellXfs count="518">
    <xf numFmtId="0" fontId="0" fillId="0" borderId="0" xfId="0"/>
    <xf numFmtId="0" fontId="0" fillId="2" borderId="0" xfId="0" applyFill="1"/>
    <xf numFmtId="3" fontId="2" fillId="2" borderId="0" xfId="0" applyNumberFormat="1" applyFont="1" applyFill="1" applyAlignment="1">
      <alignment horizontal="center" vertical="center" wrapText="1"/>
    </xf>
    <xf numFmtId="2" fontId="0" fillId="2" borderId="0" xfId="0" applyNumberFormat="1" applyFill="1"/>
    <xf numFmtId="0" fontId="11" fillId="2" borderId="0" xfId="0" applyFont="1" applyFill="1"/>
    <xf numFmtId="0" fontId="9" fillId="0" borderId="0" xfId="0" applyFont="1" applyAlignment="1">
      <alignment vertical="center"/>
    </xf>
    <xf numFmtId="0" fontId="5" fillId="2" borderId="0" xfId="0" applyFont="1" applyFill="1"/>
    <xf numFmtId="0" fontId="0" fillId="2" borderId="0" xfId="0" applyFill="1" applyAlignment="1">
      <alignment vertical="center"/>
    </xf>
    <xf numFmtId="3" fontId="0" fillId="2" borderId="0" xfId="0" applyNumberFormat="1" applyFill="1"/>
    <xf numFmtId="6" fontId="0" fillId="2" borderId="0" xfId="0" applyNumberFormat="1" applyFill="1"/>
    <xf numFmtId="0" fontId="7" fillId="2" borderId="0" xfId="0" applyFont="1" applyFill="1"/>
    <xf numFmtId="6" fontId="7" fillId="2" borderId="0" xfId="0" applyNumberFormat="1" applyFont="1" applyFill="1"/>
    <xf numFmtId="3" fontId="12" fillId="3" borderId="4" xfId="0" applyNumberFormat="1" applyFont="1" applyFill="1" applyBorder="1" applyAlignment="1">
      <alignment horizontal="left" vertical="center" wrapText="1"/>
    </xf>
    <xf numFmtId="3" fontId="12" fillId="3" borderId="1" xfId="0" applyNumberFormat="1" applyFont="1" applyFill="1" applyBorder="1" applyAlignment="1">
      <alignment horizontal="left" vertical="center" wrapText="1"/>
    </xf>
    <xf numFmtId="0" fontId="16" fillId="2" borderId="0" xfId="0" applyFont="1" applyFill="1"/>
    <xf numFmtId="9" fontId="0" fillId="2" borderId="0" xfId="2" applyFont="1" applyFill="1" applyBorder="1"/>
    <xf numFmtId="0" fontId="16" fillId="3" borderId="0" xfId="0" applyFont="1" applyFill="1" applyAlignment="1">
      <alignment horizontal="center" vertical="center"/>
    </xf>
    <xf numFmtId="0" fontId="2" fillId="3" borderId="0" xfId="0" applyFont="1" applyFill="1" applyAlignment="1">
      <alignment horizontal="center" vertical="center" wrapText="1"/>
    </xf>
    <xf numFmtId="3" fontId="12" fillId="3" borderId="0" xfId="0" applyNumberFormat="1" applyFont="1" applyFill="1" applyAlignment="1">
      <alignment horizontal="left" vertical="center" wrapText="1"/>
    </xf>
    <xf numFmtId="165" fontId="3" fillId="3" borderId="0" xfId="0" applyNumberFormat="1" applyFont="1" applyFill="1" applyAlignment="1">
      <alignment vertical="center"/>
    </xf>
    <xf numFmtId="166" fontId="1" fillId="3" borderId="0" xfId="1" applyNumberFormat="1" applyFill="1" applyBorder="1" applyAlignment="1">
      <alignment horizontal="center" vertical="center"/>
    </xf>
    <xf numFmtId="9" fontId="1" fillId="3" borderId="0" xfId="2" applyFill="1" applyBorder="1" applyAlignment="1">
      <alignment horizontal="center" vertical="center"/>
    </xf>
    <xf numFmtId="10" fontId="17" fillId="3" borderId="0" xfId="2" applyNumberFormat="1" applyFont="1" applyFill="1" applyBorder="1" applyAlignment="1">
      <alignment horizontal="center" vertical="center" wrapText="1"/>
    </xf>
    <xf numFmtId="3" fontId="7" fillId="2" borderId="0" xfId="0" applyNumberFormat="1" applyFont="1" applyFill="1"/>
    <xf numFmtId="6" fontId="16" fillId="2" borderId="0" xfId="0" applyNumberFormat="1" applyFont="1" applyFill="1"/>
    <xf numFmtId="0" fontId="11" fillId="3" borderId="12" xfId="0" applyFont="1" applyFill="1" applyBorder="1"/>
    <xf numFmtId="0" fontId="18" fillId="3" borderId="0" xfId="0" applyFont="1" applyFill="1" applyAlignment="1">
      <alignment vertical="center" wrapText="1"/>
    </xf>
    <xf numFmtId="0" fontId="11" fillId="3" borderId="0" xfId="0" applyFont="1" applyFill="1"/>
    <xf numFmtId="0" fontId="6" fillId="4" borderId="1" xfId="0" applyFont="1" applyFill="1" applyBorder="1" applyAlignment="1">
      <alignment horizontal="center" vertical="center"/>
    </xf>
    <xf numFmtId="3" fontId="12" fillId="3" borderId="1" xfId="0" applyNumberFormat="1" applyFont="1" applyFill="1" applyBorder="1" applyAlignment="1">
      <alignment horizontal="right" vertical="center" wrapText="1"/>
    </xf>
    <xf numFmtId="3" fontId="12" fillId="3" borderId="36" xfId="0" applyNumberFormat="1" applyFont="1" applyFill="1" applyBorder="1" applyAlignment="1">
      <alignment horizontal="left" vertical="center" wrapText="1"/>
    </xf>
    <xf numFmtId="3" fontId="12" fillId="3" borderId="36" xfId="0" applyNumberFormat="1" applyFont="1" applyFill="1" applyBorder="1" applyAlignment="1">
      <alignment horizontal="right" vertical="center" wrapText="1"/>
    </xf>
    <xf numFmtId="0" fontId="0" fillId="0" borderId="0" xfId="0" applyAlignment="1">
      <alignment vertical="center"/>
    </xf>
    <xf numFmtId="0" fontId="0" fillId="0" borderId="1" xfId="0" applyBorder="1" applyAlignment="1">
      <alignment vertical="center"/>
    </xf>
    <xf numFmtId="0" fontId="1" fillId="0" borderId="1" xfId="0" applyFont="1" applyBorder="1" applyAlignment="1">
      <alignment horizontal="center" vertical="center"/>
    </xf>
    <xf numFmtId="0" fontId="1" fillId="2" borderId="0" xfId="0" applyFont="1" applyFill="1"/>
    <xf numFmtId="6" fontId="7" fillId="2" borderId="0" xfId="0" applyNumberFormat="1" applyFont="1" applyFill="1" applyAlignment="1">
      <alignment wrapText="1"/>
    </xf>
    <xf numFmtId="4" fontId="0" fillId="0" borderId="1" xfId="0" applyNumberFormat="1" applyBorder="1" applyAlignment="1">
      <alignment horizontal="center" vertical="center"/>
    </xf>
    <xf numFmtId="3" fontId="25" fillId="4" borderId="4" xfId="0" applyNumberFormat="1" applyFont="1" applyFill="1" applyBorder="1" applyAlignment="1">
      <alignment horizontal="center" vertical="center" wrapText="1"/>
    </xf>
    <xf numFmtId="2" fontId="25" fillId="4" borderId="4" xfId="0" applyNumberFormat="1" applyFont="1" applyFill="1" applyBorder="1" applyAlignment="1">
      <alignment horizontal="center" vertical="center" wrapText="1"/>
    </xf>
    <xf numFmtId="9" fontId="25" fillId="4" borderId="4" xfId="2" applyFont="1" applyFill="1" applyBorder="1" applyAlignment="1">
      <alignment horizontal="center" vertical="center" wrapText="1"/>
    </xf>
    <xf numFmtId="0" fontId="1" fillId="0" borderId="39" xfId="0" applyFont="1" applyBorder="1" applyAlignment="1">
      <alignment vertical="center"/>
    </xf>
    <xf numFmtId="0" fontId="0" fillId="0" borderId="38" xfId="0" applyBorder="1" applyAlignment="1">
      <alignment vertical="center"/>
    </xf>
    <xf numFmtId="1" fontId="17" fillId="3" borderId="37" xfId="2" applyNumberFormat="1" applyFont="1" applyFill="1" applyBorder="1" applyAlignment="1">
      <alignment horizontal="center" vertical="center"/>
    </xf>
    <xf numFmtId="0" fontId="7" fillId="2" borderId="26" xfId="0" applyFont="1" applyFill="1" applyBorder="1"/>
    <xf numFmtId="0" fontId="7" fillId="2" borderId="20" xfId="0" applyFont="1" applyFill="1" applyBorder="1"/>
    <xf numFmtId="0" fontId="7" fillId="2" borderId="29" xfId="0" applyFont="1" applyFill="1" applyBorder="1"/>
    <xf numFmtId="170" fontId="0" fillId="0" borderId="0" xfId="0" applyNumberFormat="1" applyAlignment="1">
      <alignment vertical="center"/>
    </xf>
    <xf numFmtId="10" fontId="16" fillId="3" borderId="17" xfId="2" applyNumberFormat="1" applyFont="1" applyFill="1" applyBorder="1" applyAlignment="1">
      <alignment horizontal="center" vertical="center" wrapText="1"/>
    </xf>
    <xf numFmtId="0" fontId="3" fillId="3" borderId="0" xfId="0" applyFont="1" applyFill="1" applyAlignment="1">
      <alignment horizontal="right" vertical="center"/>
    </xf>
    <xf numFmtId="0" fontId="20" fillId="3" borderId="0" xfId="0" applyFont="1" applyFill="1" applyAlignment="1">
      <alignment vertical="center"/>
    </xf>
    <xf numFmtId="0" fontId="10" fillId="3" borderId="0" xfId="0" applyFont="1" applyFill="1" applyAlignment="1">
      <alignment vertical="center"/>
    </xf>
    <xf numFmtId="6" fontId="7" fillId="3" borderId="0" xfId="0" applyNumberFormat="1" applyFont="1" applyFill="1"/>
    <xf numFmtId="0" fontId="12" fillId="3" borderId="0" xfId="0" applyFont="1" applyFill="1"/>
    <xf numFmtId="4" fontId="1" fillId="0" borderId="1" xfId="0" applyNumberFormat="1" applyFont="1" applyBorder="1" applyAlignment="1">
      <alignment horizontal="center" vertical="center"/>
    </xf>
    <xf numFmtId="0" fontId="0" fillId="0" borderId="40" xfId="0" applyBorder="1" applyAlignment="1">
      <alignment vertical="center"/>
    </xf>
    <xf numFmtId="170" fontId="0" fillId="0" borderId="40" xfId="0" applyNumberFormat="1" applyBorder="1" applyAlignment="1">
      <alignment vertical="center"/>
    </xf>
    <xf numFmtId="0" fontId="0" fillId="0" borderId="0" xfId="0" applyAlignment="1">
      <alignment horizontal="center" vertical="top" wrapText="1"/>
    </xf>
    <xf numFmtId="3" fontId="12" fillId="3" borderId="0" xfId="0" applyNumberFormat="1" applyFont="1" applyFill="1" applyAlignment="1">
      <alignment horizontal="right" vertical="center" wrapText="1"/>
    </xf>
    <xf numFmtId="167" fontId="12" fillId="3" borderId="0" xfId="1" applyNumberFormat="1" applyFont="1" applyFill="1" applyBorder="1" applyAlignment="1">
      <alignment horizontal="center" vertical="center"/>
    </xf>
    <xf numFmtId="9" fontId="12" fillId="3" borderId="0" xfId="2" applyFont="1" applyFill="1" applyBorder="1" applyAlignment="1">
      <alignment horizontal="center" vertical="center"/>
    </xf>
    <xf numFmtId="2" fontId="14" fillId="3" borderId="0" xfId="0" applyNumberFormat="1" applyFont="1" applyFill="1" applyAlignment="1">
      <alignment horizontal="center" vertical="center"/>
    </xf>
    <xf numFmtId="3" fontId="14" fillId="3" borderId="0" xfId="0" applyNumberFormat="1" applyFont="1" applyFill="1" applyAlignment="1">
      <alignment horizontal="center" vertical="center"/>
    </xf>
    <xf numFmtId="168" fontId="12" fillId="3" borderId="0" xfId="3" applyNumberFormat="1" applyFont="1" applyFill="1" applyBorder="1" applyAlignment="1">
      <alignment horizontal="center" vertical="center"/>
    </xf>
    <xf numFmtId="166" fontId="12" fillId="3" borderId="0" xfId="1" applyNumberFormat="1" applyFont="1" applyFill="1" applyBorder="1" applyAlignment="1">
      <alignment horizontal="center" vertical="center"/>
    </xf>
    <xf numFmtId="4" fontId="14" fillId="3" borderId="0" xfId="0" applyNumberFormat="1" applyFont="1" applyFill="1" applyAlignment="1">
      <alignment horizontal="center" vertical="center"/>
    </xf>
    <xf numFmtId="1" fontId="17" fillId="3" borderId="0" xfId="2" applyNumberFormat="1" applyFont="1" applyFill="1" applyBorder="1" applyAlignment="1">
      <alignment horizontal="center" vertical="center"/>
    </xf>
    <xf numFmtId="3" fontId="12" fillId="3" borderId="40" xfId="0" applyNumberFormat="1" applyFont="1" applyFill="1" applyBorder="1" applyAlignment="1">
      <alignment horizontal="right" vertical="center" wrapText="1"/>
    </xf>
    <xf numFmtId="0" fontId="7" fillId="2" borderId="0" xfId="0" applyFont="1" applyFill="1" applyAlignment="1">
      <alignment horizontal="center"/>
    </xf>
    <xf numFmtId="9" fontId="7" fillId="2" borderId="0" xfId="0" applyNumberFormat="1" applyFont="1" applyFill="1" applyAlignment="1">
      <alignment horizontal="center"/>
    </xf>
    <xf numFmtId="169" fontId="1" fillId="9" borderId="1" xfId="0" applyNumberFormat="1" applyFont="1" applyFill="1" applyBorder="1" applyAlignment="1">
      <alignment horizontal="center" vertical="center"/>
    </xf>
    <xf numFmtId="9" fontId="0" fillId="9" borderId="1" xfId="0" applyNumberFormat="1" applyFill="1" applyBorder="1" applyAlignment="1">
      <alignment horizontal="center" vertical="center"/>
    </xf>
    <xf numFmtId="3" fontId="0" fillId="9" borderId="1" xfId="0" applyNumberFormat="1" applyFill="1" applyBorder="1" applyAlignment="1">
      <alignment horizontal="center" vertical="center"/>
    </xf>
    <xf numFmtId="4" fontId="0" fillId="9" borderId="1" xfId="0" applyNumberFormat="1" applyFill="1" applyBorder="1" applyAlignment="1">
      <alignment horizontal="center" vertical="center"/>
    </xf>
    <xf numFmtId="0" fontId="1" fillId="0" borderId="1" xfId="0" applyFont="1" applyBorder="1" applyAlignment="1">
      <alignment horizontal="center" vertical="center" wrapText="1"/>
    </xf>
    <xf numFmtId="0" fontId="0" fillId="0" borderId="0" xfId="0" applyAlignment="1">
      <alignment vertical="center" wrapText="1"/>
    </xf>
    <xf numFmtId="172" fontId="0" fillId="0" borderId="1" xfId="0" applyNumberFormat="1" applyBorder="1" applyAlignment="1">
      <alignment horizontal="center" vertical="center"/>
    </xf>
    <xf numFmtId="171" fontId="1" fillId="0" borderId="40" xfId="0" applyNumberFormat="1" applyFont="1" applyBorder="1" applyAlignment="1">
      <alignment horizontal="center" vertical="center"/>
    </xf>
    <xf numFmtId="171" fontId="1" fillId="0" borderId="1" xfId="0" applyNumberFormat="1" applyFont="1" applyBorder="1" applyAlignment="1">
      <alignment horizontal="center" vertical="center"/>
    </xf>
    <xf numFmtId="1" fontId="0" fillId="6" borderId="40" xfId="0" applyNumberFormat="1" applyFill="1" applyBorder="1" applyAlignment="1">
      <alignment horizontal="center" vertical="center"/>
    </xf>
    <xf numFmtId="1" fontId="0" fillId="6" borderId="1" xfId="0" applyNumberFormat="1" applyFill="1" applyBorder="1" applyAlignment="1">
      <alignment horizontal="center" vertical="center"/>
    </xf>
    <xf numFmtId="173" fontId="0" fillId="0" borderId="1" xfId="0" applyNumberFormat="1" applyBorder="1" applyAlignment="1">
      <alignment horizontal="right" vertical="center"/>
    </xf>
    <xf numFmtId="0" fontId="1" fillId="0" borderId="0" xfId="0" applyFont="1" applyAlignment="1">
      <alignment vertical="center"/>
    </xf>
    <xf numFmtId="0" fontId="1" fillId="0" borderId="0" xfId="0" applyFont="1" applyAlignment="1">
      <alignment vertical="center" wrapText="1"/>
    </xf>
    <xf numFmtId="171" fontId="32" fillId="9" borderId="40" xfId="0" applyNumberFormat="1" applyFont="1" applyFill="1" applyBorder="1" applyAlignment="1">
      <alignment horizontal="right" vertical="center"/>
    </xf>
    <xf numFmtId="170" fontId="0" fillId="0" borderId="0" xfId="0" applyNumberFormat="1" applyAlignment="1">
      <alignment horizontal="right" vertical="center"/>
    </xf>
    <xf numFmtId="174" fontId="18" fillId="3" borderId="0" xfId="0" applyNumberFormat="1" applyFont="1" applyFill="1" applyAlignment="1">
      <alignment vertical="center" wrapText="1"/>
    </xf>
    <xf numFmtId="174" fontId="30" fillId="4" borderId="36" xfId="0" applyNumberFormat="1" applyFont="1" applyFill="1" applyBorder="1" applyAlignment="1">
      <alignment horizontal="center" vertical="center" wrapText="1"/>
    </xf>
    <xf numFmtId="174" fontId="12" fillId="3" borderId="1" xfId="0" applyNumberFormat="1" applyFont="1" applyFill="1" applyBorder="1" applyAlignment="1">
      <alignment horizontal="right" vertical="center" wrapText="1"/>
    </xf>
    <xf numFmtId="174" fontId="12" fillId="3" borderId="36" xfId="0" applyNumberFormat="1" applyFont="1" applyFill="1" applyBorder="1" applyAlignment="1">
      <alignment horizontal="right" vertical="center" wrapText="1"/>
    </xf>
    <xf numFmtId="174" fontId="12" fillId="3" borderId="0" xfId="0" applyNumberFormat="1" applyFont="1" applyFill="1" applyAlignment="1">
      <alignment horizontal="right" vertical="center" wrapText="1"/>
    </xf>
    <xf numFmtId="174" fontId="12" fillId="3" borderId="0" xfId="0" applyNumberFormat="1" applyFont="1" applyFill="1" applyAlignment="1">
      <alignment horizontal="left" vertical="center" wrapText="1"/>
    </xf>
    <xf numFmtId="174" fontId="7" fillId="2" borderId="28" xfId="0" applyNumberFormat="1" applyFont="1" applyFill="1" applyBorder="1" applyAlignment="1">
      <alignment horizontal="center"/>
    </xf>
    <xf numFmtId="174" fontId="7" fillId="2" borderId="23" xfId="0" applyNumberFormat="1" applyFont="1" applyFill="1" applyBorder="1" applyAlignment="1">
      <alignment horizontal="center"/>
    </xf>
    <xf numFmtId="174" fontId="7" fillId="2" borderId="0" xfId="0" applyNumberFormat="1" applyFont="1" applyFill="1"/>
    <xf numFmtId="174" fontId="20" fillId="3" borderId="0" xfId="0" applyNumberFormat="1" applyFont="1" applyFill="1" applyAlignment="1">
      <alignment vertical="center"/>
    </xf>
    <xf numFmtId="174" fontId="7" fillId="3" borderId="0" xfId="0" applyNumberFormat="1" applyFont="1" applyFill="1"/>
    <xf numFmtId="174" fontId="2" fillId="2" borderId="0" xfId="0" applyNumberFormat="1" applyFont="1" applyFill="1" applyAlignment="1">
      <alignment horizontal="center" vertical="center" wrapText="1"/>
    </xf>
    <xf numFmtId="174" fontId="0" fillId="2" borderId="0" xfId="0" applyNumberFormat="1" applyFill="1"/>
    <xf numFmtId="0" fontId="1" fillId="0" borderId="0" xfId="4"/>
    <xf numFmtId="0" fontId="1" fillId="0" borderId="1" xfId="4" applyBorder="1" applyAlignment="1">
      <alignment vertical="center"/>
    </xf>
    <xf numFmtId="171" fontId="34" fillId="0" borderId="40" xfId="4" applyNumberFormat="1" applyFont="1" applyBorder="1" applyAlignment="1">
      <alignment horizontal="right" vertical="center"/>
    </xf>
    <xf numFmtId="171" fontId="34" fillId="0" borderId="1" xfId="4" applyNumberFormat="1" applyFont="1" applyBorder="1" applyAlignment="1">
      <alignment horizontal="right" vertical="center"/>
    </xf>
    <xf numFmtId="171" fontId="32" fillId="0" borderId="1" xfId="4" applyNumberFormat="1" applyFont="1" applyBorder="1" applyAlignment="1">
      <alignment vertical="center"/>
    </xf>
    <xf numFmtId="171" fontId="34" fillId="0" borderId="1" xfId="4" applyNumberFormat="1" applyFont="1" applyBorder="1" applyAlignment="1">
      <alignment horizontal="right" vertical="center" wrapText="1"/>
    </xf>
    <xf numFmtId="0" fontId="7" fillId="2" borderId="0" xfId="0" applyFont="1" applyFill="1" applyAlignment="1">
      <alignment horizontal="right"/>
    </xf>
    <xf numFmtId="9" fontId="7" fillId="2" borderId="22" xfId="0" applyNumberFormat="1" applyFont="1" applyFill="1" applyBorder="1" applyAlignment="1">
      <alignment horizontal="center"/>
    </xf>
    <xf numFmtId="3" fontId="12" fillId="3" borderId="40" xfId="0" applyNumberFormat="1" applyFont="1" applyFill="1" applyBorder="1" applyAlignment="1">
      <alignment horizontal="left" vertical="center" wrapText="1"/>
    </xf>
    <xf numFmtId="3" fontId="12" fillId="3" borderId="4" xfId="0" applyNumberFormat="1" applyFont="1" applyFill="1" applyBorder="1" applyAlignment="1">
      <alignment horizontal="right" vertical="center" wrapText="1"/>
    </xf>
    <xf numFmtId="14" fontId="1" fillId="0" borderId="40" xfId="0" applyNumberFormat="1" applyFont="1" applyBorder="1" applyAlignment="1">
      <alignment horizontal="center" vertical="center"/>
    </xf>
    <xf numFmtId="14" fontId="1" fillId="0" borderId="1" xfId="0" applyNumberFormat="1" applyFont="1" applyBorder="1" applyAlignment="1">
      <alignment horizontal="center" vertical="center"/>
    </xf>
    <xf numFmtId="3" fontId="12" fillId="0" borderId="1" xfId="0" applyNumberFormat="1" applyFont="1" applyBorder="1" applyAlignment="1">
      <alignment horizontal="right" vertical="center" wrapText="1"/>
    </xf>
    <xf numFmtId="3" fontId="12" fillId="0" borderId="36" xfId="0" applyNumberFormat="1" applyFont="1" applyBorder="1" applyAlignment="1">
      <alignment horizontal="right" vertical="center" wrapText="1"/>
    </xf>
    <xf numFmtId="0" fontId="0" fillId="0" borderId="27" xfId="0" applyBorder="1" applyAlignment="1">
      <alignment vertical="center"/>
    </xf>
    <xf numFmtId="0" fontId="1" fillId="0" borderId="27" xfId="0" applyFont="1" applyBorder="1" applyAlignment="1">
      <alignment vertical="center"/>
    </xf>
    <xf numFmtId="0" fontId="0" fillId="0" borderId="28" xfId="0" applyBorder="1" applyAlignment="1">
      <alignment vertical="center"/>
    </xf>
    <xf numFmtId="0" fontId="0" fillId="0" borderId="30" xfId="0" applyBorder="1" applyAlignment="1">
      <alignment vertical="center"/>
    </xf>
    <xf numFmtId="0" fontId="0" fillId="0" borderId="22" xfId="0" applyBorder="1" applyAlignment="1">
      <alignment vertical="center"/>
    </xf>
    <xf numFmtId="3" fontId="12" fillId="0" borderId="40" xfId="0" applyNumberFormat="1" applyFont="1" applyBorder="1" applyAlignment="1">
      <alignment horizontal="right" vertical="center" wrapText="1"/>
    </xf>
    <xf numFmtId="0" fontId="16" fillId="4" borderId="3" xfId="0" applyFont="1" applyFill="1" applyBorder="1" applyAlignment="1">
      <alignment horizontal="center" vertical="center"/>
    </xf>
    <xf numFmtId="174" fontId="12" fillId="0" borderId="40" xfId="0" applyNumberFormat="1" applyFont="1" applyBorder="1" applyAlignment="1">
      <alignment horizontal="right" vertical="center" wrapText="1"/>
    </xf>
    <xf numFmtId="174" fontId="12" fillId="0" borderId="1" xfId="0" applyNumberFormat="1" applyFont="1" applyBorder="1" applyAlignment="1">
      <alignment horizontal="right" vertical="center" wrapText="1"/>
    </xf>
    <xf numFmtId="174" fontId="12" fillId="0" borderId="36" xfId="0" applyNumberFormat="1" applyFont="1" applyBorder="1" applyAlignment="1">
      <alignment horizontal="right" vertical="center" wrapText="1"/>
    </xf>
    <xf numFmtId="3" fontId="16" fillId="4" borderId="4" xfId="0" applyNumberFormat="1" applyFont="1" applyFill="1" applyBorder="1" applyAlignment="1">
      <alignment horizontal="left" vertical="center" wrapText="1"/>
    </xf>
    <xf numFmtId="174" fontId="16" fillId="4" borderId="4" xfId="0" applyNumberFormat="1" applyFont="1" applyFill="1" applyBorder="1" applyAlignment="1">
      <alignment horizontal="right" vertical="center" wrapText="1"/>
    </xf>
    <xf numFmtId="3" fontId="16" fillId="4" borderId="4" xfId="0" applyNumberFormat="1" applyFont="1" applyFill="1" applyBorder="1" applyAlignment="1">
      <alignment horizontal="right" vertical="center" wrapText="1"/>
    </xf>
    <xf numFmtId="167" fontId="16" fillId="4" borderId="4" xfId="1" applyNumberFormat="1" applyFont="1" applyFill="1" applyBorder="1" applyAlignment="1">
      <alignment horizontal="center" vertical="center"/>
    </xf>
    <xf numFmtId="9" fontId="16" fillId="4" borderId="4" xfId="2" applyFont="1" applyFill="1" applyBorder="1" applyAlignment="1">
      <alignment horizontal="center" vertical="center"/>
    </xf>
    <xf numFmtId="2" fontId="17" fillId="4" borderId="4" xfId="0" applyNumberFormat="1" applyFont="1" applyFill="1" applyBorder="1" applyAlignment="1">
      <alignment horizontal="center" vertical="center"/>
    </xf>
    <xf numFmtId="175" fontId="17" fillId="4" borderId="4" xfId="0" applyNumberFormat="1" applyFont="1" applyFill="1" applyBorder="1" applyAlignment="1">
      <alignment horizontal="center" vertical="center"/>
    </xf>
    <xf numFmtId="168" fontId="16" fillId="4" borderId="4" xfId="3" applyNumberFormat="1" applyFont="1" applyFill="1" applyBorder="1" applyAlignment="1">
      <alignment horizontal="center" vertical="center"/>
    </xf>
    <xf numFmtId="166" fontId="16" fillId="4" borderId="4" xfId="1" applyNumberFormat="1" applyFont="1" applyFill="1" applyBorder="1" applyAlignment="1">
      <alignment horizontal="center" vertical="center"/>
    </xf>
    <xf numFmtId="4" fontId="17" fillId="4" borderId="4" xfId="0" applyNumberFormat="1" applyFont="1" applyFill="1" applyBorder="1" applyAlignment="1">
      <alignment horizontal="center" vertical="center"/>
    </xf>
    <xf numFmtId="3" fontId="17" fillId="4" borderId="4" xfId="0" applyNumberFormat="1" applyFont="1" applyFill="1" applyBorder="1" applyAlignment="1">
      <alignment horizontal="center" vertical="center"/>
    </xf>
    <xf numFmtId="0" fontId="16" fillId="2" borderId="0" xfId="0" applyFont="1" applyFill="1" applyAlignment="1">
      <alignment vertical="center"/>
    </xf>
    <xf numFmtId="0" fontId="18" fillId="4" borderId="4" xfId="0" applyFont="1" applyFill="1" applyBorder="1" applyAlignment="1">
      <alignment horizontal="left" vertical="center"/>
    </xf>
    <xf numFmtId="0" fontId="1" fillId="0" borderId="1" xfId="0" applyFont="1" applyBorder="1" applyAlignment="1">
      <alignment vertical="center" wrapText="1"/>
    </xf>
    <xf numFmtId="0" fontId="1" fillId="0" borderId="1" xfId="0" applyFont="1" applyBorder="1" applyAlignment="1">
      <alignment vertical="center"/>
    </xf>
    <xf numFmtId="0" fontId="1" fillId="0" borderId="30" xfId="0" applyFont="1" applyBorder="1" applyAlignment="1">
      <alignment vertical="center"/>
    </xf>
    <xf numFmtId="9" fontId="12" fillId="3" borderId="7" xfId="2" applyFont="1" applyFill="1" applyBorder="1" applyAlignment="1">
      <alignment horizontal="center" vertical="center"/>
    </xf>
    <xf numFmtId="166" fontId="12" fillId="3" borderId="7" xfId="1" applyNumberFormat="1" applyFont="1" applyFill="1" applyBorder="1" applyAlignment="1">
      <alignment horizontal="center" vertical="center"/>
    </xf>
    <xf numFmtId="4" fontId="14" fillId="3" borderId="7" xfId="0" applyNumberFormat="1" applyFont="1" applyFill="1" applyBorder="1" applyAlignment="1">
      <alignment horizontal="center" vertical="center"/>
    </xf>
    <xf numFmtId="3" fontId="14" fillId="3" borderId="7" xfId="0" applyNumberFormat="1" applyFont="1" applyFill="1" applyBorder="1" applyAlignment="1">
      <alignment horizontal="center" vertical="center"/>
    </xf>
    <xf numFmtId="171" fontId="7" fillId="2" borderId="27" xfId="0" applyNumberFormat="1" applyFont="1" applyFill="1" applyBorder="1"/>
    <xf numFmtId="171" fontId="7" fillId="2" borderId="30" xfId="0" applyNumberFormat="1" applyFont="1" applyFill="1" applyBorder="1"/>
    <xf numFmtId="0" fontId="2" fillId="0" borderId="7" xfId="0" applyFont="1" applyBorder="1" applyAlignment="1">
      <alignment horizontal="center" vertical="center" wrapText="1"/>
    </xf>
    <xf numFmtId="10" fontId="2" fillId="0" borderId="7" xfId="0" applyNumberFormat="1" applyFont="1" applyBorder="1" applyAlignment="1">
      <alignment horizontal="center" vertical="center" wrapText="1"/>
    </xf>
    <xf numFmtId="10" fontId="38" fillId="3" borderId="17" xfId="2" applyNumberFormat="1" applyFont="1" applyFill="1" applyBorder="1" applyAlignment="1">
      <alignment horizontal="center" vertical="center" wrapText="1"/>
    </xf>
    <xf numFmtId="0" fontId="6" fillId="4" borderId="36" xfId="0" applyFont="1" applyFill="1" applyBorder="1" applyAlignment="1">
      <alignment horizontal="center" vertical="center" wrapText="1"/>
    </xf>
    <xf numFmtId="0" fontId="0" fillId="0" borderId="42" xfId="0" applyBorder="1" applyAlignment="1">
      <alignment horizontal="center" vertical="center" wrapText="1"/>
    </xf>
    <xf numFmtId="0" fontId="15" fillId="0" borderId="42" xfId="0" applyFont="1" applyBorder="1" applyAlignment="1">
      <alignment vertical="center"/>
    </xf>
    <xf numFmtId="0" fontId="15" fillId="0" borderId="41" xfId="0" applyFont="1" applyBorder="1" applyAlignment="1">
      <alignment vertical="center"/>
    </xf>
    <xf numFmtId="10" fontId="37" fillId="0" borderId="43" xfId="0" applyNumberFormat="1" applyFont="1" applyBorder="1" applyAlignment="1">
      <alignment vertical="center"/>
    </xf>
    <xf numFmtId="0" fontId="28" fillId="0" borderId="0" xfId="0" applyFont="1" applyAlignment="1">
      <alignment vertical="center" wrapText="1"/>
    </xf>
    <xf numFmtId="0" fontId="1" fillId="0" borderId="40" xfId="0" applyFont="1" applyBorder="1" applyAlignment="1">
      <alignment vertical="center"/>
    </xf>
    <xf numFmtId="1" fontId="0" fillId="6" borderId="2" xfId="0" applyNumberFormat="1" applyFill="1" applyBorder="1" applyAlignment="1">
      <alignment horizontal="center" vertical="center"/>
    </xf>
    <xf numFmtId="0" fontId="1" fillId="0" borderId="40" xfId="0" applyFont="1" applyBorder="1" applyAlignment="1">
      <alignment horizontal="center" vertical="center"/>
    </xf>
    <xf numFmtId="1" fontId="0" fillId="6" borderId="4" xfId="0" applyNumberFormat="1" applyFill="1" applyBorder="1" applyAlignment="1">
      <alignment horizontal="center" vertical="center"/>
    </xf>
    <xf numFmtId="1" fontId="0" fillId="6" borderId="36" xfId="0" applyNumberFormat="1" applyFill="1" applyBorder="1" applyAlignment="1">
      <alignment horizontal="center" vertical="center"/>
    </xf>
    <xf numFmtId="0" fontId="4" fillId="0" borderId="4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6" xfId="0" applyFont="1" applyBorder="1" applyAlignment="1">
      <alignment horizontal="center" vertical="center" wrapText="1"/>
    </xf>
    <xf numFmtId="10" fontId="16" fillId="4" borderId="17" xfId="2" applyNumberFormat="1" applyFont="1" applyFill="1" applyBorder="1" applyAlignment="1">
      <alignment horizontal="center" vertical="center" wrapText="1"/>
    </xf>
    <xf numFmtId="171" fontId="39" fillId="0" borderId="1" xfId="4" applyNumberFormat="1" applyFont="1" applyBorder="1" applyAlignment="1">
      <alignment vertical="center" wrapText="1"/>
    </xf>
    <xf numFmtId="0" fontId="40" fillId="0" borderId="0" xfId="0" applyFont="1" applyAlignment="1">
      <alignment vertical="center"/>
    </xf>
    <xf numFmtId="171" fontId="32" fillId="9" borderId="1" xfId="0" applyNumberFormat="1" applyFont="1" applyFill="1" applyBorder="1" applyAlignment="1">
      <alignment horizontal="left" vertical="center"/>
    </xf>
    <xf numFmtId="0" fontId="41" fillId="2" borderId="0" xfId="0" applyFont="1" applyFill="1"/>
    <xf numFmtId="0" fontId="41" fillId="3" borderId="0" xfId="0" applyFont="1" applyFill="1"/>
    <xf numFmtId="0" fontId="42" fillId="2" borderId="0" xfId="0" applyFont="1" applyFill="1"/>
    <xf numFmtId="3" fontId="41" fillId="2" borderId="0" xfId="0" applyNumberFormat="1" applyFont="1" applyFill="1" applyAlignment="1">
      <alignment horizontal="center" vertical="center" wrapText="1"/>
    </xf>
    <xf numFmtId="0" fontId="43" fillId="2" borderId="0" xfId="0" applyFont="1" applyFill="1" applyAlignment="1">
      <alignment vertical="center"/>
    </xf>
    <xf numFmtId="0" fontId="42" fillId="2" borderId="0" xfId="0" applyFont="1" applyFill="1" applyAlignment="1">
      <alignment vertical="center"/>
    </xf>
    <xf numFmtId="3" fontId="43" fillId="2" borderId="0" xfId="0" applyNumberFormat="1" applyFont="1" applyFill="1" applyAlignment="1">
      <alignment horizontal="left" vertical="center"/>
    </xf>
    <xf numFmtId="0" fontId="43" fillId="2" borderId="0" xfId="0" applyFont="1" applyFill="1"/>
    <xf numFmtId="4" fontId="16" fillId="4" borderId="4" xfId="3" applyNumberFormat="1" applyFont="1" applyFill="1" applyBorder="1" applyAlignment="1">
      <alignment horizontal="right" vertical="center"/>
    </xf>
    <xf numFmtId="0" fontId="0" fillId="0" borderId="26" xfId="0" applyBorder="1" applyAlignment="1">
      <alignment vertical="center"/>
    </xf>
    <xf numFmtId="0" fontId="0" fillId="0" borderId="29" xfId="0" applyBorder="1" applyAlignment="1">
      <alignment vertical="center"/>
    </xf>
    <xf numFmtId="168" fontId="12" fillId="3" borderId="1" xfId="3" applyNumberFormat="1" applyFont="1" applyFill="1" applyBorder="1" applyAlignment="1">
      <alignment horizontal="center" vertical="center"/>
    </xf>
    <xf numFmtId="0" fontId="21" fillId="5" borderId="5" xfId="0" applyFont="1" applyFill="1" applyBorder="1" applyAlignment="1">
      <alignment horizontal="center" vertical="center"/>
    </xf>
    <xf numFmtId="168" fontId="12" fillId="3" borderId="40" xfId="3" applyNumberFormat="1" applyFont="1" applyFill="1" applyBorder="1" applyAlignment="1">
      <alignment horizontal="center" vertical="center"/>
    </xf>
    <xf numFmtId="0" fontId="0" fillId="0" borderId="1" xfId="0" applyBorder="1" applyAlignment="1">
      <alignment horizontal="center" vertical="center" wrapText="1"/>
    </xf>
    <xf numFmtId="3" fontId="12" fillId="0" borderId="4" xfId="0" applyNumberFormat="1" applyFont="1" applyBorder="1" applyAlignment="1">
      <alignment horizontal="right" vertical="center" wrapText="1"/>
    </xf>
    <xf numFmtId="171" fontId="12" fillId="0" borderId="1" xfId="0" applyNumberFormat="1" applyFont="1" applyBorder="1" applyAlignment="1">
      <alignment horizontal="right" vertical="center" wrapText="1"/>
    </xf>
    <xf numFmtId="0" fontId="0" fillId="0" borderId="0" xfId="0" applyAlignment="1">
      <alignment horizontal="center" vertical="center" wrapText="1"/>
    </xf>
    <xf numFmtId="0" fontId="44" fillId="0" borderId="0" xfId="0" applyFont="1" applyAlignment="1">
      <alignment vertical="center" wrapText="1"/>
    </xf>
    <xf numFmtId="0" fontId="44" fillId="0" borderId="1" xfId="0" applyFont="1" applyBorder="1" applyAlignment="1">
      <alignment horizontal="center" vertical="center"/>
    </xf>
    <xf numFmtId="0" fontId="44" fillId="0" borderId="1" xfId="0" applyFont="1" applyBorder="1" applyAlignment="1">
      <alignment horizontal="center" vertical="center" wrapText="1"/>
    </xf>
    <xf numFmtId="176" fontId="0" fillId="0" borderId="1" xfId="0" applyNumberFormat="1" applyBorder="1" applyAlignment="1">
      <alignment horizontal="center" vertical="center"/>
    </xf>
    <xf numFmtId="0" fontId="0" fillId="0" borderId="1" xfId="0" applyBorder="1" applyAlignment="1">
      <alignment horizontal="center" vertical="center"/>
    </xf>
    <xf numFmtId="176" fontId="0" fillId="10" borderId="1" xfId="0" applyNumberFormat="1" applyFill="1" applyBorder="1" applyAlignment="1">
      <alignment horizontal="center" vertical="center"/>
    </xf>
    <xf numFmtId="0" fontId="0" fillId="11" borderId="1" xfId="0" applyFill="1" applyBorder="1" applyAlignment="1">
      <alignment horizontal="center" vertical="center"/>
    </xf>
    <xf numFmtId="0" fontId="44" fillId="0" borderId="1" xfId="0" applyFont="1" applyBorder="1" applyAlignment="1">
      <alignment vertical="center"/>
    </xf>
    <xf numFmtId="171" fontId="0" fillId="11" borderId="1" xfId="0" applyNumberFormat="1" applyFill="1" applyBorder="1" applyAlignment="1">
      <alignment horizontal="right" vertical="center"/>
    </xf>
    <xf numFmtId="176" fontId="45" fillId="0" borderId="1" xfId="0" applyNumberFormat="1" applyFont="1" applyBorder="1" applyAlignment="1">
      <alignment horizontal="justify" vertical="center" wrapText="1"/>
    </xf>
    <xf numFmtId="171" fontId="0" fillId="0" borderId="1" xfId="0" applyNumberFormat="1" applyBorder="1" applyAlignment="1">
      <alignment horizontal="right" vertical="center"/>
    </xf>
    <xf numFmtId="171" fontId="18" fillId="3" borderId="0" xfId="0" applyNumberFormat="1" applyFont="1" applyFill="1" applyAlignment="1">
      <alignment vertical="center" wrapText="1"/>
    </xf>
    <xf numFmtId="171" fontId="21" fillId="5" borderId="5" xfId="0" applyNumberFormat="1" applyFont="1" applyFill="1" applyBorder="1" applyAlignment="1">
      <alignment horizontal="center" vertical="center"/>
    </xf>
    <xf numFmtId="171" fontId="12" fillId="3" borderId="1" xfId="3" applyNumberFormat="1" applyFont="1" applyFill="1" applyBorder="1" applyAlignment="1">
      <alignment horizontal="center" vertical="center"/>
    </xf>
    <xf numFmtId="171" fontId="16" fillId="4" borderId="4" xfId="3" applyNumberFormat="1" applyFont="1" applyFill="1" applyBorder="1" applyAlignment="1">
      <alignment horizontal="right" vertical="center"/>
    </xf>
    <xf numFmtId="171" fontId="16" fillId="4" borderId="4" xfId="3" applyNumberFormat="1" applyFont="1" applyFill="1" applyBorder="1" applyAlignment="1">
      <alignment horizontal="center" vertical="center"/>
    </xf>
    <xf numFmtId="171" fontId="12" fillId="3" borderId="0" xfId="3" applyNumberFormat="1" applyFont="1" applyFill="1" applyBorder="1" applyAlignment="1">
      <alignment horizontal="center" vertical="center"/>
    </xf>
    <xf numFmtId="171" fontId="3" fillId="3" borderId="0" xfId="0" applyNumberFormat="1" applyFont="1" applyFill="1" applyAlignment="1">
      <alignment vertical="center"/>
    </xf>
    <xf numFmtId="171" fontId="7" fillId="2" borderId="0" xfId="0" applyNumberFormat="1" applyFont="1" applyFill="1"/>
    <xf numFmtId="171" fontId="16" fillId="2" borderId="0" xfId="0" applyNumberFormat="1" applyFont="1" applyFill="1"/>
    <xf numFmtId="171" fontId="0" fillId="2" borderId="0" xfId="0" applyNumberFormat="1" applyFill="1"/>
    <xf numFmtId="4" fontId="16" fillId="4" borderId="4" xfId="3" applyNumberFormat="1" applyFont="1" applyFill="1" applyBorder="1" applyAlignment="1">
      <alignment horizontal="center" vertical="center"/>
    </xf>
    <xf numFmtId="171" fontId="4" fillId="0" borderId="40" xfId="0" applyNumberFormat="1" applyFont="1" applyBorder="1" applyAlignment="1">
      <alignment horizontal="center" vertical="center" wrapText="1"/>
    </xf>
    <xf numFmtId="171" fontId="4" fillId="0" borderId="1" xfId="0" applyNumberFormat="1" applyFont="1" applyBorder="1" applyAlignment="1">
      <alignment horizontal="center" vertical="center" wrapText="1"/>
    </xf>
    <xf numFmtId="171" fontId="4" fillId="0" borderId="2" xfId="0" applyNumberFormat="1" applyFont="1" applyBorder="1" applyAlignment="1">
      <alignment horizontal="center" vertical="center" wrapText="1"/>
    </xf>
    <xf numFmtId="171" fontId="4" fillId="0" borderId="4" xfId="0" applyNumberFormat="1" applyFont="1" applyBorder="1" applyAlignment="1">
      <alignment horizontal="center" vertical="center" wrapText="1"/>
    </xf>
    <xf numFmtId="171" fontId="4" fillId="0" borderId="36" xfId="0" applyNumberFormat="1" applyFont="1" applyBorder="1" applyAlignment="1">
      <alignment horizontal="center" vertical="center" wrapText="1"/>
    </xf>
    <xf numFmtId="171" fontId="0" fillId="0" borderId="0" xfId="0" applyNumberFormat="1" applyAlignment="1">
      <alignment vertical="center"/>
    </xf>
    <xf numFmtId="171" fontId="4" fillId="0" borderId="2" xfId="0" applyNumberFormat="1" applyFont="1" applyBorder="1" applyAlignment="1">
      <alignment vertical="center" wrapText="1"/>
    </xf>
    <xf numFmtId="171" fontId="0" fillId="0" borderId="40" xfId="0" applyNumberFormat="1" applyBorder="1" applyAlignment="1">
      <alignment vertical="center" wrapText="1"/>
    </xf>
    <xf numFmtId="10" fontId="37" fillId="0" borderId="46" xfId="0" applyNumberFormat="1" applyFont="1" applyBorder="1" applyAlignment="1">
      <alignment vertical="center"/>
    </xf>
    <xf numFmtId="0" fontId="0" fillId="0" borderId="46" xfId="0" applyBorder="1" applyAlignment="1">
      <alignment vertical="center"/>
    </xf>
    <xf numFmtId="0" fontId="0" fillId="0" borderId="47" xfId="0" applyBorder="1" applyAlignment="1">
      <alignment vertical="center"/>
    </xf>
    <xf numFmtId="10" fontId="37" fillId="0" borderId="48" xfId="0" applyNumberFormat="1" applyFont="1" applyBorder="1" applyAlignment="1">
      <alignment vertical="center"/>
    </xf>
    <xf numFmtId="10" fontId="37" fillId="0" borderId="49" xfId="0" applyNumberFormat="1" applyFont="1" applyBorder="1" applyAlignment="1">
      <alignment vertical="center"/>
    </xf>
    <xf numFmtId="10" fontId="37" fillId="0" borderId="50" xfId="0" applyNumberFormat="1" applyFont="1" applyBorder="1" applyAlignment="1">
      <alignment vertical="center"/>
    </xf>
    <xf numFmtId="165" fontId="46" fillId="3" borderId="0" xfId="0" applyNumberFormat="1" applyFont="1" applyFill="1" applyAlignment="1">
      <alignment horizontal="center" vertical="center"/>
    </xf>
    <xf numFmtId="3" fontId="47" fillId="2" borderId="0" xfId="0" applyNumberFormat="1" applyFont="1" applyFill="1"/>
    <xf numFmtId="0" fontId="4" fillId="0" borderId="1" xfId="0" applyFont="1" applyBorder="1" applyAlignment="1">
      <alignment horizontal="right" vertical="center" wrapText="1"/>
    </xf>
    <xf numFmtId="0" fontId="16" fillId="4" borderId="54" xfId="0" applyFont="1" applyFill="1" applyBorder="1" applyAlignment="1">
      <alignment horizontal="center" vertical="center"/>
    </xf>
    <xf numFmtId="0" fontId="18" fillId="4" borderId="55" xfId="0" applyFont="1" applyFill="1" applyBorder="1" applyAlignment="1">
      <alignment horizontal="left" vertical="center"/>
    </xf>
    <xf numFmtId="3" fontId="16" fillId="4" borderId="55" xfId="0" applyNumberFormat="1" applyFont="1" applyFill="1" applyBorder="1" applyAlignment="1">
      <alignment horizontal="left" vertical="center" wrapText="1"/>
    </xf>
    <xf numFmtId="174" fontId="16" fillId="4" borderId="55" xfId="0" applyNumberFormat="1" applyFont="1" applyFill="1" applyBorder="1" applyAlignment="1">
      <alignment horizontal="right" vertical="center" wrapText="1"/>
    </xf>
    <xf numFmtId="3" fontId="16" fillId="4" borderId="55" xfId="0" applyNumberFormat="1" applyFont="1" applyFill="1" applyBorder="1" applyAlignment="1">
      <alignment horizontal="right" vertical="center" wrapText="1"/>
    </xf>
    <xf numFmtId="167" fontId="16" fillId="4" borderId="55" xfId="1" applyNumberFormat="1" applyFont="1" applyFill="1" applyBorder="1" applyAlignment="1">
      <alignment horizontal="center" vertical="center"/>
    </xf>
    <xf numFmtId="9" fontId="16" fillId="4" borderId="55" xfId="2" applyFont="1" applyFill="1" applyBorder="1" applyAlignment="1">
      <alignment horizontal="center" vertical="center"/>
    </xf>
    <xf numFmtId="2" fontId="17" fillId="4" borderId="55" xfId="0" applyNumberFormat="1" applyFont="1" applyFill="1" applyBorder="1" applyAlignment="1">
      <alignment horizontal="center" vertical="center"/>
    </xf>
    <xf numFmtId="175" fontId="17" fillId="4" borderId="55" xfId="0" applyNumberFormat="1" applyFont="1" applyFill="1" applyBorder="1" applyAlignment="1">
      <alignment horizontal="center" vertical="center"/>
    </xf>
    <xf numFmtId="2" fontId="16" fillId="4" borderId="55" xfId="3" applyNumberFormat="1" applyFont="1" applyFill="1" applyBorder="1" applyAlignment="1">
      <alignment horizontal="center" vertical="center"/>
    </xf>
    <xf numFmtId="4" fontId="16" fillId="4" borderId="55" xfId="3" applyNumberFormat="1" applyFont="1" applyFill="1" applyBorder="1" applyAlignment="1">
      <alignment horizontal="center" vertical="center"/>
    </xf>
    <xf numFmtId="4" fontId="16" fillId="4" borderId="55" xfId="3" applyNumberFormat="1" applyFont="1" applyFill="1" applyBorder="1" applyAlignment="1">
      <alignment horizontal="right" vertical="center"/>
    </xf>
    <xf numFmtId="171" fontId="16" fillId="4" borderId="55" xfId="3" applyNumberFormat="1" applyFont="1" applyFill="1" applyBorder="1" applyAlignment="1">
      <alignment horizontal="right" vertical="center"/>
    </xf>
    <xf numFmtId="166" fontId="16" fillId="4" borderId="55" xfId="1" applyNumberFormat="1" applyFont="1" applyFill="1" applyBorder="1" applyAlignment="1">
      <alignment horizontal="center" vertical="center"/>
    </xf>
    <xf numFmtId="4" fontId="17" fillId="4" borderId="55" xfId="0" applyNumberFormat="1" applyFont="1" applyFill="1" applyBorder="1" applyAlignment="1">
      <alignment horizontal="center" vertical="center"/>
    </xf>
    <xf numFmtId="3" fontId="17" fillId="4" borderId="55" xfId="0" applyNumberFormat="1" applyFont="1" applyFill="1" applyBorder="1" applyAlignment="1">
      <alignment horizontal="center" vertical="center"/>
    </xf>
    <xf numFmtId="171" fontId="34" fillId="3" borderId="40" xfId="3" applyNumberFormat="1" applyFont="1" applyFill="1" applyBorder="1" applyAlignment="1">
      <alignment horizontal="center" vertical="center"/>
    </xf>
    <xf numFmtId="0" fontId="0" fillId="0" borderId="45" xfId="0" applyBorder="1" applyAlignment="1">
      <alignment vertical="center"/>
    </xf>
    <xf numFmtId="0" fontId="1" fillId="0" borderId="38" xfId="0" applyFont="1" applyBorder="1" applyAlignment="1">
      <alignment vertical="center"/>
    </xf>
    <xf numFmtId="171" fontId="0" fillId="0" borderId="1" xfId="0" applyNumberFormat="1" applyBorder="1" applyAlignment="1">
      <alignment vertical="center"/>
    </xf>
    <xf numFmtId="14" fontId="0" fillId="0" borderId="1" xfId="0" applyNumberFormat="1" applyBorder="1" applyAlignment="1">
      <alignment vertical="center"/>
    </xf>
    <xf numFmtId="9" fontId="0" fillId="0" borderId="1" xfId="0" applyNumberFormat="1" applyBorder="1" applyAlignment="1">
      <alignment vertical="center"/>
    </xf>
    <xf numFmtId="0" fontId="0" fillId="12" borderId="1" xfId="0" applyFill="1" applyBorder="1" applyAlignment="1">
      <alignment horizontal="center" vertical="center"/>
    </xf>
    <xf numFmtId="171" fontId="32" fillId="9" borderId="29" xfId="0" applyNumberFormat="1" applyFont="1" applyFill="1" applyBorder="1" applyAlignment="1">
      <alignment horizontal="left" vertical="center"/>
    </xf>
    <xf numFmtId="171" fontId="0" fillId="12" borderId="1" xfId="0" applyNumberFormat="1" applyFill="1" applyBorder="1" applyAlignment="1">
      <alignment vertical="center"/>
    </xf>
    <xf numFmtId="0" fontId="0" fillId="8" borderId="1" xfId="0" applyFill="1" applyBorder="1" applyAlignment="1">
      <alignment horizontal="center" vertical="center"/>
    </xf>
    <xf numFmtId="171" fontId="0" fillId="8" borderId="1" xfId="0" applyNumberFormat="1" applyFill="1" applyBorder="1" applyAlignment="1">
      <alignment vertical="center"/>
    </xf>
    <xf numFmtId="14" fontId="0" fillId="8" borderId="1" xfId="0" applyNumberFormat="1" applyFill="1" applyBorder="1" applyAlignment="1">
      <alignment vertical="center"/>
    </xf>
    <xf numFmtId="9" fontId="0" fillId="8" borderId="1" xfId="0" applyNumberFormat="1" applyFill="1" applyBorder="1" applyAlignment="1">
      <alignment vertical="center"/>
    </xf>
    <xf numFmtId="0" fontId="1" fillId="8" borderId="1" xfId="0" applyFont="1" applyFill="1" applyBorder="1" applyAlignment="1">
      <alignment horizontal="center" vertical="center"/>
    </xf>
    <xf numFmtId="0" fontId="1" fillId="0" borderId="0" xfId="0" applyFont="1" applyAlignment="1">
      <alignment horizontal="right" vertical="center"/>
    </xf>
    <xf numFmtId="171" fontId="4" fillId="0" borderId="40" xfId="0" applyNumberFormat="1" applyFont="1" applyBorder="1" applyAlignment="1">
      <alignment horizontal="right" vertical="center" wrapText="1"/>
    </xf>
    <xf numFmtId="171" fontId="4" fillId="0" borderId="1" xfId="0" applyNumberFormat="1" applyFont="1" applyBorder="1" applyAlignment="1">
      <alignment horizontal="right" vertical="center" wrapText="1"/>
    </xf>
    <xf numFmtId="171" fontId="4" fillId="0" borderId="2" xfId="0" applyNumberFormat="1" applyFont="1" applyBorder="1" applyAlignment="1">
      <alignment horizontal="right" vertical="center" wrapText="1"/>
    </xf>
    <xf numFmtId="171" fontId="4" fillId="0" borderId="4" xfId="0" applyNumberFormat="1" applyFont="1" applyBorder="1" applyAlignment="1">
      <alignment horizontal="right" vertical="center" wrapText="1"/>
    </xf>
    <xf numFmtId="171" fontId="4" fillId="0" borderId="36" xfId="0" applyNumberFormat="1" applyFont="1" applyBorder="1" applyAlignment="1">
      <alignment horizontal="right" vertical="center" wrapText="1"/>
    </xf>
    <xf numFmtId="171" fontId="0" fillId="0" borderId="0" xfId="0" applyNumberFormat="1" applyAlignment="1">
      <alignment horizontal="right" vertical="center"/>
    </xf>
    <xf numFmtId="171" fontId="34" fillId="3" borderId="1" xfId="3" applyNumberFormat="1" applyFont="1" applyFill="1" applyBorder="1" applyAlignment="1">
      <alignment horizontal="center" vertical="center"/>
    </xf>
    <xf numFmtId="176" fontId="32" fillId="6" borderId="40" xfId="0" applyNumberFormat="1" applyFont="1" applyFill="1" applyBorder="1" applyAlignment="1">
      <alignment horizontal="center" vertical="center"/>
    </xf>
    <xf numFmtId="176" fontId="32" fillId="6" borderId="7" xfId="0" applyNumberFormat="1" applyFont="1" applyFill="1" applyBorder="1" applyAlignment="1">
      <alignment horizontal="center" vertical="center"/>
    </xf>
    <xf numFmtId="176" fontId="32" fillId="6" borderId="4" xfId="0" applyNumberFormat="1" applyFont="1" applyFill="1" applyBorder="1" applyAlignment="1">
      <alignment horizontal="center" vertical="center"/>
    </xf>
    <xf numFmtId="176" fontId="32" fillId="6" borderId="35" xfId="0" applyNumberFormat="1" applyFont="1" applyFill="1" applyBorder="1" applyAlignment="1">
      <alignment horizontal="center" vertical="center"/>
    </xf>
    <xf numFmtId="171" fontId="32" fillId="0" borderId="40" xfId="4" applyNumberFormat="1" applyFont="1" applyBorder="1" applyAlignment="1">
      <alignment horizontal="center" vertical="center"/>
    </xf>
    <xf numFmtId="0" fontId="25" fillId="0" borderId="0" xfId="4" applyFont="1"/>
    <xf numFmtId="0" fontId="32" fillId="0" borderId="0" xfId="4" applyFont="1"/>
    <xf numFmtId="171" fontId="19" fillId="0" borderId="1" xfId="4" applyNumberFormat="1" applyFont="1" applyBorder="1" applyAlignment="1">
      <alignment horizontal="center" vertical="center"/>
    </xf>
    <xf numFmtId="0" fontId="1" fillId="0" borderId="0" xfId="4" applyAlignment="1">
      <alignment vertical="center"/>
    </xf>
    <xf numFmtId="171" fontId="34" fillId="0" borderId="0" xfId="4" applyNumberFormat="1" applyFont="1" applyAlignment="1">
      <alignment horizontal="right" vertical="center"/>
    </xf>
    <xf numFmtId="171" fontId="32" fillId="0" borderId="0" xfId="4" applyNumberFormat="1" applyFont="1" applyAlignment="1">
      <alignment vertical="center"/>
    </xf>
    <xf numFmtId="171" fontId="1" fillId="8" borderId="1" xfId="0" applyNumberFormat="1" applyFont="1" applyFill="1" applyBorder="1" applyAlignment="1">
      <alignment vertical="center"/>
    </xf>
    <xf numFmtId="0" fontId="48" fillId="0" borderId="1" xfId="0" applyFont="1" applyBorder="1" applyAlignment="1">
      <alignment horizontal="center" vertical="center" wrapText="1"/>
    </xf>
    <xf numFmtId="171" fontId="37" fillId="0" borderId="1" xfId="0" applyNumberFormat="1" applyFont="1" applyBorder="1" applyAlignment="1">
      <alignment vertical="center"/>
    </xf>
    <xf numFmtId="171" fontId="0" fillId="12" borderId="1" xfId="0" applyNumberFormat="1" applyFill="1" applyBorder="1" applyAlignment="1">
      <alignment horizontal="center" vertical="center"/>
    </xf>
    <xf numFmtId="0" fontId="2" fillId="0" borderId="1" xfId="4" applyFont="1" applyBorder="1" applyAlignment="1">
      <alignment horizontal="center" vertical="center"/>
    </xf>
    <xf numFmtId="0" fontId="34" fillId="0" borderId="1" xfId="4" applyFont="1" applyBorder="1" applyAlignment="1">
      <alignment vertical="center"/>
    </xf>
    <xf numFmtId="0" fontId="32" fillId="0" borderId="1" xfId="4" applyFont="1" applyBorder="1" applyAlignment="1">
      <alignment vertical="center" wrapText="1"/>
    </xf>
    <xf numFmtId="176" fontId="32" fillId="0" borderId="1" xfId="4" applyNumberFormat="1" applyFont="1" applyBorder="1" applyAlignment="1">
      <alignment vertical="center"/>
    </xf>
    <xf numFmtId="0" fontId="32" fillId="0" borderId="1" xfId="4" applyFont="1" applyBorder="1" applyAlignment="1">
      <alignment vertical="center"/>
    </xf>
    <xf numFmtId="176" fontId="32" fillId="0" borderId="1" xfId="4" applyNumberFormat="1" applyFont="1" applyBorder="1" applyAlignment="1">
      <alignment horizontal="center" vertical="center"/>
    </xf>
    <xf numFmtId="176" fontId="4" fillId="13" borderId="40" xfId="0" applyNumberFormat="1" applyFont="1" applyFill="1" applyBorder="1" applyAlignment="1">
      <alignment horizontal="center" vertical="center" wrapText="1"/>
    </xf>
    <xf numFmtId="176" fontId="4" fillId="13" borderId="1" xfId="0" applyNumberFormat="1" applyFont="1" applyFill="1" applyBorder="1" applyAlignment="1">
      <alignment horizontal="center" vertical="center" wrapText="1"/>
    </xf>
    <xf numFmtId="176" fontId="4" fillId="13" borderId="2" xfId="0" applyNumberFormat="1" applyFont="1" applyFill="1" applyBorder="1" applyAlignment="1">
      <alignment horizontal="center" vertical="center" wrapText="1"/>
    </xf>
    <xf numFmtId="176" fontId="4" fillId="13" borderId="4" xfId="0" applyNumberFormat="1" applyFont="1" applyFill="1" applyBorder="1" applyAlignment="1">
      <alignment horizontal="center" vertical="center" wrapText="1"/>
    </xf>
    <xf numFmtId="176" fontId="4" fillId="13" borderId="36" xfId="0" applyNumberFormat="1" applyFont="1" applyFill="1" applyBorder="1" applyAlignment="1">
      <alignment horizontal="center" vertical="center" wrapText="1"/>
    </xf>
    <xf numFmtId="171" fontId="4" fillId="13" borderId="40" xfId="0" applyNumberFormat="1" applyFont="1" applyFill="1" applyBorder="1" applyAlignment="1">
      <alignment horizontal="right" vertical="center" wrapText="1"/>
    </xf>
    <xf numFmtId="171" fontId="4" fillId="13" borderId="1" xfId="0" applyNumberFormat="1" applyFont="1" applyFill="1" applyBorder="1" applyAlignment="1">
      <alignment horizontal="right" vertical="center" wrapText="1"/>
    </xf>
    <xf numFmtId="171" fontId="4" fillId="13" borderId="2" xfId="0" applyNumberFormat="1" applyFont="1" applyFill="1" applyBorder="1" applyAlignment="1">
      <alignment horizontal="right" vertical="center" wrapText="1"/>
    </xf>
    <xf numFmtId="171" fontId="4" fillId="13" borderId="4" xfId="0" applyNumberFormat="1" applyFont="1" applyFill="1" applyBorder="1" applyAlignment="1">
      <alignment horizontal="right" vertical="center" wrapText="1"/>
    </xf>
    <xf numFmtId="171" fontId="4" fillId="13" borderId="36" xfId="0" applyNumberFormat="1" applyFont="1" applyFill="1" applyBorder="1" applyAlignment="1">
      <alignment horizontal="right" vertical="center" wrapText="1"/>
    </xf>
    <xf numFmtId="0" fontId="4" fillId="0" borderId="40" xfId="0" applyFont="1" applyBorder="1" applyAlignment="1">
      <alignment horizontal="right" vertical="center" wrapText="1"/>
    </xf>
    <xf numFmtId="0" fontId="4" fillId="0" borderId="27" xfId="0" applyFont="1" applyBorder="1" applyAlignment="1">
      <alignment vertical="center"/>
    </xf>
    <xf numFmtId="0" fontId="4" fillId="0" borderId="30" xfId="0" applyFont="1" applyBorder="1" applyAlignment="1">
      <alignment vertical="center"/>
    </xf>
    <xf numFmtId="14" fontId="7" fillId="2" borderId="0" xfId="0" applyNumberFormat="1" applyFont="1" applyFill="1" applyAlignment="1">
      <alignment horizontal="center"/>
    </xf>
    <xf numFmtId="167" fontId="49" fillId="4" borderId="4" xfId="1" applyNumberFormat="1" applyFont="1" applyFill="1" applyBorder="1" applyAlignment="1">
      <alignment horizontal="center" vertical="center"/>
    </xf>
    <xf numFmtId="9" fontId="49" fillId="4" borderId="4" xfId="2" applyFont="1" applyFill="1" applyBorder="1" applyAlignment="1">
      <alignment horizontal="center" vertical="center"/>
    </xf>
    <xf numFmtId="2" fontId="49" fillId="4" borderId="4" xfId="0" applyNumberFormat="1" applyFont="1" applyFill="1" applyBorder="1" applyAlignment="1">
      <alignment horizontal="center" vertical="center"/>
    </xf>
    <xf numFmtId="175" fontId="49" fillId="4" borderId="4" xfId="0" applyNumberFormat="1" applyFont="1" applyFill="1" applyBorder="1" applyAlignment="1">
      <alignment horizontal="center" vertical="center"/>
    </xf>
    <xf numFmtId="168" fontId="49" fillId="4" borderId="4" xfId="3" applyNumberFormat="1" applyFont="1" applyFill="1" applyBorder="1" applyAlignment="1">
      <alignment horizontal="center" vertical="center"/>
    </xf>
    <xf numFmtId="170" fontId="0" fillId="8" borderId="7" xfId="0" applyNumberFormat="1" applyFill="1" applyBorder="1" applyAlignment="1">
      <alignment vertical="center"/>
    </xf>
    <xf numFmtId="0" fontId="4" fillId="0" borderId="39" xfId="0" applyFont="1" applyBorder="1" applyAlignment="1">
      <alignment vertical="center"/>
    </xf>
    <xf numFmtId="0" fontId="48" fillId="0" borderId="45" xfId="0" applyFont="1" applyBorder="1" applyAlignment="1">
      <alignment vertical="center"/>
    </xf>
    <xf numFmtId="0" fontId="51" fillId="3" borderId="0" xfId="0" applyFont="1" applyFill="1" applyAlignment="1">
      <alignment vertical="center"/>
    </xf>
    <xf numFmtId="0" fontId="52" fillId="3" borderId="0" xfId="0" applyFont="1" applyFill="1" applyAlignment="1">
      <alignment vertical="center"/>
    </xf>
    <xf numFmtId="0" fontId="1" fillId="0" borderId="1" xfId="0" applyFont="1" applyBorder="1" applyAlignment="1">
      <alignment horizontal="right" vertical="center"/>
    </xf>
    <xf numFmtId="0" fontId="0" fillId="3" borderId="0" xfId="0" applyFill="1"/>
    <xf numFmtId="0" fontId="9" fillId="3" borderId="0" xfId="0" applyFont="1" applyFill="1" applyAlignment="1">
      <alignment vertical="center"/>
    </xf>
    <xf numFmtId="3" fontId="2" fillId="3" borderId="0" xfId="0" applyNumberFormat="1" applyFont="1" applyFill="1" applyAlignment="1">
      <alignment horizontal="center" vertical="center" wrapText="1"/>
    </xf>
    <xf numFmtId="0" fontId="2" fillId="0" borderId="1" xfId="4" applyFont="1" applyBorder="1" applyAlignment="1">
      <alignment horizontal="center"/>
    </xf>
    <xf numFmtId="0" fontId="1" fillId="0" borderId="1" xfId="4" applyBorder="1"/>
    <xf numFmtId="3" fontId="7" fillId="0" borderId="0" xfId="0" applyNumberFormat="1" applyFont="1" applyAlignment="1">
      <alignment horizontal="center"/>
    </xf>
    <xf numFmtId="3" fontId="47" fillId="0" borderId="0" xfId="0" applyNumberFormat="1" applyFont="1"/>
    <xf numFmtId="0" fontId="7" fillId="0" borderId="0" xfId="0" applyFont="1"/>
    <xf numFmtId="170" fontId="0" fillId="0" borderId="57" xfId="0" applyNumberFormat="1" applyBorder="1" applyAlignment="1">
      <alignment vertical="center"/>
    </xf>
    <xf numFmtId="171" fontId="1" fillId="0" borderId="57" xfId="0" applyNumberFormat="1" applyFont="1" applyBorder="1" applyAlignment="1">
      <alignment horizontal="center" vertical="center"/>
    </xf>
    <xf numFmtId="171" fontId="32" fillId="9" borderId="57" xfId="0" applyNumberFormat="1" applyFont="1" applyFill="1" applyBorder="1" applyAlignment="1">
      <alignment horizontal="right" vertical="center"/>
    </xf>
    <xf numFmtId="14" fontId="1" fillId="0" borderId="57" xfId="0" applyNumberFormat="1" applyFont="1" applyBorder="1" applyAlignment="1">
      <alignment horizontal="center" vertical="center"/>
    </xf>
    <xf numFmtId="0" fontId="4" fillId="0" borderId="57" xfId="0" applyFont="1" applyBorder="1" applyAlignment="1">
      <alignment horizontal="center" vertical="center" wrapText="1"/>
    </xf>
    <xf numFmtId="170" fontId="0" fillId="0" borderId="58" xfId="0" applyNumberFormat="1" applyBorder="1" applyAlignment="1">
      <alignment vertical="center"/>
    </xf>
    <xf numFmtId="171" fontId="32" fillId="9" borderId="58" xfId="0" applyNumberFormat="1" applyFont="1" applyFill="1" applyBorder="1" applyAlignment="1">
      <alignment horizontal="right" vertical="center"/>
    </xf>
    <xf numFmtId="0" fontId="1" fillId="0" borderId="57" xfId="0" applyFont="1" applyBorder="1" applyAlignment="1">
      <alignment horizontal="center" vertical="center"/>
    </xf>
    <xf numFmtId="170" fontId="0" fillId="0" borderId="59" xfId="0" applyNumberFormat="1" applyBorder="1" applyAlignment="1">
      <alignment vertical="center"/>
    </xf>
    <xf numFmtId="171" fontId="1" fillId="0" borderId="60" xfId="0" applyNumberFormat="1" applyFont="1" applyBorder="1" applyAlignment="1">
      <alignment horizontal="center" vertical="center"/>
    </xf>
    <xf numFmtId="171" fontId="32" fillId="9" borderId="59" xfId="0" applyNumberFormat="1" applyFont="1" applyFill="1" applyBorder="1" applyAlignment="1">
      <alignment horizontal="right" vertical="center"/>
    </xf>
    <xf numFmtId="14" fontId="1" fillId="0" borderId="60" xfId="0" applyNumberFormat="1" applyFont="1" applyBorder="1" applyAlignment="1">
      <alignment horizontal="center" vertical="center"/>
    </xf>
    <xf numFmtId="0" fontId="1" fillId="0" borderId="60" xfId="0" applyFont="1" applyBorder="1" applyAlignment="1">
      <alignment horizontal="center" vertical="center"/>
    </xf>
    <xf numFmtId="0" fontId="4" fillId="0" borderId="60" xfId="0" applyFont="1" applyBorder="1" applyAlignment="1">
      <alignment horizontal="center" vertical="center" wrapText="1"/>
    </xf>
    <xf numFmtId="170" fontId="0" fillId="0" borderId="61" xfId="0" applyNumberFormat="1" applyBorder="1" applyAlignment="1">
      <alignment vertical="center"/>
    </xf>
    <xf numFmtId="171" fontId="1" fillId="0" borderId="61" xfId="0" applyNumberFormat="1" applyFont="1" applyBorder="1" applyAlignment="1">
      <alignment horizontal="center" vertical="center"/>
    </xf>
    <xf numFmtId="171" fontId="32" fillId="9" borderId="61" xfId="0" applyNumberFormat="1" applyFont="1" applyFill="1" applyBorder="1" applyAlignment="1">
      <alignment horizontal="right" vertical="center"/>
    </xf>
    <xf numFmtId="14" fontId="1" fillId="0" borderId="61" xfId="0" applyNumberFormat="1" applyFont="1" applyBorder="1" applyAlignment="1">
      <alignment horizontal="center" vertical="center"/>
    </xf>
    <xf numFmtId="0" fontId="1" fillId="0" borderId="61" xfId="0" applyFont="1" applyBorder="1" applyAlignment="1">
      <alignment horizontal="center" vertical="center"/>
    </xf>
    <xf numFmtId="0" fontId="4" fillId="0" borderId="61" xfId="0" applyFont="1" applyBorder="1" applyAlignment="1">
      <alignment horizontal="center" vertical="center" wrapText="1"/>
    </xf>
    <xf numFmtId="170" fontId="0" fillId="0" borderId="62" xfId="0" applyNumberFormat="1" applyBorder="1" applyAlignment="1">
      <alignment vertical="center"/>
    </xf>
    <xf numFmtId="171" fontId="1" fillId="0" borderId="56" xfId="0" applyNumberFormat="1" applyFont="1" applyBorder="1" applyAlignment="1">
      <alignment horizontal="center" vertical="center"/>
    </xf>
    <xf numFmtId="171" fontId="32" fillId="9" borderId="62" xfId="0" applyNumberFormat="1" applyFont="1" applyFill="1" applyBorder="1" applyAlignment="1">
      <alignment horizontal="right" vertical="center"/>
    </xf>
    <xf numFmtId="14" fontId="1" fillId="0" borderId="56" xfId="0" applyNumberFormat="1" applyFont="1" applyBorder="1" applyAlignment="1">
      <alignment horizontal="center" vertical="center"/>
    </xf>
    <xf numFmtId="0" fontId="1" fillId="0" borderId="56" xfId="0" applyFont="1" applyBorder="1" applyAlignment="1">
      <alignment horizontal="center" vertical="center"/>
    </xf>
    <xf numFmtId="0" fontId="4" fillId="0" borderId="56" xfId="0" applyFont="1" applyBorder="1" applyAlignment="1">
      <alignment horizontal="center" vertical="center" wrapText="1"/>
    </xf>
    <xf numFmtId="171" fontId="1" fillId="0" borderId="58" xfId="0" applyNumberFormat="1" applyFont="1" applyBorder="1" applyAlignment="1">
      <alignment horizontal="center" vertical="center"/>
    </xf>
    <xf numFmtId="14" fontId="1" fillId="0" borderId="58" xfId="0" applyNumberFormat="1" applyFont="1" applyBorder="1" applyAlignment="1">
      <alignment horizontal="center" vertical="center"/>
    </xf>
    <xf numFmtId="0" fontId="1" fillId="0" borderId="58" xfId="0" applyFont="1" applyBorder="1" applyAlignment="1">
      <alignment horizontal="center" vertical="center"/>
    </xf>
    <xf numFmtId="0" fontId="4" fillId="0" borderId="58" xfId="0" applyFont="1" applyBorder="1" applyAlignment="1">
      <alignment horizontal="center" vertical="center" wrapText="1"/>
    </xf>
    <xf numFmtId="170" fontId="0" fillId="0" borderId="56" xfId="0" applyNumberFormat="1" applyBorder="1" applyAlignment="1">
      <alignment vertical="center"/>
    </xf>
    <xf numFmtId="0" fontId="4" fillId="0" borderId="57" xfId="0" applyFont="1" applyBorder="1" applyAlignment="1">
      <alignment horizontal="right" vertical="center" wrapText="1"/>
    </xf>
    <xf numFmtId="0" fontId="1" fillId="0" borderId="57" xfId="0" applyFont="1" applyBorder="1" applyAlignment="1">
      <alignment horizontal="center" vertical="center" wrapText="1"/>
    </xf>
    <xf numFmtId="176" fontId="12" fillId="3" borderId="13" xfId="3" applyNumberFormat="1" applyFont="1" applyFill="1" applyBorder="1" applyAlignment="1">
      <alignment horizontal="center" vertical="center" wrapText="1"/>
    </xf>
    <xf numFmtId="176" fontId="1" fillId="0" borderId="7" xfId="0" applyNumberFormat="1" applyFont="1" applyBorder="1" applyAlignment="1">
      <alignment horizontal="center" vertical="center" wrapText="1"/>
    </xf>
    <xf numFmtId="176" fontId="1" fillId="0" borderId="40" xfId="0" applyNumberFormat="1" applyFont="1" applyBorder="1" applyAlignment="1">
      <alignment horizontal="center" vertical="center" wrapText="1"/>
    </xf>
    <xf numFmtId="176" fontId="0" fillId="0" borderId="7" xfId="0" applyNumberFormat="1" applyBorder="1" applyAlignment="1">
      <alignment horizontal="center" vertical="center" wrapText="1"/>
    </xf>
    <xf numFmtId="176" fontId="0" fillId="0" borderId="40" xfId="0" applyNumberFormat="1" applyBorder="1" applyAlignment="1">
      <alignment horizontal="center" vertical="center" wrapText="1"/>
    </xf>
    <xf numFmtId="168" fontId="12" fillId="3" borderId="26" xfId="3" applyNumberFormat="1" applyFont="1" applyFill="1" applyBorder="1" applyAlignment="1">
      <alignment horizontal="center" vertical="center" wrapText="1"/>
    </xf>
    <xf numFmtId="0" fontId="1" fillId="0" borderId="27"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51" xfId="0" applyFont="1" applyBorder="1" applyAlignment="1">
      <alignment horizontal="center"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0" fillId="0" borderId="53" xfId="0" applyBorder="1" applyAlignment="1">
      <alignment horizontal="center" vertical="center" wrapText="1"/>
    </xf>
    <xf numFmtId="0" fontId="8" fillId="3" borderId="2" xfId="0" applyFont="1" applyFill="1" applyBorder="1" applyAlignment="1">
      <alignment horizontal="center" wrapText="1"/>
    </xf>
    <xf numFmtId="0" fontId="0" fillId="0" borderId="7" xfId="0" applyBorder="1" applyAlignment="1">
      <alignment horizontal="center" wrapText="1"/>
    </xf>
    <xf numFmtId="0" fontId="16" fillId="3" borderId="14" xfId="0" applyFont="1" applyFill="1" applyBorder="1" applyAlignment="1">
      <alignment horizontal="center" vertical="center"/>
    </xf>
    <xf numFmtId="0" fontId="16" fillId="3" borderId="6" xfId="0" applyFont="1" applyFill="1" applyBorder="1" applyAlignment="1">
      <alignment horizontal="center" vertical="center"/>
    </xf>
    <xf numFmtId="0" fontId="16" fillId="3" borderId="34" xfId="0" applyFont="1" applyFill="1" applyBorder="1" applyAlignment="1">
      <alignment horizontal="center" vertical="center"/>
    </xf>
    <xf numFmtId="0" fontId="8" fillId="3" borderId="7" xfId="0" applyFont="1" applyFill="1" applyBorder="1" applyAlignment="1">
      <alignment horizontal="center" vertical="top" wrapText="1"/>
    </xf>
    <xf numFmtId="0" fontId="0" fillId="0" borderId="35" xfId="0" applyBorder="1" applyAlignment="1">
      <alignment horizontal="center" vertical="top" wrapText="1"/>
    </xf>
    <xf numFmtId="10" fontId="17" fillId="3" borderId="8" xfId="2" applyNumberFormat="1" applyFont="1" applyFill="1" applyBorder="1" applyAlignment="1">
      <alignment horizontal="center" vertical="center" wrapText="1"/>
    </xf>
    <xf numFmtId="0" fontId="0" fillId="0" borderId="8" xfId="0" applyBorder="1" applyAlignment="1">
      <alignment horizontal="center" vertical="center" wrapText="1"/>
    </xf>
    <xf numFmtId="167" fontId="12" fillId="3" borderId="40" xfId="1" applyNumberFormat="1" applyFont="1" applyFill="1" applyBorder="1" applyAlignment="1">
      <alignment horizontal="center" vertical="center"/>
    </xf>
    <xf numFmtId="167" fontId="12" fillId="3" borderId="1" xfId="1" applyNumberFormat="1" applyFont="1" applyFill="1" applyBorder="1" applyAlignment="1">
      <alignment horizontal="center" vertical="center"/>
    </xf>
    <xf numFmtId="167" fontId="12" fillId="3" borderId="36" xfId="1" applyNumberFormat="1" applyFont="1" applyFill="1" applyBorder="1" applyAlignment="1">
      <alignment horizontal="center" vertical="center"/>
    </xf>
    <xf numFmtId="9" fontId="12" fillId="3" borderId="40" xfId="2" applyFont="1" applyFill="1" applyBorder="1" applyAlignment="1">
      <alignment horizontal="center" vertical="center"/>
    </xf>
    <xf numFmtId="9" fontId="12" fillId="3" borderId="1" xfId="2" applyFont="1" applyFill="1" applyBorder="1" applyAlignment="1">
      <alignment horizontal="center" vertical="center"/>
    </xf>
    <xf numFmtId="9" fontId="12" fillId="3" borderId="36" xfId="2" applyFont="1" applyFill="1" applyBorder="1" applyAlignment="1">
      <alignment horizontal="center" vertical="center"/>
    </xf>
    <xf numFmtId="2" fontId="14" fillId="3" borderId="40" xfId="0" applyNumberFormat="1" applyFont="1" applyFill="1" applyBorder="1" applyAlignment="1">
      <alignment horizontal="center" vertical="center"/>
    </xf>
    <xf numFmtId="2" fontId="14" fillId="3" borderId="1" xfId="0" applyNumberFormat="1" applyFont="1" applyFill="1" applyBorder="1" applyAlignment="1">
      <alignment horizontal="center" vertical="center"/>
    </xf>
    <xf numFmtId="2" fontId="14" fillId="3" borderId="36" xfId="0" applyNumberFormat="1" applyFont="1" applyFill="1" applyBorder="1" applyAlignment="1">
      <alignment horizontal="center" vertical="center"/>
    </xf>
    <xf numFmtId="175" fontId="14" fillId="0" borderId="40" xfId="0" applyNumberFormat="1" applyFont="1" applyBorder="1" applyAlignment="1">
      <alignment horizontal="center" vertical="center"/>
    </xf>
    <xf numFmtId="175" fontId="14" fillId="0" borderId="1" xfId="0" applyNumberFormat="1" applyFont="1" applyBorder="1" applyAlignment="1">
      <alignment horizontal="center" vertical="center"/>
    </xf>
    <xf numFmtId="175" fontId="14" fillId="0" borderId="36" xfId="0" applyNumberFormat="1" applyFont="1" applyBorder="1" applyAlignment="1">
      <alignment horizontal="center" vertical="center"/>
    </xf>
    <xf numFmtId="168" fontId="12" fillId="3" borderId="40" xfId="3" applyNumberFormat="1" applyFont="1" applyFill="1" applyBorder="1" applyAlignment="1">
      <alignment horizontal="center" vertical="center"/>
    </xf>
    <xf numFmtId="168" fontId="12" fillId="3" borderId="1" xfId="3" applyNumberFormat="1" applyFont="1" applyFill="1" applyBorder="1" applyAlignment="1">
      <alignment horizontal="center" vertical="center"/>
    </xf>
    <xf numFmtId="168" fontId="12" fillId="3" borderId="36" xfId="3" applyNumberFormat="1" applyFont="1" applyFill="1" applyBorder="1" applyAlignment="1">
      <alignment horizontal="center" vertical="center"/>
    </xf>
    <xf numFmtId="175" fontId="14" fillId="3" borderId="1" xfId="0" applyNumberFormat="1" applyFont="1" applyFill="1" applyBorder="1" applyAlignment="1">
      <alignment horizontal="center" vertical="center"/>
    </xf>
    <xf numFmtId="175" fontId="14" fillId="3" borderId="36" xfId="0" applyNumberFormat="1" applyFont="1" applyFill="1" applyBorder="1" applyAlignment="1">
      <alignment horizontal="center" vertical="center"/>
    </xf>
    <xf numFmtId="166" fontId="12" fillId="3" borderId="1" xfId="1" applyNumberFormat="1" applyFont="1" applyFill="1" applyBorder="1" applyAlignment="1">
      <alignment horizontal="center" vertical="center"/>
    </xf>
    <xf numFmtId="166" fontId="12" fillId="3" borderId="36" xfId="1" applyNumberFormat="1" applyFont="1" applyFill="1" applyBorder="1" applyAlignment="1">
      <alignment horizontal="center" vertical="center"/>
    </xf>
    <xf numFmtId="0" fontId="14" fillId="3" borderId="1" xfId="0" applyFont="1" applyFill="1" applyBorder="1" applyAlignment="1">
      <alignment horizontal="center" vertical="center"/>
    </xf>
    <xf numFmtId="4" fontId="14" fillId="3" borderId="1" xfId="0" applyNumberFormat="1" applyFont="1" applyFill="1" applyBorder="1" applyAlignment="1">
      <alignment horizontal="center" vertical="center"/>
    </xf>
    <xf numFmtId="4" fontId="14" fillId="3" borderId="36" xfId="0" applyNumberFormat="1" applyFont="1" applyFill="1" applyBorder="1" applyAlignment="1">
      <alignment horizontal="center" vertical="center"/>
    </xf>
    <xf numFmtId="3" fontId="14" fillId="3" borderId="1" xfId="0" applyNumberFormat="1" applyFont="1" applyFill="1" applyBorder="1" applyAlignment="1">
      <alignment horizontal="center" vertical="center"/>
    </xf>
    <xf numFmtId="3" fontId="14" fillId="3" borderId="36" xfId="0" applyNumberFormat="1" applyFont="1" applyFill="1" applyBorder="1" applyAlignment="1">
      <alignment horizontal="center" vertical="center"/>
    </xf>
    <xf numFmtId="0" fontId="8" fillId="3" borderId="13" xfId="0" applyFont="1" applyFill="1" applyBorder="1" applyAlignment="1">
      <alignment horizontal="center" wrapText="1"/>
    </xf>
    <xf numFmtId="2" fontId="12" fillId="3" borderId="1" xfId="0" applyNumberFormat="1" applyFont="1" applyFill="1" applyBorder="1" applyAlignment="1">
      <alignment horizontal="center" vertical="center"/>
    </xf>
    <xf numFmtId="2" fontId="12" fillId="3" borderId="36" xfId="0" applyNumberFormat="1" applyFont="1" applyFill="1" applyBorder="1" applyAlignment="1">
      <alignment horizontal="center" vertical="center"/>
    </xf>
    <xf numFmtId="175" fontId="12" fillId="3" borderId="1" xfId="0" applyNumberFormat="1" applyFont="1" applyFill="1" applyBorder="1" applyAlignment="1">
      <alignment horizontal="center" vertical="center"/>
    </xf>
    <xf numFmtId="175" fontId="12" fillId="3" borderId="36" xfId="0" applyNumberFormat="1" applyFont="1" applyFill="1" applyBorder="1" applyAlignment="1">
      <alignment horizontal="center" vertical="center"/>
    </xf>
    <xf numFmtId="0" fontId="12" fillId="3" borderId="1" xfId="0" applyFont="1" applyFill="1" applyBorder="1" applyAlignment="1">
      <alignment horizontal="center" vertical="center"/>
    </xf>
    <xf numFmtId="4" fontId="12" fillId="3" borderId="1" xfId="0" applyNumberFormat="1" applyFont="1" applyFill="1" applyBorder="1" applyAlignment="1">
      <alignment horizontal="center" vertical="center"/>
    </xf>
    <xf numFmtId="4" fontId="12" fillId="3" borderId="36" xfId="0" applyNumberFormat="1" applyFont="1" applyFill="1" applyBorder="1" applyAlignment="1">
      <alignment horizontal="center" vertical="center"/>
    </xf>
    <xf numFmtId="3" fontId="12" fillId="3" borderId="1" xfId="0" applyNumberFormat="1" applyFont="1" applyFill="1" applyBorder="1" applyAlignment="1">
      <alignment horizontal="center" vertical="center"/>
    </xf>
    <xf numFmtId="3" fontId="12" fillId="3" borderId="36" xfId="0" applyNumberFormat="1" applyFont="1" applyFill="1" applyBorder="1" applyAlignment="1">
      <alignment horizontal="center" vertical="center"/>
    </xf>
    <xf numFmtId="0" fontId="8" fillId="3" borderId="7" xfId="0" applyFont="1" applyFill="1" applyBorder="1" applyAlignment="1">
      <alignment horizontal="center" wrapText="1"/>
    </xf>
    <xf numFmtId="175" fontId="14" fillId="3" borderId="40" xfId="0" applyNumberFormat="1" applyFont="1" applyFill="1" applyBorder="1" applyAlignment="1">
      <alignment horizontal="center" vertical="center"/>
    </xf>
    <xf numFmtId="166" fontId="12" fillId="3" borderId="40" xfId="1" applyNumberFormat="1" applyFont="1" applyFill="1" applyBorder="1" applyAlignment="1">
      <alignment horizontal="center" vertical="center"/>
    </xf>
    <xf numFmtId="0" fontId="14" fillId="3" borderId="40" xfId="0" applyFont="1" applyFill="1" applyBorder="1" applyAlignment="1">
      <alignment horizontal="center" vertical="center"/>
    </xf>
    <xf numFmtId="3" fontId="14" fillId="3" borderId="40" xfId="0" applyNumberFormat="1" applyFont="1" applyFill="1" applyBorder="1" applyAlignment="1">
      <alignment horizontal="center" vertical="center"/>
    </xf>
    <xf numFmtId="2" fontId="12" fillId="3" borderId="40" xfId="0" applyNumberFormat="1" applyFont="1" applyFill="1" applyBorder="1" applyAlignment="1">
      <alignment horizontal="center" vertical="center"/>
    </xf>
    <xf numFmtId="175" fontId="12" fillId="0" borderId="40" xfId="0" applyNumberFormat="1" applyFont="1" applyBorder="1" applyAlignment="1">
      <alignment horizontal="center" vertical="center"/>
    </xf>
    <xf numFmtId="175" fontId="12" fillId="0" borderId="1" xfId="0" applyNumberFormat="1" applyFont="1" applyBorder="1" applyAlignment="1">
      <alignment horizontal="center" vertical="center"/>
    </xf>
    <xf numFmtId="175" fontId="12" fillId="0" borderId="36" xfId="0" applyNumberFormat="1" applyFont="1" applyBorder="1" applyAlignment="1">
      <alignment horizontal="center" vertical="center"/>
    </xf>
    <xf numFmtId="0" fontId="23" fillId="2" borderId="9" xfId="0" applyFont="1" applyFill="1" applyBorder="1" applyAlignment="1">
      <alignment horizontal="center"/>
    </xf>
    <xf numFmtId="0" fontId="23" fillId="2" borderId="10" xfId="0" applyFont="1" applyFill="1" applyBorder="1" applyAlignment="1">
      <alignment horizontal="center"/>
    </xf>
    <xf numFmtId="0" fontId="23" fillId="2" borderId="11" xfId="0" applyFont="1" applyFill="1" applyBorder="1" applyAlignment="1">
      <alignment horizontal="center"/>
    </xf>
    <xf numFmtId="3" fontId="2" fillId="4" borderId="3" xfId="0" applyNumberFormat="1" applyFont="1" applyFill="1" applyBorder="1" applyAlignment="1">
      <alignment horizontal="center" vertical="center" wrapText="1"/>
    </xf>
    <xf numFmtId="3" fontId="2" fillId="4" borderId="33" xfId="0" applyNumberFormat="1" applyFont="1" applyFill="1" applyBorder="1" applyAlignment="1">
      <alignment horizontal="center" vertical="center" wrapText="1"/>
    </xf>
    <xf numFmtId="3" fontId="2" fillId="4" borderId="4" xfId="0" applyNumberFormat="1" applyFont="1" applyFill="1" applyBorder="1" applyAlignment="1">
      <alignment horizontal="center" vertical="center" wrapText="1"/>
    </xf>
    <xf numFmtId="3" fontId="2" fillId="4" borderId="1" xfId="0" applyNumberFormat="1" applyFont="1" applyFill="1" applyBorder="1" applyAlignment="1">
      <alignment horizontal="center" vertical="center" wrapText="1"/>
    </xf>
    <xf numFmtId="9" fontId="19" fillId="4" borderId="4" xfId="2" applyFont="1" applyFill="1" applyBorder="1" applyAlignment="1">
      <alignment horizontal="center" vertical="center" wrapText="1"/>
    </xf>
    <xf numFmtId="9" fontId="19" fillId="4" borderId="2" xfId="2" applyFont="1" applyFill="1" applyBorder="1" applyAlignment="1">
      <alignment horizontal="center" vertical="center" wrapText="1"/>
    </xf>
    <xf numFmtId="9" fontId="19" fillId="4" borderId="31" xfId="2" applyFont="1" applyFill="1" applyBorder="1" applyAlignment="1">
      <alignment horizontal="center" vertical="center" wrapText="1"/>
    </xf>
    <xf numFmtId="9" fontId="19" fillId="4" borderId="26" xfId="2" applyFont="1" applyFill="1" applyBorder="1" applyAlignment="1">
      <alignment horizontal="center" vertical="center" wrapText="1"/>
    </xf>
    <xf numFmtId="3" fontId="19" fillId="4" borderId="4" xfId="0" applyNumberFormat="1" applyFont="1" applyFill="1" applyBorder="1" applyAlignment="1">
      <alignment horizontal="center" vertical="center" wrapText="1"/>
    </xf>
    <xf numFmtId="3" fontId="19" fillId="4" borderId="2" xfId="0" applyNumberFormat="1" applyFont="1" applyFill="1" applyBorder="1" applyAlignment="1">
      <alignment horizontal="center" vertical="center" wrapText="1"/>
    </xf>
    <xf numFmtId="2" fontId="19" fillId="4" borderId="4" xfId="0" applyNumberFormat="1" applyFont="1" applyFill="1" applyBorder="1" applyAlignment="1">
      <alignment horizontal="center" vertical="center" wrapText="1"/>
    </xf>
    <xf numFmtId="2" fontId="19" fillId="4" borderId="2" xfId="0" applyNumberFormat="1" applyFont="1" applyFill="1" applyBorder="1" applyAlignment="1">
      <alignment horizontal="center" vertical="center" wrapText="1"/>
    </xf>
    <xf numFmtId="0" fontId="11" fillId="3" borderId="0" xfId="0" applyFont="1" applyFill="1" applyAlignment="1">
      <alignment horizontal="center" wrapText="1"/>
    </xf>
    <xf numFmtId="0" fontId="11" fillId="3" borderId="15" xfId="0" applyFont="1" applyFill="1" applyBorder="1" applyAlignment="1">
      <alignment horizontal="center" wrapText="1"/>
    </xf>
    <xf numFmtId="3" fontId="19" fillId="4" borderId="36" xfId="0" applyNumberFormat="1" applyFont="1" applyFill="1" applyBorder="1" applyAlignment="1">
      <alignment horizontal="center" vertical="center" wrapText="1"/>
    </xf>
    <xf numFmtId="2" fontId="19" fillId="4" borderId="36" xfId="0" applyNumberFormat="1" applyFont="1" applyFill="1" applyBorder="1" applyAlignment="1">
      <alignment horizontal="center" vertical="center" wrapText="1"/>
    </xf>
    <xf numFmtId="0" fontId="24" fillId="0" borderId="12" xfId="0" applyFont="1" applyBorder="1" applyAlignment="1">
      <alignment horizontal="center" vertical="center" wrapText="1"/>
    </xf>
    <xf numFmtId="0" fontId="24" fillId="0" borderId="0" xfId="0" applyFont="1" applyAlignment="1">
      <alignment horizontal="center" vertical="center" wrapText="1"/>
    </xf>
    <xf numFmtId="0" fontId="24" fillId="0" borderId="15" xfId="0" applyFont="1" applyBorder="1" applyAlignment="1">
      <alignment horizontal="center" vertical="center" wrapText="1"/>
    </xf>
    <xf numFmtId="3" fontId="16" fillId="4" borderId="24" xfId="0" applyNumberFormat="1" applyFont="1" applyFill="1" applyBorder="1" applyAlignment="1">
      <alignment horizontal="center" vertical="center" wrapText="1"/>
    </xf>
    <xf numFmtId="3" fontId="16" fillId="4" borderId="19" xfId="0" applyNumberFormat="1" applyFont="1" applyFill="1" applyBorder="1" applyAlignment="1">
      <alignment horizontal="center" vertical="center" wrapText="1"/>
    </xf>
    <xf numFmtId="3" fontId="16" fillId="4" borderId="21" xfId="0" applyNumberFormat="1" applyFont="1" applyFill="1" applyBorder="1" applyAlignment="1">
      <alignment horizontal="center" vertical="center" wrapText="1"/>
    </xf>
    <xf numFmtId="0" fontId="21" fillId="5" borderId="18" xfId="0" applyFont="1" applyFill="1" applyBorder="1" applyAlignment="1">
      <alignment horizontal="center" vertical="center"/>
    </xf>
    <xf numFmtId="0" fontId="21" fillId="5" borderId="5" xfId="0" applyFont="1" applyFill="1" applyBorder="1" applyAlignment="1">
      <alignment horizontal="center" vertical="center"/>
    </xf>
    <xf numFmtId="0" fontId="21" fillId="5" borderId="25" xfId="0" applyFont="1" applyFill="1" applyBorder="1" applyAlignment="1">
      <alignment horizontal="center" vertical="center"/>
    </xf>
    <xf numFmtId="41" fontId="22" fillId="7" borderId="18" xfId="3" applyFont="1" applyFill="1" applyBorder="1" applyAlignment="1">
      <alignment horizontal="center" vertical="center"/>
    </xf>
    <xf numFmtId="41" fontId="22" fillId="7" borderId="5" xfId="3" applyFont="1" applyFill="1" applyBorder="1" applyAlignment="1">
      <alignment horizontal="center" vertical="center"/>
    </xf>
    <xf numFmtId="0" fontId="6" fillId="4" borderId="31" xfId="0" applyFont="1" applyFill="1" applyBorder="1" applyAlignment="1">
      <alignment horizontal="center" vertical="center"/>
    </xf>
    <xf numFmtId="0" fontId="6" fillId="4" borderId="32" xfId="0" applyFont="1" applyFill="1" applyBorder="1" applyAlignment="1">
      <alignment horizontal="center" vertical="center"/>
    </xf>
    <xf numFmtId="0" fontId="6" fillId="4" borderId="16" xfId="0" applyFont="1" applyFill="1" applyBorder="1" applyAlignment="1">
      <alignment horizontal="center" vertical="center"/>
    </xf>
    <xf numFmtId="9" fontId="19" fillId="4" borderId="36" xfId="2" applyFont="1" applyFill="1" applyBorder="1" applyAlignment="1">
      <alignment horizontal="center" vertical="center" wrapText="1"/>
    </xf>
    <xf numFmtId="175" fontId="12" fillId="3" borderId="40" xfId="0" applyNumberFormat="1" applyFont="1" applyFill="1" applyBorder="1" applyAlignment="1">
      <alignment horizontal="center" vertical="center"/>
    </xf>
    <xf numFmtId="9" fontId="19" fillId="4" borderId="44" xfId="2" applyFont="1" applyFill="1" applyBorder="1" applyAlignment="1">
      <alignment horizontal="center" vertical="center" wrapText="1"/>
    </xf>
    <xf numFmtId="0" fontId="0" fillId="0" borderId="10" xfId="0" applyBorder="1" applyAlignment="1">
      <alignment horizontal="center" vertical="center" wrapText="1"/>
    </xf>
    <xf numFmtId="0" fontId="0" fillId="0" borderId="20" xfId="0" applyBorder="1" applyAlignment="1">
      <alignment horizontal="center" vertical="center" wrapText="1"/>
    </xf>
    <xf numFmtId="0" fontId="0" fillId="0" borderId="0" xfId="0" applyAlignment="1">
      <alignment horizontal="center" vertical="center" wrapText="1"/>
    </xf>
    <xf numFmtId="0" fontId="15" fillId="0" borderId="18" xfId="0" applyFont="1" applyBorder="1" applyAlignment="1">
      <alignment horizontal="center" vertical="center" wrapText="1"/>
    </xf>
    <xf numFmtId="0" fontId="0" fillId="0" borderId="5" xfId="0" applyBorder="1" applyAlignment="1">
      <alignment horizontal="center" vertical="center" wrapText="1"/>
    </xf>
    <xf numFmtId="0" fontId="21" fillId="6" borderId="18" xfId="0" applyFont="1" applyFill="1" applyBorder="1" applyAlignment="1">
      <alignment horizontal="center" vertical="center"/>
    </xf>
    <xf numFmtId="0" fontId="21" fillId="6" borderId="5" xfId="0" applyFont="1" applyFill="1" applyBorder="1" applyAlignment="1">
      <alignment horizontal="center" vertical="center"/>
    </xf>
    <xf numFmtId="0" fontId="21" fillId="6" borderId="25" xfId="0" applyFont="1" applyFill="1" applyBorder="1" applyAlignment="1">
      <alignment horizontal="center" vertical="center"/>
    </xf>
    <xf numFmtId="0" fontId="4" fillId="0" borderId="1" xfId="0" applyFont="1" applyBorder="1" applyAlignment="1">
      <alignment vertical="center" wrapText="1"/>
    </xf>
    <xf numFmtId="0" fontId="0" fillId="0" borderId="1" xfId="0" applyBorder="1" applyAlignment="1">
      <alignment vertical="center" wrapText="1"/>
    </xf>
    <xf numFmtId="0" fontId="1" fillId="0" borderId="1" xfId="0" applyFont="1" applyBorder="1" applyAlignment="1">
      <alignment vertical="center" wrapText="1"/>
    </xf>
    <xf numFmtId="0" fontId="0" fillId="0" borderId="2" xfId="0" applyBorder="1" applyAlignment="1">
      <alignment vertical="center" wrapText="1"/>
    </xf>
    <xf numFmtId="0" fontId="0" fillId="0" borderId="40" xfId="0" applyBorder="1" applyAlignment="1">
      <alignment vertical="center" wrapText="1"/>
    </xf>
    <xf numFmtId="0" fontId="28" fillId="0" borderId="1" xfId="0" applyFont="1" applyBorder="1" applyAlignment="1">
      <alignment vertical="center" wrapText="1"/>
    </xf>
    <xf numFmtId="170" fontId="1" fillId="0" borderId="1" xfId="0" applyNumberFormat="1" applyFont="1" applyBorder="1" applyAlignment="1">
      <alignment vertical="center" wrapText="1"/>
    </xf>
    <xf numFmtId="170" fontId="1" fillId="0" borderId="1" xfId="0" applyNumberFormat="1" applyFont="1" applyBorder="1" applyAlignment="1">
      <alignment horizontal="center" vertical="center" wrapText="1"/>
    </xf>
    <xf numFmtId="0" fontId="0" fillId="0" borderId="1" xfId="0" applyBorder="1" applyAlignment="1">
      <alignment horizontal="center" vertical="center" wrapText="1"/>
    </xf>
    <xf numFmtId="171" fontId="4" fillId="0" borderId="1" xfId="0" applyNumberFormat="1" applyFont="1" applyBorder="1" applyAlignment="1">
      <alignment horizontal="center" vertical="center" wrapText="1"/>
    </xf>
    <xf numFmtId="171" fontId="0" fillId="0" borderId="1" xfId="0" applyNumberFormat="1" applyBorder="1" applyAlignment="1">
      <alignment horizontal="center" vertical="center" wrapText="1"/>
    </xf>
    <xf numFmtId="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0" fillId="0" borderId="39" xfId="0" applyBorder="1" applyAlignment="1">
      <alignment horizontal="center" vertical="center" wrapText="1"/>
    </xf>
    <xf numFmtId="0" fontId="0" fillId="0" borderId="45" xfId="0" applyBorder="1" applyAlignment="1">
      <alignment horizontal="center" vertical="center" wrapText="1"/>
    </xf>
    <xf numFmtId="0" fontId="0" fillId="0" borderId="38" xfId="0" applyBorder="1" applyAlignment="1">
      <alignment horizontal="center" vertical="center" wrapText="1"/>
    </xf>
    <xf numFmtId="0" fontId="4" fillId="0" borderId="26" xfId="0" applyFont="1" applyBorder="1" applyAlignment="1">
      <alignment vertical="center" wrapText="1"/>
    </xf>
    <xf numFmtId="0" fontId="4" fillId="0" borderId="28" xfId="0" applyFont="1" applyBorder="1" applyAlignment="1">
      <alignment vertical="center" wrapText="1"/>
    </xf>
    <xf numFmtId="0" fontId="4" fillId="0" borderId="20" xfId="0" applyFont="1" applyBorder="1" applyAlignment="1">
      <alignment vertical="center" wrapText="1"/>
    </xf>
    <xf numFmtId="0" fontId="4" fillId="0" borderId="23" xfId="0" applyFont="1" applyBorder="1" applyAlignment="1">
      <alignment vertical="center" wrapText="1"/>
    </xf>
    <xf numFmtId="0" fontId="0" fillId="0" borderId="29" xfId="0" applyBorder="1" applyAlignment="1">
      <alignment vertical="center" wrapText="1"/>
    </xf>
    <xf numFmtId="0" fontId="0" fillId="0" borderId="22" xfId="0" applyBorder="1" applyAlignment="1">
      <alignment vertical="center" wrapText="1"/>
    </xf>
    <xf numFmtId="0" fontId="4" fillId="0" borderId="29" xfId="0" applyFont="1" applyBorder="1" applyAlignment="1">
      <alignment vertical="center" wrapText="1"/>
    </xf>
    <xf numFmtId="0" fontId="4" fillId="0" borderId="22" xfId="0" applyFont="1" applyBorder="1" applyAlignment="1">
      <alignment vertical="center" wrapText="1"/>
    </xf>
    <xf numFmtId="0" fontId="1" fillId="0" borderId="1" xfId="0" applyFont="1" applyBorder="1" applyAlignment="1">
      <alignment vertical="center"/>
    </xf>
    <xf numFmtId="0" fontId="0" fillId="0" borderId="1" xfId="0" applyBorder="1" applyAlignment="1">
      <alignment vertical="center"/>
    </xf>
    <xf numFmtId="0" fontId="0" fillId="0" borderId="23" xfId="0" applyBorder="1" applyAlignment="1">
      <alignment vertical="center" wrapText="1"/>
    </xf>
    <xf numFmtId="0" fontId="0" fillId="0" borderId="2" xfId="0" applyBorder="1" applyAlignment="1">
      <alignment vertical="center"/>
    </xf>
    <xf numFmtId="0" fontId="0" fillId="0" borderId="7" xfId="0" applyBorder="1" applyAlignment="1">
      <alignment vertical="center"/>
    </xf>
    <xf numFmtId="0" fontId="0" fillId="0" borderId="40" xfId="0" applyBorder="1" applyAlignment="1">
      <alignment vertical="center"/>
    </xf>
    <xf numFmtId="171" fontId="1" fillId="0" borderId="2" xfId="0" applyNumberFormat="1" applyFont="1" applyBorder="1" applyAlignment="1">
      <alignment horizontal="center" vertical="center"/>
    </xf>
    <xf numFmtId="0" fontId="0" fillId="0" borderId="7" xfId="0" applyBorder="1" applyAlignment="1">
      <alignment horizontal="center" vertical="center"/>
    </xf>
    <xf numFmtId="0" fontId="0" fillId="0" borderId="40" xfId="0" applyBorder="1" applyAlignment="1">
      <alignment horizontal="center" vertical="center"/>
    </xf>
    <xf numFmtId="171" fontId="32" fillId="9" borderId="2" xfId="0" applyNumberFormat="1" applyFont="1" applyFill="1" applyBorder="1" applyAlignment="1">
      <alignment horizontal="left" vertical="center"/>
    </xf>
    <xf numFmtId="0" fontId="0" fillId="0" borderId="7" xfId="0" applyBorder="1" applyAlignment="1">
      <alignment horizontal="left" vertical="center"/>
    </xf>
    <xf numFmtId="0" fontId="0" fillId="0" borderId="40" xfId="0" applyBorder="1" applyAlignment="1">
      <alignment horizontal="left" vertical="center"/>
    </xf>
    <xf numFmtId="171" fontId="37" fillId="0" borderId="2" xfId="0" applyNumberFormat="1" applyFont="1" applyBorder="1" applyAlignment="1">
      <alignment vertical="center" wrapText="1"/>
    </xf>
    <xf numFmtId="171" fontId="0" fillId="0" borderId="7" xfId="0" applyNumberFormat="1" applyBorder="1" applyAlignment="1">
      <alignment vertical="center" wrapText="1"/>
    </xf>
    <xf numFmtId="0" fontId="0" fillId="0" borderId="7" xfId="0" applyBorder="1" applyAlignment="1">
      <alignment vertical="center" wrapText="1"/>
    </xf>
    <xf numFmtId="0" fontId="0" fillId="0" borderId="23" xfId="0" applyBorder="1" applyAlignment="1">
      <alignment vertical="center"/>
    </xf>
    <xf numFmtId="171" fontId="0" fillId="0" borderId="40" xfId="0" applyNumberFormat="1" applyBorder="1" applyAlignment="1">
      <alignment vertical="center" wrapText="1"/>
    </xf>
    <xf numFmtId="171" fontId="32" fillId="0" borderId="39" xfId="4" applyNumberFormat="1" applyFont="1" applyBorder="1" applyAlignment="1">
      <alignment vertical="center" wrapText="1"/>
    </xf>
    <xf numFmtId="0" fontId="0" fillId="0" borderId="38" xfId="0" applyBorder="1" applyAlignment="1">
      <alignment vertical="center" wrapText="1"/>
    </xf>
    <xf numFmtId="171" fontId="39" fillId="0" borderId="2" xfId="4" applyNumberFormat="1" applyFont="1" applyBorder="1" applyAlignment="1">
      <alignment vertical="center" wrapText="1"/>
    </xf>
    <xf numFmtId="0" fontId="39" fillId="0" borderId="40" xfId="0" applyFont="1" applyBorder="1" applyAlignment="1">
      <alignment vertical="center" wrapText="1"/>
    </xf>
    <xf numFmtId="171" fontId="32" fillId="0" borderId="2" xfId="4" applyNumberFormat="1" applyFont="1" applyBorder="1" applyAlignment="1">
      <alignment horizontal="center" vertical="center" wrapText="1"/>
    </xf>
    <xf numFmtId="0" fontId="0" fillId="0" borderId="40" xfId="0" applyBorder="1" applyAlignment="1">
      <alignment horizontal="center" vertical="center" wrapText="1"/>
    </xf>
    <xf numFmtId="0" fontId="2" fillId="0" borderId="1" xfId="4" applyFont="1" applyBorder="1" applyAlignment="1">
      <alignment horizontal="center" vertical="center" wrapText="1"/>
    </xf>
    <xf numFmtId="170" fontId="2" fillId="0" borderId="1" xfId="4" applyNumberFormat="1" applyFont="1" applyBorder="1" applyAlignment="1">
      <alignment horizontal="center" vertical="center" wrapText="1"/>
    </xf>
    <xf numFmtId="171" fontId="32" fillId="0" borderId="2" xfId="4" applyNumberFormat="1" applyFont="1" applyBorder="1" applyAlignment="1">
      <alignment vertical="center" wrapText="1"/>
    </xf>
    <xf numFmtId="170" fontId="2" fillId="0" borderId="26" xfId="4" applyNumberFormat="1" applyFont="1" applyBorder="1" applyAlignment="1">
      <alignment horizontal="center" vertical="center" wrapText="1"/>
    </xf>
    <xf numFmtId="0" fontId="2" fillId="0" borderId="28" xfId="0" applyFont="1" applyBorder="1" applyAlignment="1">
      <alignment horizontal="center" vertical="center" wrapText="1"/>
    </xf>
    <xf numFmtId="0" fontId="2" fillId="0" borderId="29" xfId="4" applyFont="1" applyBorder="1" applyAlignment="1">
      <alignment horizontal="center" vertical="center" wrapText="1"/>
    </xf>
    <xf numFmtId="0" fontId="2" fillId="0" borderId="22" xfId="0" applyFont="1" applyBorder="1" applyAlignment="1">
      <alignment horizontal="center" vertical="center" wrapText="1"/>
    </xf>
    <xf numFmtId="0" fontId="39" fillId="0" borderId="7" xfId="0" applyFont="1" applyBorder="1" applyAlignment="1">
      <alignment vertical="center" wrapText="1"/>
    </xf>
    <xf numFmtId="1" fontId="16" fillId="3" borderId="37" xfId="2" applyNumberFormat="1" applyFont="1" applyFill="1" applyBorder="1" applyAlignment="1">
      <alignment horizontal="center" vertical="center"/>
    </xf>
  </cellXfs>
  <cellStyles count="5">
    <cellStyle name="Millares" xfId="1" builtinId="3"/>
    <cellStyle name="Millares [0]" xfId="3" builtinId="6"/>
    <cellStyle name="Normal" xfId="0" builtinId="0"/>
    <cellStyle name="Normal 2" xfId="4" xr:uid="{00000000-0005-0000-0000-000003000000}"/>
    <cellStyle name="Porcentaje" xfId="2" builtinId="5"/>
  </cellStyles>
  <dxfs count="65">
    <dxf>
      <fill>
        <patternFill>
          <bgColor theme="9" tint="0.59996337778862885"/>
        </patternFill>
      </fill>
    </dxf>
    <dxf>
      <fill>
        <patternFill>
          <bgColor theme="5" tint="0.79998168889431442"/>
        </patternFill>
      </fill>
    </dxf>
    <dxf>
      <fill>
        <patternFill>
          <bgColor theme="9" tint="0.59996337778862885"/>
        </patternFill>
      </fill>
    </dxf>
    <dxf>
      <fill>
        <patternFill>
          <bgColor theme="5" tint="0.79998168889431442"/>
        </patternFill>
      </fill>
    </dxf>
    <dxf>
      <fill>
        <patternFill>
          <bgColor theme="9" tint="0.59996337778862885"/>
        </patternFill>
      </fill>
    </dxf>
    <dxf>
      <fill>
        <patternFill>
          <bgColor theme="5" tint="0.79998168889431442"/>
        </patternFill>
      </fill>
    </dxf>
    <dxf>
      <fill>
        <patternFill>
          <bgColor theme="5" tint="0.79998168889431442"/>
        </patternFill>
      </fill>
    </dxf>
    <dxf>
      <fill>
        <patternFill>
          <bgColor theme="9" tint="0.59996337778862885"/>
        </patternFill>
      </fill>
    </dxf>
    <dxf>
      <fill>
        <patternFill>
          <bgColor theme="5" tint="0.79998168889431442"/>
        </patternFill>
      </fill>
    </dxf>
    <dxf>
      <fill>
        <patternFill>
          <bgColor theme="9" tint="0.59996337778862885"/>
        </patternFill>
      </fill>
    </dxf>
    <dxf>
      <fill>
        <patternFill>
          <bgColor theme="5" tint="0.79998168889431442"/>
        </patternFill>
      </fill>
    </dxf>
    <dxf>
      <fill>
        <patternFill>
          <bgColor theme="9" tint="0.59996337778862885"/>
        </patternFill>
      </fill>
    </dxf>
    <dxf>
      <fill>
        <patternFill>
          <bgColor theme="9" tint="0.59996337778862885"/>
        </patternFill>
      </fill>
    </dxf>
    <dxf>
      <fill>
        <patternFill>
          <bgColor theme="5" tint="0.79998168889431442"/>
        </patternFill>
      </fill>
    </dxf>
    <dxf>
      <fill>
        <patternFill>
          <bgColor theme="9" tint="0.59996337778862885"/>
        </patternFill>
      </fill>
    </dxf>
    <dxf>
      <fill>
        <patternFill>
          <bgColor theme="5" tint="0.79998168889431442"/>
        </patternFill>
      </fill>
    </dxf>
    <dxf>
      <fill>
        <patternFill>
          <bgColor theme="5" tint="0.79998168889431442"/>
        </patternFill>
      </fill>
    </dxf>
    <dxf>
      <fill>
        <patternFill>
          <bgColor theme="9" tint="0.59996337778862885"/>
        </patternFill>
      </fill>
    </dxf>
    <dxf>
      <fill>
        <patternFill>
          <bgColor theme="9" tint="0.59996337778862885"/>
        </patternFill>
      </fill>
    </dxf>
    <dxf>
      <fill>
        <patternFill>
          <bgColor theme="5" tint="0.79998168889431442"/>
        </patternFill>
      </fill>
    </dxf>
    <dxf>
      <fill>
        <patternFill>
          <bgColor theme="9" tint="0.59996337778862885"/>
        </patternFill>
      </fill>
    </dxf>
    <dxf>
      <fill>
        <patternFill>
          <bgColor theme="5" tint="0.79998168889431442"/>
        </patternFill>
      </fill>
    </dxf>
    <dxf>
      <fill>
        <patternFill>
          <bgColor theme="9" tint="0.59996337778862885"/>
        </patternFill>
      </fill>
    </dxf>
    <dxf>
      <fill>
        <patternFill>
          <bgColor theme="5" tint="0.79998168889431442"/>
        </patternFill>
      </fill>
    </dxf>
    <dxf>
      <fill>
        <patternFill>
          <bgColor theme="9" tint="0.59996337778862885"/>
        </patternFill>
      </fill>
    </dxf>
    <dxf>
      <fill>
        <patternFill>
          <bgColor theme="5" tint="0.79998168889431442"/>
        </patternFill>
      </fill>
    </dxf>
    <dxf>
      <fill>
        <patternFill>
          <bgColor theme="9" tint="0.59996337778862885"/>
        </patternFill>
      </fill>
    </dxf>
    <dxf>
      <fill>
        <patternFill>
          <bgColor theme="5" tint="0.79998168889431442"/>
        </patternFill>
      </fill>
    </dxf>
    <dxf>
      <fill>
        <patternFill>
          <bgColor theme="9" tint="0.59996337778862885"/>
        </patternFill>
      </fill>
    </dxf>
    <dxf>
      <fill>
        <patternFill>
          <bgColor theme="5" tint="0.79998168889431442"/>
        </patternFill>
      </fill>
    </dxf>
    <dxf>
      <fill>
        <patternFill>
          <bgColor theme="5" tint="0.79998168889431442"/>
        </patternFill>
      </fill>
    </dxf>
    <dxf>
      <fill>
        <patternFill>
          <bgColor theme="9" tint="0.59996337778862885"/>
        </patternFill>
      </fill>
    </dxf>
    <dxf>
      <fill>
        <patternFill>
          <bgColor theme="0" tint="-4.9989318521683403E-2"/>
        </patternFill>
      </fill>
    </dxf>
    <dxf>
      <fill>
        <patternFill>
          <bgColor theme="9" tint="0.59996337778862885"/>
        </patternFill>
      </fill>
    </dxf>
    <dxf>
      <fill>
        <patternFill>
          <bgColor theme="0" tint="-4.9989318521683403E-2"/>
        </patternFill>
      </fill>
    </dxf>
    <dxf>
      <fill>
        <patternFill>
          <bgColor theme="9" tint="0.59996337778862885"/>
        </patternFill>
      </fill>
    </dxf>
    <dxf>
      <fill>
        <patternFill>
          <bgColor theme="5" tint="0.79998168889431442"/>
        </patternFill>
      </fill>
    </dxf>
    <dxf>
      <fill>
        <patternFill>
          <bgColor theme="9" tint="0.59996337778862885"/>
        </patternFill>
      </fill>
    </dxf>
    <dxf>
      <fill>
        <patternFill>
          <bgColor theme="9" tint="0.59996337778862885"/>
        </patternFill>
      </fill>
    </dxf>
    <dxf>
      <fill>
        <patternFill>
          <bgColor theme="5" tint="0.79998168889431442"/>
        </patternFill>
      </fill>
    </dxf>
    <dxf>
      <fill>
        <patternFill>
          <bgColor theme="9" tint="0.59996337778862885"/>
        </patternFill>
      </fill>
    </dxf>
    <dxf>
      <fill>
        <patternFill>
          <bgColor theme="5" tint="0.79998168889431442"/>
        </patternFill>
      </fill>
    </dxf>
    <dxf>
      <fill>
        <patternFill>
          <bgColor theme="5" tint="0.79998168889431442"/>
        </patternFill>
      </fill>
    </dxf>
    <dxf>
      <fill>
        <patternFill>
          <bgColor theme="9" tint="0.59996337778862885"/>
        </patternFill>
      </fill>
    </dxf>
    <dxf>
      <font>
        <b/>
        <i val="0"/>
        <color rgb="FFC00000"/>
      </font>
    </dxf>
    <dxf>
      <font>
        <b/>
        <i val="0"/>
        <color rgb="FFC00000"/>
      </font>
    </dxf>
    <dxf>
      <font>
        <b/>
        <i val="0"/>
        <color auto="1"/>
      </font>
    </dxf>
    <dxf>
      <font>
        <b/>
        <i val="0"/>
        <color auto="1"/>
      </font>
    </dxf>
    <dxf>
      <font>
        <b/>
        <i val="0"/>
        <color rgb="FFC00000"/>
      </font>
    </dxf>
    <dxf>
      <font>
        <b/>
        <i val="0"/>
        <color auto="1"/>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auto="1"/>
      </font>
    </dxf>
    <dxf>
      <font>
        <b/>
        <i val="0"/>
        <color rgb="FFC00000"/>
      </font>
    </dxf>
    <dxf>
      <font>
        <b/>
        <i val="0"/>
        <color rgb="FFC00000"/>
      </font>
    </dxf>
    <dxf>
      <font>
        <b/>
        <i val="0"/>
        <color rgb="FFC00000"/>
      </font>
    </dxf>
    <dxf>
      <font>
        <b/>
        <i val="0"/>
        <color rgb="FFC00000"/>
      </font>
    </dxf>
    <dxf>
      <font>
        <b/>
        <i val="0"/>
        <color rgb="FFC00000"/>
      </font>
    </dxf>
    <dxf>
      <font>
        <b/>
        <i val="0"/>
        <color auto="1"/>
      </font>
    </dxf>
  </dxfs>
  <tableStyles count="0" defaultTableStyle="TableStyleMedium2" defaultPivotStyle="PivotStyleLight16"/>
  <colors>
    <mruColors>
      <color rgb="FFCFFD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es-CO" sz="1200"/>
              <a:t>Proponentes</a:t>
            </a:r>
          </a:p>
        </c:rich>
      </c:tx>
      <c:layout>
        <c:manualLayout>
          <c:xMode val="edge"/>
          <c:yMode val="edge"/>
          <c:x val="0.31888244232628815"/>
          <c:y val="3.4750391848729018E-3"/>
        </c:manualLayout>
      </c:layout>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es-CO"/>
        </a:p>
      </c:txPr>
    </c:title>
    <c:autoTitleDeleted val="0"/>
    <c:plotArea>
      <c:layout>
        <c:manualLayout>
          <c:layoutTarget val="inner"/>
          <c:xMode val="edge"/>
          <c:yMode val="edge"/>
          <c:x val="0.22238735783027122"/>
          <c:y val="0.11103929717118693"/>
          <c:w val="0.52466994750656171"/>
          <c:h val="0.87444991251093618"/>
        </c:manualLayout>
      </c:layout>
      <c:pieChart>
        <c:varyColors val="1"/>
        <c:ser>
          <c:idx val="0"/>
          <c:order val="0"/>
          <c:tx>
            <c:strRef>
              <c:f>resumen!$M$2</c:f>
              <c:strCache>
                <c:ptCount val="1"/>
                <c:pt idx="0">
                  <c:v>#</c:v>
                </c:pt>
              </c:strCache>
            </c:strRef>
          </c:tx>
          <c:dPt>
            <c:idx val="0"/>
            <c:bubble3D val="0"/>
            <c:spPr>
              <a:pattFill prst="ltUpDiag">
                <a:fgClr>
                  <a:schemeClr val="accent1"/>
                </a:fgClr>
                <a:bgClr>
                  <a:schemeClr val="accent1">
                    <a:lumMod val="20000"/>
                    <a:lumOff val="80000"/>
                  </a:schemeClr>
                </a:bgClr>
              </a:pattFill>
              <a:ln w="19050">
                <a:solidFill>
                  <a:schemeClr val="lt1"/>
                </a:solidFill>
              </a:ln>
              <a:effectLst>
                <a:innerShdw blurRad="114300">
                  <a:schemeClr val="accent1"/>
                </a:innerShdw>
              </a:effectLst>
            </c:spPr>
            <c:extLst>
              <c:ext xmlns:c16="http://schemas.microsoft.com/office/drawing/2014/chart" uri="{C3380CC4-5D6E-409C-BE32-E72D297353CC}">
                <c16:uniqueId val="{00000001-A162-42E1-910C-AD280F26FB94}"/>
              </c:ext>
            </c:extLst>
          </c:dPt>
          <c:dPt>
            <c:idx val="1"/>
            <c:bubble3D val="0"/>
            <c:spPr>
              <a:pattFill prst="ltUpDiag">
                <a:fgClr>
                  <a:schemeClr val="accent2"/>
                </a:fgClr>
                <a:bgClr>
                  <a:schemeClr val="accent2">
                    <a:lumMod val="20000"/>
                    <a:lumOff val="80000"/>
                  </a:schemeClr>
                </a:bgClr>
              </a:pattFill>
              <a:ln w="19050">
                <a:solidFill>
                  <a:schemeClr val="lt1"/>
                </a:solidFill>
              </a:ln>
              <a:effectLst>
                <a:innerShdw blurRad="114300">
                  <a:schemeClr val="accent2"/>
                </a:innerShdw>
              </a:effectLst>
            </c:spPr>
            <c:extLst>
              <c:ext xmlns:c16="http://schemas.microsoft.com/office/drawing/2014/chart" uri="{C3380CC4-5D6E-409C-BE32-E72D297353CC}">
                <c16:uniqueId val="{00000003-A162-42E1-910C-AD280F26FB94}"/>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0"/>
            <c:showSerName val="0"/>
            <c:showPercent val="1"/>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resumen!$L$3:$L$4</c:f>
            </c:strRef>
          </c:cat>
          <c:val>
            <c:numRef>
              <c:f>resumen!$M$3:$M$4</c:f>
            </c:numRef>
          </c:val>
          <c:extLst>
            <c:ext xmlns:c16="http://schemas.microsoft.com/office/drawing/2014/chart" uri="{C3380CC4-5D6E-409C-BE32-E72D297353CC}">
              <c16:uniqueId val="{00000004-A162-42E1-910C-AD280F26FB94}"/>
            </c:ext>
          </c:extLst>
        </c:ser>
        <c:dLbls>
          <c:dLblPos val="bestFit"/>
          <c:showLegendKey val="0"/>
          <c:showVal val="1"/>
          <c:showCatName val="0"/>
          <c:showSerName val="0"/>
          <c:showPercent val="0"/>
          <c:showBubbleSize val="0"/>
          <c:showLeaderLines val="1"/>
        </c:dLbls>
        <c:firstSliceAng val="0"/>
      </c:pieChart>
      <c:spPr>
        <a:noFill/>
        <a:ln>
          <a:noFill/>
        </a:ln>
        <a:effectLst/>
      </c:spPr>
    </c:plotArea>
    <c:legend>
      <c:legendPos val="t"/>
      <c:layout>
        <c:manualLayout>
          <c:xMode val="edge"/>
          <c:yMode val="edge"/>
          <c:x val="0.72158005249343837"/>
          <c:y val="0.19895851560221639"/>
          <c:w val="0.27233706313026662"/>
          <c:h val="0.1290514727325750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2">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ltUpDiag">
        <a:fgClr>
          <a:schemeClr val="phClr"/>
        </a:fgClr>
        <a:bgClr>
          <a:schemeClr val="phClr">
            <a:lumMod val="20000"/>
            <a:lumOff val="80000"/>
          </a:schemeClr>
        </a:bgClr>
      </a:pattFill>
      <a:ln w="19050">
        <a:solidFill>
          <a:schemeClr val="lt1"/>
        </a:solidFill>
      </a:ln>
      <a:effectLst>
        <a:innerShdw blurRad="114300">
          <a:schemeClr val="phClr"/>
        </a:innerShdw>
      </a:effectLst>
    </cs:spPr>
  </cs:dataPoint>
  <cs:dataPoint3D>
    <cs:lnRef idx="0"/>
    <cs:fillRef idx="0">
      <cs:styleClr val="auto"/>
    </cs:fillRef>
    <cs:effectRef idx="0"/>
    <cs:fontRef idx="minor">
      <a:schemeClr val="dk1"/>
    </cs:fontRef>
    <cs:spPr>
      <a:pattFill prst="ltUpDiag">
        <a:fgClr>
          <a:schemeClr val="phClr"/>
        </a:fgClr>
        <a:bgClr>
          <a:schemeClr val="phClr">
            <a:lumMod val="20000"/>
            <a:lumOff val="80000"/>
          </a:schemeClr>
        </a:bgClr>
      </a:pattFill>
      <a:ln w="19050">
        <a:solidFill>
          <a:schemeClr val="lt1"/>
        </a:solidFill>
      </a:ln>
      <a:effectLst>
        <a:innerShdw blurRad="114300">
          <a:schemeClr val="phClr"/>
        </a:innerShdw>
      </a:effectLst>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10</xdr:col>
      <xdr:colOff>762000</xdr:colOff>
      <xdr:row>14</xdr:row>
      <xdr:rowOff>38100</xdr:rowOff>
    </xdr:from>
    <xdr:to>
      <xdr:col>13</xdr:col>
      <xdr:colOff>9525</xdr:colOff>
      <xdr:row>29</xdr:row>
      <xdr:rowOff>142876</xdr:rowOff>
    </xdr:to>
    <xdr:graphicFrame macro="">
      <xdr:nvGraphicFramePr>
        <xdr:cNvPr id="2" name="Gráfico 1">
          <a:extLst>
            <a:ext uri="{FF2B5EF4-FFF2-40B4-BE49-F238E27FC236}">
              <a16:creationId xmlns:a16="http://schemas.microsoft.com/office/drawing/2014/main" id="{CA5958A0-48C8-4072-A0DA-291C2870E6B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84"/>
  <sheetViews>
    <sheetView tabSelected="1" zoomScale="65" zoomScaleNormal="65" workbookViewId="0">
      <pane xSplit="2" ySplit="6" topLeftCell="C117" activePane="bottomRight" state="frozen"/>
      <selection pane="topRight" activeCell="C1" sqref="C1"/>
      <selection pane="bottomLeft" activeCell="A7" sqref="A7"/>
      <selection pane="bottomRight" activeCell="AE123" sqref="AE123"/>
    </sheetView>
  </sheetViews>
  <sheetFormatPr baseColWidth="10" defaultColWidth="11.42578125" defaultRowHeight="15.75" x14ac:dyDescent="0.25"/>
  <cols>
    <col min="1" max="1" width="4.42578125" style="1" customWidth="1"/>
    <col min="2" max="2" width="39.28515625" style="1" customWidth="1"/>
    <col min="3" max="3" width="37.85546875" style="1" customWidth="1"/>
    <col min="4" max="4" width="19" style="98" customWidth="1"/>
    <col min="5" max="5" width="21" style="1" hidden="1" customWidth="1"/>
    <col min="6" max="6" width="20.7109375" style="1" hidden="1" customWidth="1"/>
    <col min="7" max="7" width="23" style="1" hidden="1" customWidth="1"/>
    <col min="8" max="8" width="23.140625" style="1" hidden="1" customWidth="1"/>
    <col min="9" max="9" width="18.85546875" style="1" customWidth="1"/>
    <col min="10" max="10" width="20.28515625" style="1" customWidth="1"/>
    <col min="11" max="11" width="21.85546875" style="1" customWidth="1"/>
    <col min="12" max="12" width="19.7109375" style="1" customWidth="1"/>
    <col min="13" max="13" width="24.5703125" style="1" customWidth="1"/>
    <col min="14" max="14" width="23.28515625" style="1" customWidth="1"/>
    <col min="15" max="15" width="6.7109375" style="1" hidden="1" customWidth="1"/>
    <col min="16" max="16" width="13.140625" style="206" hidden="1" customWidth="1"/>
    <col min="17" max="17" width="21.140625" style="1" hidden="1" customWidth="1"/>
    <col min="18" max="18" width="18.7109375" style="1" hidden="1" customWidth="1"/>
    <col min="19" max="19" width="19.85546875" style="1" hidden="1" customWidth="1"/>
    <col min="20" max="20" width="22" style="1" hidden="1" customWidth="1"/>
    <col min="21" max="21" width="15.5703125" style="1" hidden="1" customWidth="1"/>
    <col min="22" max="22" width="17.7109375" style="1" hidden="1" customWidth="1"/>
    <col min="23" max="24" width="17.28515625" style="1" hidden="1" customWidth="1"/>
    <col min="25" max="25" width="20" style="1" hidden="1" customWidth="1"/>
    <col min="26" max="26" width="21.85546875" style="3" hidden="1" customWidth="1"/>
    <col min="27" max="27" width="20.7109375" style="1" hidden="1" customWidth="1"/>
    <col min="28" max="28" width="17.140625" style="15" hidden="1" customWidth="1"/>
    <col min="29" max="29" width="16" style="15" hidden="1" customWidth="1"/>
    <col min="30" max="30" width="34" style="14" customWidth="1"/>
    <col min="31" max="31" width="6" style="1" customWidth="1"/>
    <col min="32" max="32" width="11.42578125" style="175"/>
    <col min="33" max="16384" width="11.42578125" style="1"/>
  </cols>
  <sheetData>
    <row r="1" spans="1:32" s="4" customFormat="1" ht="28.5" customHeight="1" x14ac:dyDescent="0.3">
      <c r="A1" s="418" t="s">
        <v>147</v>
      </c>
      <c r="B1" s="419"/>
      <c r="C1" s="419"/>
      <c r="D1" s="419"/>
      <c r="E1" s="419"/>
      <c r="F1" s="419"/>
      <c r="G1" s="419"/>
      <c r="H1" s="419"/>
      <c r="I1" s="419"/>
      <c r="J1" s="419"/>
      <c r="K1" s="419"/>
      <c r="L1" s="419"/>
      <c r="M1" s="419"/>
      <c r="N1" s="419"/>
      <c r="O1" s="419"/>
      <c r="P1" s="419"/>
      <c r="Q1" s="419"/>
      <c r="R1" s="419"/>
      <c r="S1" s="419"/>
      <c r="T1" s="419"/>
      <c r="U1" s="419"/>
      <c r="V1" s="419"/>
      <c r="W1" s="419"/>
      <c r="X1" s="419"/>
      <c r="Y1" s="419"/>
      <c r="Z1" s="419"/>
      <c r="AA1" s="419"/>
      <c r="AB1" s="419"/>
      <c r="AC1" s="419"/>
      <c r="AD1" s="420"/>
      <c r="AF1" s="168"/>
    </row>
    <row r="2" spans="1:32" s="4" customFormat="1" ht="64.5" customHeight="1" x14ac:dyDescent="0.2">
      <c r="A2" s="437" t="s">
        <v>146</v>
      </c>
      <c r="B2" s="438"/>
      <c r="C2" s="438"/>
      <c r="D2" s="438"/>
      <c r="E2" s="438"/>
      <c r="F2" s="438"/>
      <c r="G2" s="438"/>
      <c r="H2" s="438"/>
      <c r="I2" s="438"/>
      <c r="J2" s="438"/>
      <c r="K2" s="438"/>
      <c r="L2" s="438"/>
      <c r="M2" s="438"/>
      <c r="N2" s="438"/>
      <c r="O2" s="438"/>
      <c r="P2" s="438"/>
      <c r="Q2" s="438"/>
      <c r="R2" s="438"/>
      <c r="S2" s="438"/>
      <c r="T2" s="438"/>
      <c r="U2" s="438"/>
      <c r="V2" s="438"/>
      <c r="W2" s="438"/>
      <c r="X2" s="438"/>
      <c r="Y2" s="438"/>
      <c r="Z2" s="438"/>
      <c r="AA2" s="438"/>
      <c r="AB2" s="438"/>
      <c r="AC2" s="438"/>
      <c r="AD2" s="439"/>
      <c r="AF2" s="168"/>
    </row>
    <row r="3" spans="1:32" s="27" customFormat="1" ht="16.5" customHeight="1" thickBot="1" x14ac:dyDescent="0.25">
      <c r="A3" s="25"/>
      <c r="B3" s="26"/>
      <c r="C3" s="26"/>
      <c r="D3" s="86"/>
      <c r="E3" s="26"/>
      <c r="F3" s="26"/>
      <c r="G3" s="26"/>
      <c r="H3" s="26"/>
      <c r="I3" s="26"/>
      <c r="J3" s="26"/>
      <c r="K3" s="26"/>
      <c r="L3" s="26"/>
      <c r="M3" s="26"/>
      <c r="N3" s="26"/>
      <c r="O3" s="26"/>
      <c r="P3" s="197"/>
      <c r="Q3" s="26"/>
      <c r="R3" s="26"/>
      <c r="S3" s="26"/>
      <c r="T3" s="26"/>
      <c r="U3" s="26"/>
      <c r="V3" s="26"/>
      <c r="W3" s="26"/>
      <c r="X3" s="26"/>
      <c r="Y3" s="26"/>
      <c r="Z3" s="26"/>
      <c r="AA3" s="26"/>
      <c r="AB3" s="26"/>
      <c r="AC3" s="433" t="s">
        <v>1</v>
      </c>
      <c r="AD3" s="434"/>
      <c r="AF3" s="169"/>
    </row>
    <row r="4" spans="1:32" s="6" customFormat="1" ht="31.5" customHeight="1" thickBot="1" x14ac:dyDescent="0.3">
      <c r="A4" s="457" t="s">
        <v>2</v>
      </c>
      <c r="B4" s="458"/>
      <c r="C4" s="458"/>
      <c r="D4" s="458"/>
      <c r="E4" s="149"/>
      <c r="F4" s="149"/>
      <c r="G4" s="150"/>
      <c r="H4" s="151"/>
      <c r="I4" s="443" t="s">
        <v>26</v>
      </c>
      <c r="J4" s="444"/>
      <c r="K4" s="444"/>
      <c r="L4" s="444"/>
      <c r="M4" s="444"/>
      <c r="N4" s="445"/>
      <c r="O4" s="180"/>
      <c r="P4" s="198"/>
      <c r="Q4" s="180"/>
      <c r="R4" s="459" t="s">
        <v>20</v>
      </c>
      <c r="S4" s="460"/>
      <c r="T4" s="460"/>
      <c r="U4" s="460"/>
      <c r="V4" s="460"/>
      <c r="W4" s="461"/>
      <c r="X4" s="446" t="s">
        <v>19</v>
      </c>
      <c r="Y4" s="447"/>
      <c r="Z4" s="447"/>
      <c r="AA4" s="447"/>
      <c r="AB4" s="447"/>
      <c r="AC4" s="447"/>
      <c r="AD4" s="440" t="s">
        <v>6</v>
      </c>
      <c r="AF4" s="170"/>
    </row>
    <row r="5" spans="1:32" s="2" customFormat="1" ht="27" customHeight="1" x14ac:dyDescent="0.2">
      <c r="A5" s="421" t="s">
        <v>0</v>
      </c>
      <c r="B5" s="423" t="s">
        <v>3</v>
      </c>
      <c r="C5" s="448" t="s">
        <v>4</v>
      </c>
      <c r="D5" s="449"/>
      <c r="E5" s="449"/>
      <c r="F5" s="449"/>
      <c r="G5" s="449"/>
      <c r="H5" s="450"/>
      <c r="I5" s="429" t="str">
        <f>CONCATENATE("INDICE LIQUIDEZ    
&gt;= ",'Tener en cuenta'!R2," 
ACTIVO CTE / PASIVO CTE ")</f>
        <v xml:space="preserve">INDICE LIQUIDEZ    
&gt;= 1,6 
ACTIVO CTE / PASIVO CTE </v>
      </c>
      <c r="J5" s="429" t="str">
        <f>CONCATENATE("INDICE DE ENDEUDAMIENTO             &lt;= ",'Tener en cuenta'!S2*100," %
PASIVO TOTAL/ ACTIVO TOTAL")</f>
        <v>INDICE DE ENDEUDAMIENTO             &lt;= 60 %
PASIVO TOTAL/ ACTIVO TOTAL</v>
      </c>
      <c r="K5" s="431" t="str">
        <f>CONCATENATE("RAZON COBERTURA DE INTERESES              &gt;=",'Tener en cuenta'!T2," 
UTIL/PÉRDIDA OPERACIONAL / GASTOS DE INTERESES")</f>
        <v>RAZON COBERTURA DE INTERESES              &gt;=2 
UTIL/PÉRDIDA OPERACIONAL / GASTOS DE INTERESES</v>
      </c>
      <c r="L5" s="429" t="str">
        <f>CONCATENATE("CAPITAL DE TRABAJO                     &gt;= ",D170*100, " %   ($",TEXT(C170, "#.##"),")
(Activo Cte -Pasivo Cte)  ")</f>
        <v xml:space="preserve">CAPITAL DE TRABAJO                     &gt;= 58 %   ($523.942)
(Activo Cte -Pasivo Cte)  </v>
      </c>
      <c r="M5" s="425" t="str">
        <f>CONCATENATE("RENTABILIDAD DEL PATRIMONIO &gt;= ",'Tener en cuenta'!V2," UTILIDAD OPERACIONAL / PATRIMONIO")</f>
        <v>RENTABILIDAD DEL PATRIMONIO &gt;= 0,05 UTILIDAD OPERACIONAL / PATRIMONIO</v>
      </c>
      <c r="N5" s="425" t="str">
        <f>CONCATENATE("RENTABILIDAD DEL ACTIVO  &gt;= ",'Tener en cuenta'!W2," UTILIDAD OPERACIONAL / ACTIVO TOTAL")</f>
        <v>RENTABILIDAD DEL ACTIVO  &gt;= 0,04 UTILIDAD OPERACIONAL / ACTIVO TOTAL</v>
      </c>
      <c r="O5" s="453" t="s">
        <v>83</v>
      </c>
      <c r="P5" s="454"/>
      <c r="Q5" s="453" t="str">
        <f>CONCATENATE("K               Capacidad Residual             CRP ≥ CRPC          CRP ≥ ",FIXED(C168))</f>
        <v>K               Capacidad Residual             CRP ≥ CRPC          CRP ≥ 903.347,59</v>
      </c>
      <c r="R5" s="454"/>
      <c r="S5" s="429" t="s">
        <v>22</v>
      </c>
      <c r="T5" s="431" t="s">
        <v>23</v>
      </c>
      <c r="U5" s="429" t="s">
        <v>25</v>
      </c>
      <c r="V5" s="425" t="s">
        <v>24</v>
      </c>
      <c r="W5" s="425" t="s">
        <v>18</v>
      </c>
      <c r="X5" s="429" t="s">
        <v>21</v>
      </c>
      <c r="Y5" s="429" t="s">
        <v>22</v>
      </c>
      <c r="Z5" s="431" t="s">
        <v>23</v>
      </c>
      <c r="AA5" s="429" t="s">
        <v>25</v>
      </c>
      <c r="AB5" s="425" t="s">
        <v>24</v>
      </c>
      <c r="AC5" s="427" t="s">
        <v>18</v>
      </c>
      <c r="AD5" s="441"/>
      <c r="AF5" s="171"/>
    </row>
    <row r="6" spans="1:32" s="2" customFormat="1" ht="69" customHeight="1" thickBot="1" x14ac:dyDescent="0.25">
      <c r="A6" s="422"/>
      <c r="B6" s="424"/>
      <c r="C6" s="28" t="s">
        <v>5</v>
      </c>
      <c r="D6" s="87" t="s">
        <v>4</v>
      </c>
      <c r="E6" s="148" t="s">
        <v>137</v>
      </c>
      <c r="F6" s="148" t="s">
        <v>57</v>
      </c>
      <c r="G6" s="148" t="s">
        <v>54</v>
      </c>
      <c r="H6" s="148" t="s">
        <v>55</v>
      </c>
      <c r="I6" s="435"/>
      <c r="J6" s="435"/>
      <c r="K6" s="436"/>
      <c r="L6" s="435"/>
      <c r="M6" s="451"/>
      <c r="N6" s="451"/>
      <c r="O6" s="455"/>
      <c r="P6" s="456"/>
      <c r="Q6" s="455"/>
      <c r="R6" s="456"/>
      <c r="S6" s="430"/>
      <c r="T6" s="432"/>
      <c r="U6" s="430"/>
      <c r="V6" s="426"/>
      <c r="W6" s="426"/>
      <c r="X6" s="430"/>
      <c r="Y6" s="430"/>
      <c r="Z6" s="432"/>
      <c r="AA6" s="430"/>
      <c r="AB6" s="426"/>
      <c r="AC6" s="428"/>
      <c r="AD6" s="442"/>
      <c r="AF6" s="171"/>
    </row>
    <row r="7" spans="1:32" s="2" customFormat="1" ht="21" hidden="1" customHeight="1" x14ac:dyDescent="0.2">
      <c r="A7" s="368">
        <v>1</v>
      </c>
      <c r="B7" s="399">
        <f>'Tener en cuenta'!F3</f>
        <v>0</v>
      </c>
      <c r="C7" s="12" t="s">
        <v>11</v>
      </c>
      <c r="D7" s="120"/>
      <c r="E7" s="118"/>
      <c r="F7" s="118"/>
      <c r="G7" s="118"/>
      <c r="H7" s="118"/>
      <c r="I7" s="375" t="str">
        <f>IFERROR(+D7/D9,"indeterminado")</f>
        <v>indeterminado</v>
      </c>
      <c r="J7" s="378" t="str">
        <f>IFERROR(+(D10/D8),"indeterminado")</f>
        <v>indeterminado</v>
      </c>
      <c r="K7" s="414" t="str">
        <f>IFERROR(+D12/D13,"indeterminado")</f>
        <v>indeterminado</v>
      </c>
      <c r="L7" s="452">
        <f>+(D7-D9)</f>
        <v>0</v>
      </c>
      <c r="M7" s="387" t="str">
        <f>IFERROR(+D12/D11,"indeterminado")</f>
        <v>indeterminado</v>
      </c>
      <c r="N7" s="387" t="str">
        <f>IFERROR(+D12/D8,"indeterminado")</f>
        <v>indeterminado</v>
      </c>
      <c r="O7" s="179" t="s">
        <v>78</v>
      </c>
      <c r="P7" s="241">
        <f>IF('Tener en cuenta'!O3&gt;'Tener en cuenta'!$AH$30,'Tener en cuenta'!O3,'Tener en cuenta'!$AH$30)</f>
        <v>457297264</v>
      </c>
      <c r="Q7" s="350">
        <f>P7*((P8+P10+P9)/100)-P11</f>
        <v>548756716.79999995</v>
      </c>
      <c r="R7" s="392" t="e">
        <f>+G7/G9</f>
        <v>#DIV/0!</v>
      </c>
      <c r="S7" s="379" t="e">
        <f>+G10/G8</f>
        <v>#DIV/0!</v>
      </c>
      <c r="T7" s="394" t="s">
        <v>15</v>
      </c>
      <c r="U7" s="397">
        <f>+G7-G9</f>
        <v>0</v>
      </c>
      <c r="V7" s="379" t="e">
        <f>+G12/G11</f>
        <v>#DIV/0!</v>
      </c>
      <c r="W7" s="379" t="e">
        <f>+G12/G8</f>
        <v>#DIV/0!</v>
      </c>
      <c r="X7" s="392" t="e">
        <f>+D7/D9</f>
        <v>#DIV/0!</v>
      </c>
      <c r="Y7" s="379" t="e">
        <f>+D10/D8</f>
        <v>#DIV/0!</v>
      </c>
      <c r="Z7" s="394" t="s">
        <v>15</v>
      </c>
      <c r="AA7" s="397">
        <f>+D7-D9</f>
        <v>0</v>
      </c>
      <c r="AB7" s="379" t="e">
        <f>+D12/D11</f>
        <v>#DIV/0!</v>
      </c>
      <c r="AC7" s="379" t="e">
        <f>+D12/D8</f>
        <v>#DIV/0!</v>
      </c>
      <c r="AD7" s="48" t="s">
        <v>47</v>
      </c>
      <c r="AF7" s="171"/>
    </row>
    <row r="8" spans="1:32" s="2" customFormat="1" ht="21" hidden="1" customHeight="1" x14ac:dyDescent="0.2">
      <c r="A8" s="369"/>
      <c r="B8" s="367"/>
      <c r="C8" s="13" t="s">
        <v>12</v>
      </c>
      <c r="D8" s="121"/>
      <c r="E8" s="111"/>
      <c r="F8" s="111"/>
      <c r="G8" s="111"/>
      <c r="H8" s="111"/>
      <c r="I8" s="376"/>
      <c r="J8" s="379"/>
      <c r="K8" s="400"/>
      <c r="L8" s="402"/>
      <c r="M8" s="388"/>
      <c r="N8" s="388"/>
      <c r="O8" s="179" t="s">
        <v>82</v>
      </c>
      <c r="P8" s="199">
        <f>IF('Tener en cuenta'!N3&gt;=0,IF('Tener en cuenta'!N3&lt;=3,60,IF('Tener en cuenta'!N3&lt;=6,80,IF('Tener en cuenta'!N3&lt;=10,100,120))))</f>
        <v>60</v>
      </c>
      <c r="Q8" s="353"/>
      <c r="R8" s="392"/>
      <c r="S8" s="379"/>
      <c r="T8" s="395"/>
      <c r="U8" s="397"/>
      <c r="V8" s="379"/>
      <c r="W8" s="379"/>
      <c r="X8" s="392"/>
      <c r="Y8" s="379"/>
      <c r="Z8" s="395"/>
      <c r="AA8" s="397"/>
      <c r="AB8" s="379"/>
      <c r="AC8" s="379"/>
      <c r="AD8" s="373" t="s">
        <v>43</v>
      </c>
      <c r="AF8" s="171"/>
    </row>
    <row r="9" spans="1:32" s="2" customFormat="1" ht="21" hidden="1" customHeight="1" x14ac:dyDescent="0.2">
      <c r="A9" s="369"/>
      <c r="B9" s="367"/>
      <c r="C9" s="13" t="s">
        <v>8</v>
      </c>
      <c r="D9" s="121"/>
      <c r="E9" s="111"/>
      <c r="F9" s="111"/>
      <c r="G9" s="111"/>
      <c r="H9" s="111"/>
      <c r="I9" s="376"/>
      <c r="J9" s="379"/>
      <c r="K9" s="400"/>
      <c r="L9" s="402"/>
      <c r="M9" s="388"/>
      <c r="N9" s="388"/>
      <c r="O9" s="179" t="s">
        <v>79</v>
      </c>
      <c r="P9" s="199">
        <f>IF(I7&gt;=0,IF(I7&lt;=0.5,20,IF(I7&lt;=0.75,25,IF(I7&lt;=1,30,IF(I7&lt;=1.5,35,40)))))</f>
        <v>40</v>
      </c>
      <c r="Q9" s="353"/>
      <c r="R9" s="392"/>
      <c r="S9" s="379"/>
      <c r="T9" s="395"/>
      <c r="U9" s="397"/>
      <c r="V9" s="379"/>
      <c r="W9" s="379"/>
      <c r="X9" s="392"/>
      <c r="Y9" s="379"/>
      <c r="Z9" s="395"/>
      <c r="AA9" s="397"/>
      <c r="AB9" s="379"/>
      <c r="AC9" s="379"/>
      <c r="AD9" s="374"/>
      <c r="AF9" s="171"/>
    </row>
    <row r="10" spans="1:32" s="2" customFormat="1" ht="21" hidden="1" customHeight="1" x14ac:dyDescent="0.2">
      <c r="A10" s="369"/>
      <c r="B10" s="367"/>
      <c r="C10" s="13" t="s">
        <v>9</v>
      </c>
      <c r="D10" s="121"/>
      <c r="E10" s="111"/>
      <c r="F10" s="111"/>
      <c r="G10" s="111"/>
      <c r="H10" s="111"/>
      <c r="I10" s="376"/>
      <c r="J10" s="379"/>
      <c r="K10" s="400"/>
      <c r="L10" s="402"/>
      <c r="M10" s="388"/>
      <c r="N10" s="388"/>
      <c r="O10" s="179" t="s">
        <v>81</v>
      </c>
      <c r="P10" s="199">
        <f>IF('Tener en cuenta'!L3&gt;=0,IF('Tener en cuenta'!L3&lt;=5,20,IF('Tener en cuenta'!L3&lt;=10,30,40)))</f>
        <v>20</v>
      </c>
      <c r="Q10" s="353"/>
      <c r="R10" s="392"/>
      <c r="S10" s="379"/>
      <c r="T10" s="395"/>
      <c r="U10" s="397"/>
      <c r="V10" s="379"/>
      <c r="W10" s="379"/>
      <c r="X10" s="392"/>
      <c r="Y10" s="379"/>
      <c r="Z10" s="395"/>
      <c r="AA10" s="397"/>
      <c r="AB10" s="379"/>
      <c r="AC10" s="379"/>
      <c r="AD10" s="374"/>
      <c r="AF10" s="171"/>
    </row>
    <row r="11" spans="1:32" s="2" customFormat="1" ht="21" hidden="1" customHeight="1" x14ac:dyDescent="0.2">
      <c r="A11" s="369"/>
      <c r="B11" s="367"/>
      <c r="C11" s="13" t="s">
        <v>10</v>
      </c>
      <c r="D11" s="121"/>
      <c r="E11" s="111"/>
      <c r="F11" s="111"/>
      <c r="G11" s="111"/>
      <c r="H11" s="111"/>
      <c r="I11" s="376"/>
      <c r="J11" s="379"/>
      <c r="K11" s="400"/>
      <c r="L11" s="402"/>
      <c r="M11" s="388"/>
      <c r="N11" s="388"/>
      <c r="O11" s="179" t="s">
        <v>80</v>
      </c>
      <c r="P11" s="262">
        <f>'Tener en cuenta'!P3</f>
        <v>0</v>
      </c>
      <c r="Q11" s="354"/>
      <c r="R11" s="392"/>
      <c r="S11" s="379"/>
      <c r="T11" s="395"/>
      <c r="U11" s="397"/>
      <c r="V11" s="379"/>
      <c r="W11" s="379"/>
      <c r="X11" s="392"/>
      <c r="Y11" s="379"/>
      <c r="Z11" s="395"/>
      <c r="AA11" s="397"/>
      <c r="AB11" s="379"/>
      <c r="AC11" s="379"/>
      <c r="AD11" s="374"/>
      <c r="AF11" s="171"/>
    </row>
    <row r="12" spans="1:32" s="2" customFormat="1" ht="21" hidden="1" customHeight="1" x14ac:dyDescent="0.2">
      <c r="A12" s="369"/>
      <c r="B12" s="371" t="str">
        <f>CONCATENATE("NIT.  ",'Tener en cuenta'!E3)</f>
        <v xml:space="preserve">NIT.  </v>
      </c>
      <c r="C12" s="13" t="s">
        <v>13</v>
      </c>
      <c r="D12" s="121"/>
      <c r="E12" s="111"/>
      <c r="F12" s="111"/>
      <c r="G12" s="111"/>
      <c r="H12" s="111"/>
      <c r="I12" s="376"/>
      <c r="J12" s="379"/>
      <c r="K12" s="400"/>
      <c r="L12" s="402"/>
      <c r="M12" s="388"/>
      <c r="N12" s="388"/>
      <c r="O12" s="355" t="str">
        <f>IF(Q7&gt;=($C$168*1000),'Tener en cuenta'!$AC$13,'Tener en cuenta'!$AC$14)</f>
        <v>CRP  NO Cumple</v>
      </c>
      <c r="P12" s="361"/>
      <c r="Q12" s="362"/>
      <c r="R12" s="392"/>
      <c r="S12" s="379"/>
      <c r="T12" s="395"/>
      <c r="U12" s="397"/>
      <c r="V12" s="379"/>
      <c r="W12" s="379"/>
      <c r="X12" s="392"/>
      <c r="Y12" s="379"/>
      <c r="Z12" s="395"/>
      <c r="AA12" s="397"/>
      <c r="AB12" s="379"/>
      <c r="AC12" s="379"/>
      <c r="AD12" s="374"/>
      <c r="AF12" s="171"/>
    </row>
    <row r="13" spans="1:32" s="7" customFormat="1" ht="21" hidden="1" customHeight="1" thickBot="1" x14ac:dyDescent="0.25">
      <c r="A13" s="370"/>
      <c r="B13" s="372"/>
      <c r="C13" s="30" t="s">
        <v>14</v>
      </c>
      <c r="D13" s="122"/>
      <c r="E13" s="112"/>
      <c r="F13" s="112"/>
      <c r="G13" s="112"/>
      <c r="H13" s="112"/>
      <c r="I13" s="377"/>
      <c r="J13" s="380"/>
      <c r="K13" s="401"/>
      <c r="L13" s="403"/>
      <c r="M13" s="389"/>
      <c r="N13" s="389"/>
      <c r="O13" s="363"/>
      <c r="P13" s="364"/>
      <c r="Q13" s="365"/>
      <c r="R13" s="393"/>
      <c r="S13" s="380"/>
      <c r="T13" s="396"/>
      <c r="U13" s="398"/>
      <c r="V13" s="380"/>
      <c r="W13" s="380"/>
      <c r="X13" s="393"/>
      <c r="Y13" s="380"/>
      <c r="Z13" s="396"/>
      <c r="AA13" s="398"/>
      <c r="AB13" s="380"/>
      <c r="AC13" s="380"/>
      <c r="AD13" s="43" t="s">
        <v>135</v>
      </c>
      <c r="AF13" s="172"/>
    </row>
    <row r="14" spans="1:32" s="2" customFormat="1" ht="21" hidden="1" customHeight="1" x14ac:dyDescent="0.2">
      <c r="A14" s="368">
        <v>2</v>
      </c>
      <c r="B14" s="399">
        <f>'Tener en cuenta'!F4</f>
        <v>0</v>
      </c>
      <c r="C14" s="12" t="s">
        <v>11</v>
      </c>
      <c r="D14" s="120"/>
      <c r="E14" s="118"/>
      <c r="F14" s="118"/>
      <c r="G14" s="118"/>
      <c r="H14" s="118"/>
      <c r="I14" s="376" t="str">
        <f>IFERROR(+D14/D16,"indeterminado")</f>
        <v>indeterminado</v>
      </c>
      <c r="J14" s="379" t="str">
        <f>IFERROR(+(D17/D15),"indeterminado")</f>
        <v>indeterminado</v>
      </c>
      <c r="K14" s="382" t="str">
        <f>IFERROR(+D19/D20,"indeterminado")</f>
        <v>indeterminado</v>
      </c>
      <c r="L14" s="390">
        <f>+(D14-D16)</f>
        <v>0</v>
      </c>
      <c r="M14" s="388" t="str">
        <f>IFERROR(+D19/D18,"indeterminado")</f>
        <v>indeterminado</v>
      </c>
      <c r="N14" s="388" t="str">
        <f>IFERROR(+D19/D15,"indeterminado")</f>
        <v>indeterminado</v>
      </c>
      <c r="O14" s="179" t="s">
        <v>78</v>
      </c>
      <c r="P14" s="241">
        <f>IF('Tener en cuenta'!O4&gt;'Tener en cuenta'!$AH$30,'Tener en cuenta'!O4,'Tener en cuenta'!$AH$30)</f>
        <v>457297264</v>
      </c>
      <c r="Q14" s="350">
        <f>P14*((P15+P17+P16)/100)-P18</f>
        <v>548756716.79999995</v>
      </c>
      <c r="R14" s="392" t="e">
        <f>+G14/G16</f>
        <v>#DIV/0!</v>
      </c>
      <c r="S14" s="379" t="e">
        <f>+G17/G15</f>
        <v>#DIV/0!</v>
      </c>
      <c r="T14" s="394" t="s">
        <v>15</v>
      </c>
      <c r="U14" s="397">
        <f>+G14-G16</f>
        <v>0</v>
      </c>
      <c r="V14" s="379" t="e">
        <f>+G19/G18</f>
        <v>#DIV/0!</v>
      </c>
      <c r="W14" s="379" t="e">
        <f>+G19/G15</f>
        <v>#DIV/0!</v>
      </c>
      <c r="X14" s="392" t="e">
        <f>+D14/D16</f>
        <v>#DIV/0!</v>
      </c>
      <c r="Y14" s="379" t="e">
        <f>+D17/D15</f>
        <v>#DIV/0!</v>
      </c>
      <c r="Z14" s="394" t="s">
        <v>15</v>
      </c>
      <c r="AA14" s="397">
        <f>+D14-D16</f>
        <v>0</v>
      </c>
      <c r="AB14" s="379" t="e">
        <f>+D19/D18</f>
        <v>#DIV/0!</v>
      </c>
      <c r="AC14" s="379" t="e">
        <f>+D19/D15</f>
        <v>#DIV/0!</v>
      </c>
      <c r="AD14" s="48" t="s">
        <v>47</v>
      </c>
      <c r="AF14" s="171"/>
    </row>
    <row r="15" spans="1:32" s="2" customFormat="1" ht="21" hidden="1" customHeight="1" x14ac:dyDescent="0.2">
      <c r="A15" s="369"/>
      <c r="B15" s="367"/>
      <c r="C15" s="13" t="s">
        <v>12</v>
      </c>
      <c r="D15" s="121"/>
      <c r="E15" s="111"/>
      <c r="F15" s="111"/>
      <c r="G15" s="111"/>
      <c r="H15" s="111"/>
      <c r="I15" s="376"/>
      <c r="J15" s="379"/>
      <c r="K15" s="382"/>
      <c r="L15" s="390"/>
      <c r="M15" s="388"/>
      <c r="N15" s="388"/>
      <c r="O15" s="179" t="s">
        <v>82</v>
      </c>
      <c r="P15" s="199">
        <f>IF('Tener en cuenta'!N4&gt;=0,IF('Tener en cuenta'!N4&lt;=3,60,IF('Tener en cuenta'!N4&lt;=6,80,IF('Tener en cuenta'!N4&lt;=10,100,120))))</f>
        <v>60</v>
      </c>
      <c r="Q15" s="353"/>
      <c r="R15" s="392"/>
      <c r="S15" s="379"/>
      <c r="T15" s="395"/>
      <c r="U15" s="397"/>
      <c r="V15" s="379"/>
      <c r="W15" s="379"/>
      <c r="X15" s="392"/>
      <c r="Y15" s="379"/>
      <c r="Z15" s="395"/>
      <c r="AA15" s="397"/>
      <c r="AB15" s="379"/>
      <c r="AC15" s="379"/>
      <c r="AD15" s="373" t="s">
        <v>43</v>
      </c>
      <c r="AF15" s="171"/>
    </row>
    <row r="16" spans="1:32" s="2" customFormat="1" ht="21" hidden="1" customHeight="1" x14ac:dyDescent="0.2">
      <c r="A16" s="369"/>
      <c r="B16" s="367"/>
      <c r="C16" s="13" t="s">
        <v>8</v>
      </c>
      <c r="D16" s="121"/>
      <c r="E16" s="111"/>
      <c r="F16" s="111"/>
      <c r="G16" s="111"/>
      <c r="H16" s="111"/>
      <c r="I16" s="376"/>
      <c r="J16" s="379"/>
      <c r="K16" s="382"/>
      <c r="L16" s="390"/>
      <c r="M16" s="388"/>
      <c r="N16" s="388"/>
      <c r="O16" s="179" t="s">
        <v>79</v>
      </c>
      <c r="P16" s="199">
        <f>IF(I14&gt;=0,IF(I14&lt;=0.5,20,IF(I14&lt;=0.75,25,IF(I14&lt;=1,30,IF(I14&lt;=1.5,35,40)))))</f>
        <v>40</v>
      </c>
      <c r="Q16" s="353"/>
      <c r="R16" s="392"/>
      <c r="S16" s="379"/>
      <c r="T16" s="395"/>
      <c r="U16" s="397"/>
      <c r="V16" s="379"/>
      <c r="W16" s="379"/>
      <c r="X16" s="392"/>
      <c r="Y16" s="379"/>
      <c r="Z16" s="395"/>
      <c r="AA16" s="397"/>
      <c r="AB16" s="379"/>
      <c r="AC16" s="379"/>
      <c r="AD16" s="374"/>
      <c r="AF16" s="171"/>
    </row>
    <row r="17" spans="1:32" s="2" customFormat="1" ht="21" hidden="1" customHeight="1" x14ac:dyDescent="0.2">
      <c r="A17" s="369"/>
      <c r="B17" s="367"/>
      <c r="C17" s="13" t="s">
        <v>9</v>
      </c>
      <c r="D17" s="121"/>
      <c r="E17" s="111"/>
      <c r="F17" s="111"/>
      <c r="G17" s="111"/>
      <c r="H17" s="111"/>
      <c r="I17" s="376"/>
      <c r="J17" s="379"/>
      <c r="K17" s="382"/>
      <c r="L17" s="390"/>
      <c r="M17" s="388"/>
      <c r="N17" s="388"/>
      <c r="O17" s="179" t="s">
        <v>81</v>
      </c>
      <c r="P17" s="199">
        <f>IF('Tener en cuenta'!L4&gt;=0,IF('Tener en cuenta'!L4&lt;=5,20,IF('Tener en cuenta'!L4&lt;=10,30,40)))</f>
        <v>20</v>
      </c>
      <c r="Q17" s="353"/>
      <c r="R17" s="392"/>
      <c r="S17" s="379"/>
      <c r="T17" s="395"/>
      <c r="U17" s="397"/>
      <c r="V17" s="379"/>
      <c r="W17" s="379"/>
      <c r="X17" s="392"/>
      <c r="Y17" s="379"/>
      <c r="Z17" s="395"/>
      <c r="AA17" s="397"/>
      <c r="AB17" s="379"/>
      <c r="AC17" s="379"/>
      <c r="AD17" s="374"/>
      <c r="AF17" s="171"/>
    </row>
    <row r="18" spans="1:32" s="2" customFormat="1" ht="21" hidden="1" customHeight="1" x14ac:dyDescent="0.2">
      <c r="A18" s="369"/>
      <c r="B18" s="367"/>
      <c r="C18" s="13" t="s">
        <v>10</v>
      </c>
      <c r="D18" s="121"/>
      <c r="E18" s="111"/>
      <c r="F18" s="111"/>
      <c r="G18" s="111"/>
      <c r="H18" s="111"/>
      <c r="I18" s="376"/>
      <c r="J18" s="379"/>
      <c r="K18" s="382"/>
      <c r="L18" s="390"/>
      <c r="M18" s="388"/>
      <c r="N18" s="388"/>
      <c r="O18" s="179" t="s">
        <v>80</v>
      </c>
      <c r="P18" s="262">
        <f>'Tener en cuenta'!P4</f>
        <v>0</v>
      </c>
      <c r="Q18" s="354"/>
      <c r="R18" s="392"/>
      <c r="S18" s="379"/>
      <c r="T18" s="395"/>
      <c r="U18" s="397"/>
      <c r="V18" s="379"/>
      <c r="W18" s="379"/>
      <c r="X18" s="392"/>
      <c r="Y18" s="379"/>
      <c r="Z18" s="395"/>
      <c r="AA18" s="397"/>
      <c r="AB18" s="379"/>
      <c r="AC18" s="379"/>
      <c r="AD18" s="374"/>
      <c r="AF18" s="171"/>
    </row>
    <row r="19" spans="1:32" s="2" customFormat="1" ht="21" hidden="1" customHeight="1" x14ac:dyDescent="0.2">
      <c r="A19" s="369"/>
      <c r="B19" s="371" t="str">
        <f>CONCATENATE("NIT.  ",'Tener en cuenta'!E4)</f>
        <v xml:space="preserve">NIT.  </v>
      </c>
      <c r="C19" s="13" t="s">
        <v>13</v>
      </c>
      <c r="D19" s="121"/>
      <c r="E19" s="111"/>
      <c r="F19" s="111"/>
      <c r="G19" s="111"/>
      <c r="H19" s="111"/>
      <c r="I19" s="376"/>
      <c r="J19" s="379"/>
      <c r="K19" s="382"/>
      <c r="L19" s="390"/>
      <c r="M19" s="388"/>
      <c r="N19" s="388"/>
      <c r="O19" s="355" t="str">
        <f>IF(Q14&gt;=($C$168*1000),'Tener en cuenta'!$AC$13,'Tener en cuenta'!$AC$14)</f>
        <v>CRP  NO Cumple</v>
      </c>
      <c r="P19" s="361"/>
      <c r="Q19" s="362"/>
      <c r="R19" s="392"/>
      <c r="S19" s="379"/>
      <c r="T19" s="395"/>
      <c r="U19" s="397"/>
      <c r="V19" s="379"/>
      <c r="W19" s="379"/>
      <c r="X19" s="392"/>
      <c r="Y19" s="379"/>
      <c r="Z19" s="395"/>
      <c r="AA19" s="397"/>
      <c r="AB19" s="379"/>
      <c r="AC19" s="379"/>
      <c r="AD19" s="374"/>
      <c r="AF19" s="171"/>
    </row>
    <row r="20" spans="1:32" s="7" customFormat="1" ht="21" hidden="1" customHeight="1" thickBot="1" x14ac:dyDescent="0.25">
      <c r="A20" s="370"/>
      <c r="B20" s="372"/>
      <c r="C20" s="30" t="s">
        <v>14</v>
      </c>
      <c r="D20" s="122"/>
      <c r="E20" s="112"/>
      <c r="F20" s="112"/>
      <c r="G20" s="112"/>
      <c r="H20" s="112"/>
      <c r="I20" s="377"/>
      <c r="J20" s="380"/>
      <c r="K20" s="383"/>
      <c r="L20" s="391"/>
      <c r="M20" s="389"/>
      <c r="N20" s="389"/>
      <c r="O20" s="363"/>
      <c r="P20" s="364"/>
      <c r="Q20" s="365"/>
      <c r="R20" s="393"/>
      <c r="S20" s="380"/>
      <c r="T20" s="396"/>
      <c r="U20" s="398"/>
      <c r="V20" s="380"/>
      <c r="W20" s="380"/>
      <c r="X20" s="393"/>
      <c r="Y20" s="380"/>
      <c r="Z20" s="396"/>
      <c r="AA20" s="398"/>
      <c r="AB20" s="380"/>
      <c r="AC20" s="380"/>
      <c r="AD20" s="43" t="s">
        <v>135</v>
      </c>
      <c r="AF20" s="172"/>
    </row>
    <row r="21" spans="1:32" s="2" customFormat="1" ht="21" hidden="1" customHeight="1" x14ac:dyDescent="0.2">
      <c r="A21" s="368">
        <v>3</v>
      </c>
      <c r="B21" s="399">
        <f>'Tener en cuenta'!F5</f>
        <v>0</v>
      </c>
      <c r="C21" s="12" t="s">
        <v>11</v>
      </c>
      <c r="D21" s="121"/>
      <c r="E21" s="183"/>
      <c r="F21" s="118"/>
      <c r="G21" s="183"/>
      <c r="H21" s="183"/>
      <c r="I21" s="376" t="str">
        <f>IFERROR(+D21/D23,"indeterminado")</f>
        <v>indeterminado</v>
      </c>
      <c r="J21" s="379" t="str">
        <f>IFERROR(+(D24/D22),"indeterminado")</f>
        <v>indeterminado</v>
      </c>
      <c r="K21" s="382" t="str">
        <f>IFERROR(+D26/D27,"indeterminado")</f>
        <v>indeterminado</v>
      </c>
      <c r="L21" s="390">
        <f>+(D21-D23)</f>
        <v>0</v>
      </c>
      <c r="M21" s="388" t="str">
        <f>IFERROR(+D26/D25,"indeterminado")</f>
        <v>indeterminado</v>
      </c>
      <c r="N21" s="388" t="str">
        <f>IFERROR(+D26/D22,"indeterminado")</f>
        <v>indeterminado</v>
      </c>
      <c r="O21" s="179" t="s">
        <v>78</v>
      </c>
      <c r="P21" s="241">
        <f>IF('Tener en cuenta'!O5&gt;'Tener en cuenta'!$AH$30,'Tener en cuenta'!O5,'Tener en cuenta'!$AH$30)</f>
        <v>457297264</v>
      </c>
      <c r="Q21" s="350">
        <f>P21*((P22+P24+P23)/100)-P25</f>
        <v>548756716.79999995</v>
      </c>
      <c r="R21" s="392" t="e">
        <f>+G21/G23</f>
        <v>#DIV/0!</v>
      </c>
      <c r="S21" s="379" t="e">
        <f>+G24/G22</f>
        <v>#DIV/0!</v>
      </c>
      <c r="T21" s="394" t="s">
        <v>15</v>
      </c>
      <c r="U21" s="397">
        <f>+G21-G23</f>
        <v>0</v>
      </c>
      <c r="V21" s="379" t="e">
        <f>+G26/G25</f>
        <v>#DIV/0!</v>
      </c>
      <c r="W21" s="379" t="e">
        <f>+G26/G22</f>
        <v>#DIV/0!</v>
      </c>
      <c r="X21" s="392" t="e">
        <f>+D21/D23</f>
        <v>#DIV/0!</v>
      </c>
      <c r="Y21" s="379" t="e">
        <f>+D24/D22</f>
        <v>#DIV/0!</v>
      </c>
      <c r="Z21" s="394" t="s">
        <v>15</v>
      </c>
      <c r="AA21" s="397">
        <f>+D21-D23</f>
        <v>0</v>
      </c>
      <c r="AB21" s="379" t="e">
        <f>+D26/D25</f>
        <v>#DIV/0!</v>
      </c>
      <c r="AC21" s="379" t="e">
        <f>+D26/D22</f>
        <v>#DIV/0!</v>
      </c>
      <c r="AD21" s="48" t="s">
        <v>47</v>
      </c>
      <c r="AF21" s="171"/>
    </row>
    <row r="22" spans="1:32" s="2" customFormat="1" ht="21" hidden="1" customHeight="1" x14ac:dyDescent="0.2">
      <c r="A22" s="369"/>
      <c r="B22" s="367"/>
      <c r="C22" s="13" t="s">
        <v>12</v>
      </c>
      <c r="D22" s="121"/>
      <c r="E22" s="111"/>
      <c r="F22" s="111"/>
      <c r="G22" s="111"/>
      <c r="H22" s="111"/>
      <c r="I22" s="376"/>
      <c r="J22" s="379"/>
      <c r="K22" s="382"/>
      <c r="L22" s="390"/>
      <c r="M22" s="388"/>
      <c r="N22" s="388"/>
      <c r="O22" s="179" t="s">
        <v>82</v>
      </c>
      <c r="P22" s="199">
        <f>IF('Tener en cuenta'!N5&gt;=0,IF('Tener en cuenta'!N5&lt;=3,60,IF('Tener en cuenta'!N5&lt;=6,80,IF('Tener en cuenta'!N5&lt;=10,100,120))))</f>
        <v>60</v>
      </c>
      <c r="Q22" s="353"/>
      <c r="R22" s="392"/>
      <c r="S22" s="379"/>
      <c r="T22" s="395"/>
      <c r="U22" s="397"/>
      <c r="V22" s="379"/>
      <c r="W22" s="379"/>
      <c r="X22" s="392"/>
      <c r="Y22" s="379"/>
      <c r="Z22" s="395"/>
      <c r="AA22" s="397"/>
      <c r="AB22" s="379"/>
      <c r="AC22" s="379"/>
      <c r="AD22" s="373" t="s">
        <v>43</v>
      </c>
      <c r="AF22" s="171"/>
    </row>
    <row r="23" spans="1:32" s="2" customFormat="1" ht="21" hidden="1" customHeight="1" x14ac:dyDescent="0.2">
      <c r="A23" s="369"/>
      <c r="B23" s="367"/>
      <c r="C23" s="13" t="s">
        <v>8</v>
      </c>
      <c r="D23" s="121"/>
      <c r="E23" s="111"/>
      <c r="F23" s="111"/>
      <c r="G23" s="111"/>
      <c r="H23" s="111"/>
      <c r="I23" s="376"/>
      <c r="J23" s="379"/>
      <c r="K23" s="382"/>
      <c r="L23" s="390"/>
      <c r="M23" s="388"/>
      <c r="N23" s="388"/>
      <c r="O23" s="179" t="s">
        <v>79</v>
      </c>
      <c r="P23" s="199">
        <f>IF(I21&gt;=0,IF(I21&lt;=0.5,20,IF(I21&lt;=0.75,25,IF(I21&lt;=1,30,IF(I21&lt;=1.5,35,40)))))</f>
        <v>40</v>
      </c>
      <c r="Q23" s="353"/>
      <c r="R23" s="392"/>
      <c r="S23" s="379"/>
      <c r="T23" s="395"/>
      <c r="U23" s="397"/>
      <c r="V23" s="379"/>
      <c r="W23" s="379"/>
      <c r="X23" s="392"/>
      <c r="Y23" s="379"/>
      <c r="Z23" s="395"/>
      <c r="AA23" s="397"/>
      <c r="AB23" s="379"/>
      <c r="AC23" s="379"/>
      <c r="AD23" s="374"/>
      <c r="AF23" s="171"/>
    </row>
    <row r="24" spans="1:32" s="2" customFormat="1" ht="21" hidden="1" customHeight="1" x14ac:dyDescent="0.2">
      <c r="A24" s="369"/>
      <c r="B24" s="367"/>
      <c r="C24" s="13" t="s">
        <v>9</v>
      </c>
      <c r="D24" s="121"/>
      <c r="E24" s="111"/>
      <c r="F24" s="111"/>
      <c r="G24" s="111"/>
      <c r="H24" s="111"/>
      <c r="I24" s="376"/>
      <c r="J24" s="379"/>
      <c r="K24" s="382"/>
      <c r="L24" s="390"/>
      <c r="M24" s="388"/>
      <c r="N24" s="388"/>
      <c r="O24" s="179" t="s">
        <v>81</v>
      </c>
      <c r="P24" s="199">
        <f>IF('Tener en cuenta'!L5&gt;=0,IF('Tener en cuenta'!L5&lt;=5,20,IF('Tener en cuenta'!L5&lt;=10,30,40)))</f>
        <v>20</v>
      </c>
      <c r="Q24" s="353"/>
      <c r="R24" s="392"/>
      <c r="S24" s="379"/>
      <c r="T24" s="395"/>
      <c r="U24" s="397"/>
      <c r="V24" s="379"/>
      <c r="W24" s="379"/>
      <c r="X24" s="392"/>
      <c r="Y24" s="379"/>
      <c r="Z24" s="395"/>
      <c r="AA24" s="397"/>
      <c r="AB24" s="379"/>
      <c r="AC24" s="379"/>
      <c r="AD24" s="374"/>
      <c r="AF24" s="171"/>
    </row>
    <row r="25" spans="1:32" s="2" customFormat="1" ht="21" hidden="1" customHeight="1" x14ac:dyDescent="0.2">
      <c r="A25" s="369"/>
      <c r="B25" s="367"/>
      <c r="C25" s="13" t="s">
        <v>10</v>
      </c>
      <c r="D25" s="121"/>
      <c r="E25" s="111"/>
      <c r="F25" s="111"/>
      <c r="G25" s="111"/>
      <c r="H25" s="111"/>
      <c r="I25" s="376"/>
      <c r="J25" s="379"/>
      <c r="K25" s="382"/>
      <c r="L25" s="390"/>
      <c r="M25" s="388"/>
      <c r="N25" s="388"/>
      <c r="O25" s="179" t="s">
        <v>80</v>
      </c>
      <c r="P25" s="262">
        <f>'Tener en cuenta'!P5</f>
        <v>0</v>
      </c>
      <c r="Q25" s="354"/>
      <c r="R25" s="392"/>
      <c r="S25" s="379"/>
      <c r="T25" s="395"/>
      <c r="U25" s="397"/>
      <c r="V25" s="379"/>
      <c r="W25" s="379"/>
      <c r="X25" s="392"/>
      <c r="Y25" s="379"/>
      <c r="Z25" s="395"/>
      <c r="AA25" s="397"/>
      <c r="AB25" s="379"/>
      <c r="AC25" s="379"/>
      <c r="AD25" s="374"/>
      <c r="AF25" s="171"/>
    </row>
    <row r="26" spans="1:32" s="2" customFormat="1" ht="21" hidden="1" customHeight="1" x14ac:dyDescent="0.2">
      <c r="A26" s="369"/>
      <c r="B26" s="371" t="str">
        <f>CONCATENATE("NIT.  ",'Tener en cuenta'!E5)</f>
        <v xml:space="preserve">NIT.  </v>
      </c>
      <c r="C26" s="13" t="s">
        <v>13</v>
      </c>
      <c r="D26" s="121"/>
      <c r="E26" s="111"/>
      <c r="F26" s="111"/>
      <c r="G26" s="111"/>
      <c r="H26" s="111"/>
      <c r="I26" s="376"/>
      <c r="J26" s="379"/>
      <c r="K26" s="382"/>
      <c r="L26" s="390"/>
      <c r="M26" s="388"/>
      <c r="N26" s="388"/>
      <c r="O26" s="355" t="str">
        <f>IF(Q21&gt;=($C$168*1000),'Tener en cuenta'!$AC$13,'Tener en cuenta'!$AC$14)</f>
        <v>CRP  NO Cumple</v>
      </c>
      <c r="P26" s="361"/>
      <c r="Q26" s="362"/>
      <c r="R26" s="392"/>
      <c r="S26" s="379"/>
      <c r="T26" s="395"/>
      <c r="U26" s="397"/>
      <c r="V26" s="379"/>
      <c r="W26" s="379"/>
      <c r="X26" s="392"/>
      <c r="Y26" s="379"/>
      <c r="Z26" s="395"/>
      <c r="AA26" s="397"/>
      <c r="AB26" s="379"/>
      <c r="AC26" s="379"/>
      <c r="AD26" s="374"/>
      <c r="AF26" s="171"/>
    </row>
    <row r="27" spans="1:32" s="7" customFormat="1" ht="21" hidden="1" customHeight="1" thickBot="1" x14ac:dyDescent="0.25">
      <c r="A27" s="370"/>
      <c r="B27" s="372"/>
      <c r="C27" s="30" t="s">
        <v>14</v>
      </c>
      <c r="D27" s="122"/>
      <c r="E27" s="112"/>
      <c r="F27" s="112"/>
      <c r="G27" s="112"/>
      <c r="H27" s="112"/>
      <c r="I27" s="377"/>
      <c r="J27" s="380"/>
      <c r="K27" s="383"/>
      <c r="L27" s="391"/>
      <c r="M27" s="389"/>
      <c r="N27" s="389"/>
      <c r="O27" s="363"/>
      <c r="P27" s="364"/>
      <c r="Q27" s="365"/>
      <c r="R27" s="393"/>
      <c r="S27" s="380"/>
      <c r="T27" s="396"/>
      <c r="U27" s="398"/>
      <c r="V27" s="380"/>
      <c r="W27" s="380"/>
      <c r="X27" s="393"/>
      <c r="Y27" s="380"/>
      <c r="Z27" s="396"/>
      <c r="AA27" s="398"/>
      <c r="AB27" s="380"/>
      <c r="AC27" s="380"/>
      <c r="AD27" s="43" t="s">
        <v>135</v>
      </c>
      <c r="AF27" s="172"/>
    </row>
    <row r="28" spans="1:32" s="134" customFormat="1" ht="33.75" hidden="1" customHeight="1" thickBot="1" x14ac:dyDescent="0.25">
      <c r="A28" s="225"/>
      <c r="B28" s="226">
        <f>'Tener en cuenta'!F27</f>
        <v>0</v>
      </c>
      <c r="C28" s="227"/>
      <c r="D28" s="228"/>
      <c r="E28" s="229"/>
      <c r="F28" s="229"/>
      <c r="G28" s="229"/>
      <c r="H28" s="229"/>
      <c r="I28" s="230" t="str">
        <f>IFERROR((I29*'Tener en cuenta'!B6)+(I36*'Tener en cuenta'!B7)+(I43*'Tener en cuenta'!B8),"indeterminado")</f>
        <v>indeterminado</v>
      </c>
      <c r="J28" s="231" t="str">
        <f>IFERROR((J29*'Tener en cuenta'!B6)+(J36*'Tener en cuenta'!B7)+(J43*'Tener en cuenta'!B8),"indeterminado")</f>
        <v>indeterminado</v>
      </c>
      <c r="K28" s="232" t="str">
        <f>IFERROR((K29*'Tener en cuenta'!B6)+(K36*'Tener en cuenta'!B7)+(K43*'Tener en cuenta'!B8),"indeterminado")</f>
        <v>indeterminado</v>
      </c>
      <c r="L28" s="233">
        <f>(L29*'Tener en cuenta'!B6)+(L36*'Tener en cuenta'!B7)+(L43*'Tener en cuenta'!B8)</f>
        <v>0</v>
      </c>
      <c r="M28" s="234" t="str">
        <f>IFERROR((M29*'Tener en cuenta'!B6)+(M36*'Tener en cuenta'!B7)+(M43*'Tener en cuenta'!B8),"indeterminado")</f>
        <v>indeterminado</v>
      </c>
      <c r="N28" s="235" t="str">
        <f>IFERROR((N29*'Tener en cuenta'!B6)+(N36*'Tener en cuenta'!B7)+(N43*'Tener en cuenta'!B8),"indeterminado")</f>
        <v>indeterminado</v>
      </c>
      <c r="O28" s="236"/>
      <c r="P28" s="237"/>
      <c r="Q28" s="236"/>
      <c r="R28" s="238"/>
      <c r="S28" s="231"/>
      <c r="T28" s="239"/>
      <c r="U28" s="240"/>
      <c r="V28" s="231"/>
      <c r="W28" s="231"/>
      <c r="X28" s="238"/>
      <c r="Y28" s="231"/>
      <c r="Z28" s="239"/>
      <c r="AA28" s="240"/>
      <c r="AB28" s="231"/>
      <c r="AC28" s="231"/>
      <c r="AD28" s="164" t="s">
        <v>47</v>
      </c>
      <c r="AF28" s="173"/>
    </row>
    <row r="29" spans="1:32" s="2" customFormat="1" ht="21" hidden="1" customHeight="1" x14ac:dyDescent="0.2">
      <c r="A29" s="369" t="s">
        <v>69</v>
      </c>
      <c r="B29" s="409">
        <f>'Tener en cuenta'!F6</f>
        <v>0</v>
      </c>
      <c r="C29" s="107" t="s">
        <v>11</v>
      </c>
      <c r="D29" s="120"/>
      <c r="E29" s="118"/>
      <c r="F29" s="118"/>
      <c r="G29" s="118"/>
      <c r="H29" s="118"/>
      <c r="I29" s="375" t="str">
        <f>IFERROR(+D29/D31,"indeterminado")</f>
        <v>indeterminado</v>
      </c>
      <c r="J29" s="378" t="str">
        <f>IFERROR(+(D32/D30),"indeterminado")</f>
        <v>indeterminado</v>
      </c>
      <c r="K29" s="381" t="str">
        <f>IFERROR(+D34/D35,"indeterminado")</f>
        <v>indeterminado</v>
      </c>
      <c r="L29" s="384">
        <f>+(D29-D31)</f>
        <v>0</v>
      </c>
      <c r="M29" s="387" t="str">
        <f>IFERROR(+D34/D33,"indeterminado")</f>
        <v>indeterminado</v>
      </c>
      <c r="N29" s="387" t="str">
        <f>IFERROR(+D34/D30,"indeterminado")</f>
        <v>indeterminado</v>
      </c>
      <c r="O29" s="181" t="s">
        <v>78</v>
      </c>
      <c r="P29" s="241">
        <f>IF('Tener en cuenta'!O6&gt;'Tener en cuenta'!$AH$30,'Tener en cuenta'!O6,'Tener en cuenta'!$AH$30)</f>
        <v>457297264</v>
      </c>
      <c r="Q29" s="350">
        <f>P29*((P30+P32+P31)/100)-P33</f>
        <v>548756716.79999995</v>
      </c>
      <c r="R29" s="411" t="e">
        <f>+G29/G31</f>
        <v>#DIV/0!</v>
      </c>
      <c r="S29" s="378" t="e">
        <f>+G32/G30</f>
        <v>#DIV/0!</v>
      </c>
      <c r="T29" s="412" t="s">
        <v>15</v>
      </c>
      <c r="U29" s="413">
        <f>+G29-G31</f>
        <v>0</v>
      </c>
      <c r="V29" s="378" t="e">
        <f>+G34/G33</f>
        <v>#DIV/0!</v>
      </c>
      <c r="W29" s="378" t="e">
        <f>+G34/G30</f>
        <v>#DIV/0!</v>
      </c>
      <c r="X29" s="411" t="e">
        <f>+D29/D31</f>
        <v>#DIV/0!</v>
      </c>
      <c r="Y29" s="378" t="e">
        <f>+D32/D30</f>
        <v>#DIV/0!</v>
      </c>
      <c r="Z29" s="412" t="s">
        <v>15</v>
      </c>
      <c r="AA29" s="413">
        <f>+D29-D31</f>
        <v>0</v>
      </c>
      <c r="AB29" s="378" t="e">
        <f>+D34/D33</f>
        <v>#DIV/0!</v>
      </c>
      <c r="AC29" s="378" t="e">
        <f>+D34/D30</f>
        <v>#DIV/0!</v>
      </c>
      <c r="AD29" s="147" t="s">
        <v>47</v>
      </c>
      <c r="AF29" s="171"/>
    </row>
    <row r="30" spans="1:32" s="2" customFormat="1" ht="21" hidden="1" customHeight="1" x14ac:dyDescent="0.2">
      <c r="A30" s="369"/>
      <c r="B30" s="367"/>
      <c r="C30" s="13" t="s">
        <v>12</v>
      </c>
      <c r="D30" s="121"/>
      <c r="E30" s="118"/>
      <c r="F30" s="111"/>
      <c r="G30" s="111"/>
      <c r="H30" s="111"/>
      <c r="I30" s="376"/>
      <c r="J30" s="379"/>
      <c r="K30" s="382"/>
      <c r="L30" s="385"/>
      <c r="M30" s="388"/>
      <c r="N30" s="388"/>
      <c r="O30" s="179" t="s">
        <v>82</v>
      </c>
      <c r="P30" s="199">
        <f>IF('Tener en cuenta'!N6&gt;=0,IF('Tener en cuenta'!N6&lt;=3,60,IF('Tener en cuenta'!N6&lt;=6,80,IF('Tener en cuenta'!N6&lt;=10,100,120))))</f>
        <v>60</v>
      </c>
      <c r="Q30" s="353"/>
      <c r="R30" s="392"/>
      <c r="S30" s="379"/>
      <c r="T30" s="395"/>
      <c r="U30" s="397"/>
      <c r="V30" s="379"/>
      <c r="W30" s="379"/>
      <c r="X30" s="392"/>
      <c r="Y30" s="379"/>
      <c r="Z30" s="395"/>
      <c r="AA30" s="397"/>
      <c r="AB30" s="379"/>
      <c r="AC30" s="379"/>
      <c r="AD30" s="373" t="s">
        <v>43</v>
      </c>
      <c r="AF30" s="171"/>
    </row>
    <row r="31" spans="1:32" s="2" customFormat="1" ht="21" hidden="1" customHeight="1" x14ac:dyDescent="0.2">
      <c r="A31" s="369"/>
      <c r="B31" s="367"/>
      <c r="C31" s="13" t="s">
        <v>8</v>
      </c>
      <c r="D31" s="121"/>
      <c r="E31" s="111"/>
      <c r="F31" s="111"/>
      <c r="G31" s="111"/>
      <c r="H31" s="111"/>
      <c r="I31" s="376"/>
      <c r="J31" s="379"/>
      <c r="K31" s="382"/>
      <c r="L31" s="385"/>
      <c r="M31" s="388"/>
      <c r="N31" s="388"/>
      <c r="O31" s="179" t="s">
        <v>79</v>
      </c>
      <c r="P31" s="199">
        <f>IF(I29&gt;=0,IF(I29&lt;=0.5,20,IF(I29&lt;=0.75,25,IF(I29&lt;=1,30,IF(I29&lt;=1.5,35,40)))))</f>
        <v>40</v>
      </c>
      <c r="Q31" s="353"/>
      <c r="R31" s="392"/>
      <c r="S31" s="379"/>
      <c r="T31" s="395"/>
      <c r="U31" s="397"/>
      <c r="V31" s="379"/>
      <c r="W31" s="379"/>
      <c r="X31" s="392"/>
      <c r="Y31" s="379"/>
      <c r="Z31" s="395"/>
      <c r="AA31" s="397"/>
      <c r="AB31" s="379"/>
      <c r="AC31" s="379"/>
      <c r="AD31" s="374"/>
      <c r="AF31" s="171"/>
    </row>
    <row r="32" spans="1:32" s="2" customFormat="1" ht="21" hidden="1" customHeight="1" x14ac:dyDescent="0.2">
      <c r="A32" s="369"/>
      <c r="B32" s="367"/>
      <c r="C32" s="13" t="s">
        <v>9</v>
      </c>
      <c r="D32" s="121"/>
      <c r="E32" s="111"/>
      <c r="F32" s="111"/>
      <c r="G32" s="111"/>
      <c r="H32" s="111"/>
      <c r="I32" s="376"/>
      <c r="J32" s="379"/>
      <c r="K32" s="382"/>
      <c r="L32" s="385"/>
      <c r="M32" s="388"/>
      <c r="N32" s="388"/>
      <c r="O32" s="179" t="s">
        <v>81</v>
      </c>
      <c r="P32" s="199">
        <f>IF('Tener en cuenta'!L6&gt;=0,IF('Tener en cuenta'!L6&lt;=5,20,IF('Tener en cuenta'!L6&lt;=10,30,40)))</f>
        <v>20</v>
      </c>
      <c r="Q32" s="353"/>
      <c r="R32" s="392"/>
      <c r="S32" s="379"/>
      <c r="T32" s="395"/>
      <c r="U32" s="397"/>
      <c r="V32" s="379"/>
      <c r="W32" s="379"/>
      <c r="X32" s="392"/>
      <c r="Y32" s="379"/>
      <c r="Z32" s="395"/>
      <c r="AA32" s="397"/>
      <c r="AB32" s="379"/>
      <c r="AC32" s="379"/>
      <c r="AD32" s="374"/>
      <c r="AF32" s="171"/>
    </row>
    <row r="33" spans="1:32" s="2" customFormat="1" ht="21" hidden="1" customHeight="1" x14ac:dyDescent="0.2">
      <c r="A33" s="369"/>
      <c r="B33" s="146" t="str">
        <f>CONCATENATE("UT Particip.  ",'Tener en cuenta'!B6*100,"% ")</f>
        <v xml:space="preserve">UT Particip.  0% </v>
      </c>
      <c r="C33" s="13" t="s">
        <v>10</v>
      </c>
      <c r="D33" s="121"/>
      <c r="E33" s="111"/>
      <c r="F33" s="111"/>
      <c r="G33" s="111"/>
      <c r="H33" s="111"/>
      <c r="I33" s="376"/>
      <c r="J33" s="379"/>
      <c r="K33" s="382"/>
      <c r="L33" s="385"/>
      <c r="M33" s="388"/>
      <c r="N33" s="388"/>
      <c r="O33" s="179" t="s">
        <v>80</v>
      </c>
      <c r="P33" s="262">
        <f>'Tener en cuenta'!P6</f>
        <v>0</v>
      </c>
      <c r="Q33" s="354"/>
      <c r="R33" s="392"/>
      <c r="S33" s="379"/>
      <c r="T33" s="395"/>
      <c r="U33" s="397"/>
      <c r="V33" s="379"/>
      <c r="W33" s="379"/>
      <c r="X33" s="392"/>
      <c r="Y33" s="379"/>
      <c r="Z33" s="395"/>
      <c r="AA33" s="397"/>
      <c r="AB33" s="379"/>
      <c r="AC33" s="379"/>
      <c r="AD33" s="374"/>
      <c r="AF33" s="171"/>
    </row>
    <row r="34" spans="1:32" s="2" customFormat="1" ht="21" hidden="1" customHeight="1" x14ac:dyDescent="0.2">
      <c r="A34" s="369"/>
      <c r="B34" s="371" t="str">
        <f>CONCATENATE("NIT.  ",'Tener en cuenta'!E6)</f>
        <v xml:space="preserve">NIT.  </v>
      </c>
      <c r="C34" s="13" t="s">
        <v>13</v>
      </c>
      <c r="D34" s="121"/>
      <c r="E34" s="111"/>
      <c r="F34" s="111"/>
      <c r="G34" s="111"/>
      <c r="H34" s="111"/>
      <c r="I34" s="376"/>
      <c r="J34" s="379"/>
      <c r="K34" s="382"/>
      <c r="L34" s="385"/>
      <c r="M34" s="388"/>
      <c r="N34" s="388"/>
      <c r="O34" s="355" t="str">
        <f>IF(Q29&gt;=($C$168*1000),'Tener en cuenta'!$AC$13,'Tener en cuenta'!$AC$14)</f>
        <v>CRP  NO Cumple</v>
      </c>
      <c r="P34" s="361"/>
      <c r="Q34" s="362"/>
      <c r="R34" s="392"/>
      <c r="S34" s="379"/>
      <c r="T34" s="395"/>
      <c r="U34" s="397"/>
      <c r="V34" s="379"/>
      <c r="W34" s="379"/>
      <c r="X34" s="392"/>
      <c r="Y34" s="379"/>
      <c r="Z34" s="395"/>
      <c r="AA34" s="397"/>
      <c r="AB34" s="379"/>
      <c r="AC34" s="379"/>
      <c r="AD34" s="374"/>
      <c r="AF34" s="171"/>
    </row>
    <row r="35" spans="1:32" s="7" customFormat="1" ht="21" hidden="1" customHeight="1" thickBot="1" x14ac:dyDescent="0.25">
      <c r="A35" s="370"/>
      <c r="B35" s="372"/>
      <c r="C35" s="30" t="s">
        <v>14</v>
      </c>
      <c r="D35" s="122"/>
      <c r="E35" s="112"/>
      <c r="F35" s="112"/>
      <c r="G35" s="112"/>
      <c r="H35" s="112"/>
      <c r="I35" s="377"/>
      <c r="J35" s="380"/>
      <c r="K35" s="383"/>
      <c r="L35" s="386"/>
      <c r="M35" s="389"/>
      <c r="N35" s="389"/>
      <c r="O35" s="363"/>
      <c r="P35" s="364"/>
      <c r="Q35" s="365"/>
      <c r="R35" s="393"/>
      <c r="S35" s="380"/>
      <c r="T35" s="396"/>
      <c r="U35" s="398"/>
      <c r="V35" s="380"/>
      <c r="W35" s="380"/>
      <c r="X35" s="393"/>
      <c r="Y35" s="380"/>
      <c r="Z35" s="396"/>
      <c r="AA35" s="398"/>
      <c r="AB35" s="380"/>
      <c r="AC35" s="380"/>
      <c r="AD35" s="43" t="s">
        <v>51</v>
      </c>
      <c r="AF35" s="172"/>
    </row>
    <row r="36" spans="1:32" s="7" customFormat="1" ht="21" hidden="1" customHeight="1" x14ac:dyDescent="0.2">
      <c r="A36" s="368" t="s">
        <v>70</v>
      </c>
      <c r="B36" s="366">
        <f>'Tener en cuenta'!F7</f>
        <v>0</v>
      </c>
      <c r="C36" s="12" t="s">
        <v>11</v>
      </c>
      <c r="D36" s="88"/>
      <c r="E36" s="183"/>
      <c r="F36" s="118"/>
      <c r="G36" s="108"/>
      <c r="H36" s="108"/>
      <c r="I36" s="375" t="str">
        <f>IFERROR(+D36/D38,"indeterminado")</f>
        <v>indeterminado</v>
      </c>
      <c r="J36" s="378" t="str">
        <f>IFERROR(+(D39/D37),"indeterminado")</f>
        <v>indeterminado</v>
      </c>
      <c r="K36" s="381" t="str">
        <f>IFERROR(+D41/D42,"indeterminado")</f>
        <v>indeterminado</v>
      </c>
      <c r="L36" s="384">
        <f>+(D36-D38)</f>
        <v>0</v>
      </c>
      <c r="M36" s="387" t="str">
        <f>IFERROR(+D41/D40,"indeterminado")</f>
        <v>indeterminado</v>
      </c>
      <c r="N36" s="387" t="str">
        <f>IFERROR(+D41/D37,"indeterminado")</f>
        <v>indeterminado</v>
      </c>
      <c r="O36" s="179" t="s">
        <v>78</v>
      </c>
      <c r="P36" s="241">
        <f>IF('Tener en cuenta'!O7&gt;'Tener en cuenta'!$AH$30,'Tener en cuenta'!O7,'Tener en cuenta'!$AH$30)</f>
        <v>457297264</v>
      </c>
      <c r="Q36" s="350">
        <f>P36*((P37+P39+P38)/100)-P40</f>
        <v>548756716.79999995</v>
      </c>
      <c r="R36" s="140"/>
      <c r="S36" s="139"/>
      <c r="T36" s="141"/>
      <c r="U36" s="142"/>
      <c r="V36" s="139"/>
      <c r="W36" s="139"/>
      <c r="X36" s="140"/>
      <c r="Y36" s="139"/>
      <c r="Z36" s="141"/>
      <c r="AA36" s="142"/>
      <c r="AB36" s="139"/>
      <c r="AC36" s="139"/>
      <c r="AD36" s="147" t="s">
        <v>47</v>
      </c>
      <c r="AF36" s="172"/>
    </row>
    <row r="37" spans="1:32" s="7" customFormat="1" ht="21" hidden="1" customHeight="1" x14ac:dyDescent="0.2">
      <c r="A37" s="369"/>
      <c r="B37" s="367"/>
      <c r="C37" s="13" t="s">
        <v>12</v>
      </c>
      <c r="D37" s="88"/>
      <c r="E37" s="111"/>
      <c r="F37" s="111"/>
      <c r="G37" s="29"/>
      <c r="H37" s="29"/>
      <c r="I37" s="376"/>
      <c r="J37" s="379"/>
      <c r="K37" s="382"/>
      <c r="L37" s="385"/>
      <c r="M37" s="388"/>
      <c r="N37" s="388"/>
      <c r="O37" s="179" t="s">
        <v>82</v>
      </c>
      <c r="P37" s="199">
        <f>IF('Tener en cuenta'!N7&gt;=0,IF('Tener en cuenta'!N7&lt;=3,60,IF('Tener en cuenta'!N7&lt;=6,80,IF('Tener en cuenta'!N7&lt;=10,100,120))))</f>
        <v>60</v>
      </c>
      <c r="Q37" s="353"/>
      <c r="R37" s="140"/>
      <c r="S37" s="139"/>
      <c r="T37" s="141"/>
      <c r="U37" s="142"/>
      <c r="V37" s="139"/>
      <c r="W37" s="139"/>
      <c r="X37" s="140"/>
      <c r="Y37" s="139"/>
      <c r="Z37" s="141"/>
      <c r="AA37" s="142"/>
      <c r="AB37" s="139"/>
      <c r="AC37" s="139"/>
      <c r="AD37" s="373" t="s">
        <v>43</v>
      </c>
      <c r="AF37" s="172"/>
    </row>
    <row r="38" spans="1:32" s="7" customFormat="1" ht="21" hidden="1" customHeight="1" x14ac:dyDescent="0.2">
      <c r="A38" s="369"/>
      <c r="B38" s="367"/>
      <c r="C38" s="13" t="s">
        <v>8</v>
      </c>
      <c r="D38" s="88"/>
      <c r="E38" s="111"/>
      <c r="F38" s="111"/>
      <c r="G38" s="29"/>
      <c r="H38" s="29"/>
      <c r="I38" s="376"/>
      <c r="J38" s="379"/>
      <c r="K38" s="382"/>
      <c r="L38" s="385"/>
      <c r="M38" s="388"/>
      <c r="N38" s="388"/>
      <c r="O38" s="179" t="s">
        <v>79</v>
      </c>
      <c r="P38" s="199">
        <f>IF(I36&gt;=0,IF(I36&lt;=0.5,20,IF(I36&lt;=0.75,25,IF(I36&lt;=1,30,IF(I36&lt;=1.5,35,40)))))</f>
        <v>40</v>
      </c>
      <c r="Q38" s="353"/>
      <c r="R38" s="140"/>
      <c r="S38" s="139"/>
      <c r="T38" s="141"/>
      <c r="U38" s="142"/>
      <c r="V38" s="139"/>
      <c r="W38" s="139"/>
      <c r="X38" s="140"/>
      <c r="Y38" s="139"/>
      <c r="Z38" s="141"/>
      <c r="AA38" s="142"/>
      <c r="AB38" s="139"/>
      <c r="AC38" s="139"/>
      <c r="AD38" s="374"/>
      <c r="AF38" s="172"/>
    </row>
    <row r="39" spans="1:32" s="7" customFormat="1" ht="21" hidden="1" customHeight="1" x14ac:dyDescent="0.2">
      <c r="A39" s="369"/>
      <c r="B39" s="367"/>
      <c r="C39" s="13" t="s">
        <v>9</v>
      </c>
      <c r="D39" s="88"/>
      <c r="E39" s="111"/>
      <c r="F39" s="111"/>
      <c r="G39" s="29"/>
      <c r="H39" s="29"/>
      <c r="I39" s="376"/>
      <c r="J39" s="379"/>
      <c r="K39" s="382"/>
      <c r="L39" s="385"/>
      <c r="M39" s="388"/>
      <c r="N39" s="388"/>
      <c r="O39" s="179" t="s">
        <v>81</v>
      </c>
      <c r="P39" s="199">
        <f>IF('Tener en cuenta'!L7&gt;=0,IF('Tener en cuenta'!L7&lt;=5,20,IF('Tener en cuenta'!L7&lt;=10,30,40)))</f>
        <v>20</v>
      </c>
      <c r="Q39" s="353"/>
      <c r="R39" s="140"/>
      <c r="S39" s="139"/>
      <c r="T39" s="141"/>
      <c r="U39" s="142"/>
      <c r="V39" s="139"/>
      <c r="W39" s="139"/>
      <c r="X39" s="140"/>
      <c r="Y39" s="139"/>
      <c r="Z39" s="141"/>
      <c r="AA39" s="142"/>
      <c r="AB39" s="139"/>
      <c r="AC39" s="139"/>
      <c r="AD39" s="374"/>
      <c r="AF39" s="172"/>
    </row>
    <row r="40" spans="1:32" s="7" customFormat="1" ht="21" hidden="1" customHeight="1" x14ac:dyDescent="0.2">
      <c r="A40" s="369"/>
      <c r="B40" s="145" t="str">
        <f>CONCATENATE("UT Particip.  ",'Tener en cuenta'!B7*100,"% ")</f>
        <v xml:space="preserve">UT Particip.  0% </v>
      </c>
      <c r="C40" s="13" t="s">
        <v>10</v>
      </c>
      <c r="D40" s="88"/>
      <c r="E40" s="111"/>
      <c r="F40" s="111"/>
      <c r="G40" s="29"/>
      <c r="H40" s="29"/>
      <c r="I40" s="376"/>
      <c r="J40" s="379"/>
      <c r="K40" s="382"/>
      <c r="L40" s="385"/>
      <c r="M40" s="388"/>
      <c r="N40" s="388"/>
      <c r="O40" s="179" t="s">
        <v>80</v>
      </c>
      <c r="P40" s="262">
        <f>'Tener en cuenta'!P7</f>
        <v>0</v>
      </c>
      <c r="Q40" s="354"/>
      <c r="R40" s="140"/>
      <c r="S40" s="139"/>
      <c r="T40" s="141"/>
      <c r="U40" s="142"/>
      <c r="V40" s="139"/>
      <c r="W40" s="139"/>
      <c r="X40" s="140"/>
      <c r="Y40" s="139"/>
      <c r="Z40" s="141"/>
      <c r="AA40" s="142"/>
      <c r="AB40" s="139"/>
      <c r="AC40" s="139"/>
      <c r="AD40" s="374"/>
      <c r="AF40" s="172"/>
    </row>
    <row r="41" spans="1:32" s="7" customFormat="1" ht="21" hidden="1" customHeight="1" x14ac:dyDescent="0.2">
      <c r="A41" s="369"/>
      <c r="B41" s="371" t="str">
        <f>CONCATENATE("NIT.  ",'Tener en cuenta'!E7)</f>
        <v xml:space="preserve">NIT.  </v>
      </c>
      <c r="C41" s="13" t="s">
        <v>13</v>
      </c>
      <c r="D41" s="88"/>
      <c r="E41" s="111"/>
      <c r="F41" s="111"/>
      <c r="G41" s="29"/>
      <c r="H41" s="29"/>
      <c r="I41" s="376"/>
      <c r="J41" s="379"/>
      <c r="K41" s="382"/>
      <c r="L41" s="385"/>
      <c r="M41" s="388"/>
      <c r="N41" s="388"/>
      <c r="O41" s="355" t="str">
        <f>IF(Q36&gt;=($C$168*1000),'Tener en cuenta'!$AC$13,'Tener en cuenta'!$AC$14)</f>
        <v>CRP  NO Cumple</v>
      </c>
      <c r="P41" s="361"/>
      <c r="Q41" s="362"/>
      <c r="R41" s="140"/>
      <c r="S41" s="139"/>
      <c r="T41" s="141"/>
      <c r="U41" s="142"/>
      <c r="V41" s="139"/>
      <c r="W41" s="139"/>
      <c r="X41" s="140"/>
      <c r="Y41" s="139"/>
      <c r="Z41" s="141"/>
      <c r="AA41" s="142"/>
      <c r="AB41" s="139"/>
      <c r="AC41" s="139"/>
      <c r="AD41" s="374"/>
      <c r="AF41" s="172"/>
    </row>
    <row r="42" spans="1:32" s="7" customFormat="1" ht="21" hidden="1" customHeight="1" thickBot="1" x14ac:dyDescent="0.25">
      <c r="A42" s="370"/>
      <c r="B42" s="372"/>
      <c r="C42" s="30" t="s">
        <v>14</v>
      </c>
      <c r="D42" s="89"/>
      <c r="E42" s="112"/>
      <c r="F42" s="112"/>
      <c r="G42" s="31"/>
      <c r="H42" s="31"/>
      <c r="I42" s="377"/>
      <c r="J42" s="380"/>
      <c r="K42" s="383"/>
      <c r="L42" s="386"/>
      <c r="M42" s="389"/>
      <c r="N42" s="389"/>
      <c r="O42" s="363"/>
      <c r="P42" s="364"/>
      <c r="Q42" s="365"/>
      <c r="R42" s="140"/>
      <c r="S42" s="139"/>
      <c r="T42" s="141"/>
      <c r="U42" s="142"/>
      <c r="V42" s="139"/>
      <c r="W42" s="139"/>
      <c r="X42" s="140"/>
      <c r="Y42" s="139"/>
      <c r="Z42" s="141"/>
      <c r="AA42" s="142"/>
      <c r="AB42" s="139"/>
      <c r="AC42" s="139"/>
      <c r="AD42" s="43" t="s">
        <v>51</v>
      </c>
      <c r="AF42" s="172"/>
    </row>
    <row r="43" spans="1:32" s="7" customFormat="1" ht="21" hidden="1" customHeight="1" x14ac:dyDescent="0.2">
      <c r="A43" s="368" t="s">
        <v>75</v>
      </c>
      <c r="B43" s="366">
        <f>'Tener en cuenta'!F8</f>
        <v>0</v>
      </c>
      <c r="C43" s="12" t="s">
        <v>11</v>
      </c>
      <c r="D43" s="88"/>
      <c r="E43" s="183"/>
      <c r="F43" s="118"/>
      <c r="G43" s="108"/>
      <c r="H43" s="108"/>
      <c r="I43" s="375" t="str">
        <f>IFERROR(+D43/D45,"indeterminado")</f>
        <v>indeterminado</v>
      </c>
      <c r="J43" s="378" t="str">
        <f>IFERROR(+(D46/D44),"indeterminado")</f>
        <v>indeterminado</v>
      </c>
      <c r="K43" s="381" t="str">
        <f>IFERROR(+D48/D49,"indeterminado")</f>
        <v>indeterminado</v>
      </c>
      <c r="L43" s="384">
        <f>+(D43-D45)</f>
        <v>0</v>
      </c>
      <c r="M43" s="387" t="str">
        <f>IFERROR(+D48/D47,"indeterminado")</f>
        <v>indeterminado</v>
      </c>
      <c r="N43" s="387" t="str">
        <f>IFERROR(+D48/D44,"indeterminado")</f>
        <v>indeterminado</v>
      </c>
      <c r="O43" s="179" t="s">
        <v>78</v>
      </c>
      <c r="P43" s="241">
        <f>IF('Tener en cuenta'!O8&gt;'Tener en cuenta'!$AH$30,'Tener en cuenta'!O8,'Tener en cuenta'!$AH$30)</f>
        <v>457297264</v>
      </c>
      <c r="Q43" s="350">
        <f>P43*((P44+P46+P45)/100)-P47</f>
        <v>548756716.79999995</v>
      </c>
      <c r="R43" s="140"/>
      <c r="S43" s="139"/>
      <c r="T43" s="141"/>
      <c r="U43" s="142"/>
      <c r="V43" s="139"/>
      <c r="W43" s="139"/>
      <c r="X43" s="140"/>
      <c r="Y43" s="139"/>
      <c r="Z43" s="141"/>
      <c r="AA43" s="142"/>
      <c r="AB43" s="139"/>
      <c r="AC43" s="139"/>
      <c r="AD43" s="147" t="s">
        <v>47</v>
      </c>
      <c r="AF43" s="172"/>
    </row>
    <row r="44" spans="1:32" s="7" customFormat="1" ht="21" hidden="1" customHeight="1" x14ac:dyDescent="0.2">
      <c r="A44" s="369"/>
      <c r="B44" s="367"/>
      <c r="C44" s="13" t="s">
        <v>12</v>
      </c>
      <c r="D44" s="88"/>
      <c r="E44" s="111"/>
      <c r="F44" s="111"/>
      <c r="G44" s="29"/>
      <c r="H44" s="29"/>
      <c r="I44" s="376"/>
      <c r="J44" s="379"/>
      <c r="K44" s="382"/>
      <c r="L44" s="385"/>
      <c r="M44" s="388"/>
      <c r="N44" s="388"/>
      <c r="O44" s="179" t="s">
        <v>82</v>
      </c>
      <c r="P44" s="199">
        <f>IF('Tener en cuenta'!N8&gt;=0,IF('Tener en cuenta'!N8&lt;=3,60,IF('Tener en cuenta'!N8&lt;=6,80,IF('Tener en cuenta'!N8&lt;=10,100,120))))</f>
        <v>60</v>
      </c>
      <c r="Q44" s="353"/>
      <c r="R44" s="140"/>
      <c r="S44" s="139"/>
      <c r="T44" s="141"/>
      <c r="U44" s="142"/>
      <c r="V44" s="139"/>
      <c r="W44" s="139"/>
      <c r="X44" s="140"/>
      <c r="Y44" s="139"/>
      <c r="Z44" s="141"/>
      <c r="AA44" s="142"/>
      <c r="AB44" s="139"/>
      <c r="AC44" s="139"/>
      <c r="AD44" s="373" t="s">
        <v>43</v>
      </c>
      <c r="AF44" s="172"/>
    </row>
    <row r="45" spans="1:32" s="7" customFormat="1" ht="21" hidden="1" customHeight="1" x14ac:dyDescent="0.2">
      <c r="A45" s="369"/>
      <c r="B45" s="367"/>
      <c r="C45" s="13" t="s">
        <v>8</v>
      </c>
      <c r="D45" s="88"/>
      <c r="E45" s="111"/>
      <c r="F45" s="111"/>
      <c r="G45" s="29"/>
      <c r="H45" s="29"/>
      <c r="I45" s="376"/>
      <c r="J45" s="379"/>
      <c r="K45" s="382"/>
      <c r="L45" s="385"/>
      <c r="M45" s="388"/>
      <c r="N45" s="388"/>
      <c r="O45" s="179" t="s">
        <v>79</v>
      </c>
      <c r="P45" s="199">
        <f>IF(I43&gt;=0,IF(I43&lt;=0.5,20,IF(I43&lt;=0.75,25,IF(I43&lt;=1,30,IF(I43&lt;=1.5,35,40)))))</f>
        <v>40</v>
      </c>
      <c r="Q45" s="353"/>
      <c r="R45" s="140"/>
      <c r="S45" s="139"/>
      <c r="T45" s="141"/>
      <c r="U45" s="142"/>
      <c r="V45" s="139"/>
      <c r="W45" s="139"/>
      <c r="X45" s="140"/>
      <c r="Y45" s="139"/>
      <c r="Z45" s="141"/>
      <c r="AA45" s="142"/>
      <c r="AB45" s="139"/>
      <c r="AC45" s="139"/>
      <c r="AD45" s="374"/>
      <c r="AF45" s="172"/>
    </row>
    <row r="46" spans="1:32" s="7" customFormat="1" ht="21" hidden="1" customHeight="1" x14ac:dyDescent="0.2">
      <c r="A46" s="369"/>
      <c r="B46" s="367"/>
      <c r="C46" s="13" t="s">
        <v>9</v>
      </c>
      <c r="D46" s="88"/>
      <c r="E46" s="111"/>
      <c r="F46" s="111"/>
      <c r="G46" s="29"/>
      <c r="H46" s="29"/>
      <c r="I46" s="376"/>
      <c r="J46" s="379"/>
      <c r="K46" s="382"/>
      <c r="L46" s="385"/>
      <c r="M46" s="388"/>
      <c r="N46" s="388"/>
      <c r="O46" s="179" t="s">
        <v>81</v>
      </c>
      <c r="P46" s="199">
        <f>IF('Tener en cuenta'!L8&gt;=0,IF('Tener en cuenta'!L8&lt;=5,20,IF('Tener en cuenta'!L8&lt;=10,30,40)))</f>
        <v>20</v>
      </c>
      <c r="Q46" s="353"/>
      <c r="R46" s="140"/>
      <c r="S46" s="139"/>
      <c r="T46" s="141"/>
      <c r="U46" s="142"/>
      <c r="V46" s="139"/>
      <c r="W46" s="139"/>
      <c r="X46" s="140"/>
      <c r="Y46" s="139"/>
      <c r="Z46" s="141"/>
      <c r="AA46" s="142"/>
      <c r="AB46" s="139"/>
      <c r="AC46" s="139"/>
      <c r="AD46" s="374"/>
      <c r="AF46" s="172"/>
    </row>
    <row r="47" spans="1:32" s="7" customFormat="1" ht="21" hidden="1" customHeight="1" x14ac:dyDescent="0.2">
      <c r="A47" s="369"/>
      <c r="B47" s="145" t="str">
        <f>CONCATENATE("UT Particip.  ",'Tener en cuenta'!B8*100,"% ")</f>
        <v xml:space="preserve">UT Particip.  0% </v>
      </c>
      <c r="C47" s="13" t="s">
        <v>10</v>
      </c>
      <c r="D47" s="88"/>
      <c r="E47" s="111"/>
      <c r="F47" s="111"/>
      <c r="G47" s="29"/>
      <c r="H47" s="29"/>
      <c r="I47" s="376"/>
      <c r="J47" s="379"/>
      <c r="K47" s="382"/>
      <c r="L47" s="385"/>
      <c r="M47" s="388"/>
      <c r="N47" s="388"/>
      <c r="O47" s="179" t="s">
        <v>80</v>
      </c>
      <c r="P47" s="262">
        <f>'Tener en cuenta'!P8</f>
        <v>0</v>
      </c>
      <c r="Q47" s="354"/>
      <c r="R47" s="140"/>
      <c r="S47" s="139"/>
      <c r="T47" s="141"/>
      <c r="U47" s="142"/>
      <c r="V47" s="139"/>
      <c r="W47" s="139"/>
      <c r="X47" s="140"/>
      <c r="Y47" s="139"/>
      <c r="Z47" s="141"/>
      <c r="AA47" s="142"/>
      <c r="AB47" s="139"/>
      <c r="AC47" s="139"/>
      <c r="AD47" s="374"/>
      <c r="AF47" s="172"/>
    </row>
    <row r="48" spans="1:32" s="7" customFormat="1" ht="21" hidden="1" customHeight="1" x14ac:dyDescent="0.2">
      <c r="A48" s="369"/>
      <c r="B48" s="371" t="str">
        <f>CONCATENATE("NIT.  ",'Tener en cuenta'!E8)</f>
        <v xml:space="preserve">NIT.  </v>
      </c>
      <c r="C48" s="13" t="s">
        <v>13</v>
      </c>
      <c r="D48" s="88"/>
      <c r="E48" s="111"/>
      <c r="F48" s="111"/>
      <c r="G48" s="29"/>
      <c r="H48" s="29"/>
      <c r="I48" s="376"/>
      <c r="J48" s="379"/>
      <c r="K48" s="382"/>
      <c r="L48" s="385"/>
      <c r="M48" s="388"/>
      <c r="N48" s="388"/>
      <c r="O48" s="355" t="str">
        <f>IF(Q43&gt;=($C$168*1000),'Tener en cuenta'!$AC$13,'Tener en cuenta'!$AC$14)</f>
        <v>CRP  NO Cumple</v>
      </c>
      <c r="P48" s="361"/>
      <c r="Q48" s="362"/>
      <c r="R48" s="140"/>
      <c r="S48" s="139"/>
      <c r="T48" s="141"/>
      <c r="U48" s="142"/>
      <c r="V48" s="139"/>
      <c r="W48" s="139"/>
      <c r="X48" s="140"/>
      <c r="Y48" s="139"/>
      <c r="Z48" s="141"/>
      <c r="AA48" s="142"/>
      <c r="AB48" s="139"/>
      <c r="AC48" s="139"/>
      <c r="AD48" s="374"/>
      <c r="AF48" s="172"/>
    </row>
    <row r="49" spans="1:32" s="7" customFormat="1" ht="21" hidden="1" customHeight="1" thickBot="1" x14ac:dyDescent="0.25">
      <c r="A49" s="370"/>
      <c r="B49" s="372"/>
      <c r="C49" s="30" t="s">
        <v>14</v>
      </c>
      <c r="D49" s="89"/>
      <c r="E49" s="112"/>
      <c r="F49" s="112"/>
      <c r="G49" s="31"/>
      <c r="H49" s="31"/>
      <c r="I49" s="377"/>
      <c r="J49" s="380"/>
      <c r="K49" s="383"/>
      <c r="L49" s="386"/>
      <c r="M49" s="389"/>
      <c r="N49" s="389"/>
      <c r="O49" s="363"/>
      <c r="P49" s="364"/>
      <c r="Q49" s="365"/>
      <c r="R49" s="140"/>
      <c r="S49" s="139"/>
      <c r="T49" s="141"/>
      <c r="U49" s="142"/>
      <c r="V49" s="139"/>
      <c r="W49" s="139"/>
      <c r="X49" s="140"/>
      <c r="Y49" s="139"/>
      <c r="Z49" s="141"/>
      <c r="AA49" s="142"/>
      <c r="AB49" s="139"/>
      <c r="AC49" s="139"/>
      <c r="AD49" s="43" t="s">
        <v>51</v>
      </c>
      <c r="AF49" s="172"/>
    </row>
    <row r="50" spans="1:32" s="134" customFormat="1" ht="33.75" hidden="1" customHeight="1" thickBot="1" x14ac:dyDescent="0.25">
      <c r="A50" s="119"/>
      <c r="B50" s="135">
        <f>'Tener en cuenta'!F28</f>
        <v>0</v>
      </c>
      <c r="C50" s="123"/>
      <c r="D50" s="124"/>
      <c r="E50" s="125"/>
      <c r="F50" s="125"/>
      <c r="G50" s="125"/>
      <c r="H50" s="125"/>
      <c r="I50" s="298" t="str">
        <f>IFERROR((I51*'Tener en cuenta'!B9)+(I58*'Tener en cuenta'!B10),"indeterminado")</f>
        <v>indeterminado</v>
      </c>
      <c r="J50" s="299" t="str">
        <f>IFERROR((J51*'Tener en cuenta'!B9)+(J58*'Tener en cuenta'!B10),"indeterminado")</f>
        <v>indeterminado</v>
      </c>
      <c r="K50" s="300" t="str">
        <f>IFERROR((K51*'Tener en cuenta'!B9)+(K58*'Tener en cuenta'!B10),"indeterminado")</f>
        <v>indeterminado</v>
      </c>
      <c r="L50" s="301">
        <f>(L51*'Tener en cuenta'!B9)+(L58*'Tener en cuenta'!B10)</f>
        <v>0</v>
      </c>
      <c r="M50" s="302" t="str">
        <f>IFERROR((M51*'Tener en cuenta'!B9)+(M58*'Tener en cuenta'!B10),"indeterminado")</f>
        <v>indeterminado</v>
      </c>
      <c r="N50" s="302" t="str">
        <f>IFERROR((N51*'Tener en cuenta'!B9)+(N58*'Tener en cuenta'!B10),"indeterminado")</f>
        <v>indeterminado</v>
      </c>
      <c r="O50" s="130"/>
      <c r="P50" s="201"/>
      <c r="Q50" s="130"/>
      <c r="R50" s="131"/>
      <c r="S50" s="127"/>
      <c r="T50" s="132"/>
      <c r="U50" s="133"/>
      <c r="V50" s="127"/>
      <c r="W50" s="127"/>
      <c r="X50" s="131"/>
      <c r="Y50" s="127"/>
      <c r="Z50" s="132"/>
      <c r="AA50" s="133"/>
      <c r="AB50" s="127"/>
      <c r="AC50" s="127"/>
      <c r="AD50" s="164" t="s">
        <v>47</v>
      </c>
      <c r="AF50" s="172"/>
    </row>
    <row r="51" spans="1:32" s="7" customFormat="1" ht="21" hidden="1" customHeight="1" x14ac:dyDescent="0.2">
      <c r="A51" s="369" t="s">
        <v>67</v>
      </c>
      <c r="B51" s="366">
        <f>'Tener en cuenta'!F9</f>
        <v>0</v>
      </c>
      <c r="C51" s="107" t="s">
        <v>11</v>
      </c>
      <c r="D51" s="120"/>
      <c r="E51" s="118"/>
      <c r="F51" s="118"/>
      <c r="G51" s="118"/>
      <c r="H51" s="118"/>
      <c r="I51" s="375" t="str">
        <f>IFERROR(+D51/D53,"indeterminado")</f>
        <v>indeterminado</v>
      </c>
      <c r="J51" s="378" t="str">
        <f>IFERROR(+(D54/D52),"indeterminado")</f>
        <v>indeterminado</v>
      </c>
      <c r="K51" s="414" t="str">
        <f>IFERROR(+D56/D57,"indeterminado")</f>
        <v>indeterminado</v>
      </c>
      <c r="L51" s="415">
        <f>+(D51-D53)</f>
        <v>0</v>
      </c>
      <c r="M51" s="387" t="str">
        <f>IFERROR(+D56/D55,"indeterminado")</f>
        <v>indeterminado</v>
      </c>
      <c r="N51" s="387" t="str">
        <f>IFERROR(+D56/D52,"indeterminado")</f>
        <v>indeterminado</v>
      </c>
      <c r="O51" s="179" t="s">
        <v>78</v>
      </c>
      <c r="P51" s="241">
        <f>IF('Tener en cuenta'!O9&gt;'Tener en cuenta'!$AH$30,'Tener en cuenta'!O9,'Tener en cuenta'!$AH$30)</f>
        <v>457297264</v>
      </c>
      <c r="Q51" s="350">
        <f>P51*((P52+P54+P53)/100)-P55</f>
        <v>548756716.79999995</v>
      </c>
      <c r="R51" s="411" t="e">
        <f>+G51/G53</f>
        <v>#DIV/0!</v>
      </c>
      <c r="S51" s="378" t="e">
        <f>+G54/G52</f>
        <v>#DIV/0!</v>
      </c>
      <c r="T51" s="412" t="s">
        <v>15</v>
      </c>
      <c r="U51" s="413">
        <f>+G51-G53</f>
        <v>0</v>
      </c>
      <c r="V51" s="378" t="e">
        <f>+G56/G55</f>
        <v>#DIV/0!</v>
      </c>
      <c r="W51" s="378" t="e">
        <f>+G56/G52</f>
        <v>#DIV/0!</v>
      </c>
      <c r="X51" s="411" t="e">
        <f>+D51/D53</f>
        <v>#DIV/0!</v>
      </c>
      <c r="Y51" s="378" t="e">
        <f>+D54/D52</f>
        <v>#DIV/0!</v>
      </c>
      <c r="Z51" s="412" t="s">
        <v>15</v>
      </c>
      <c r="AA51" s="413">
        <f>+D51-D53</f>
        <v>0</v>
      </c>
      <c r="AB51" s="378" t="e">
        <f>+D56/D55</f>
        <v>#DIV/0!</v>
      </c>
      <c r="AC51" s="378" t="e">
        <f>+D56/D52</f>
        <v>#DIV/0!</v>
      </c>
      <c r="AD51" s="147" t="s">
        <v>47</v>
      </c>
      <c r="AF51" s="172"/>
    </row>
    <row r="52" spans="1:32" s="7" customFormat="1" ht="21" hidden="1" customHeight="1" x14ac:dyDescent="0.2">
      <c r="A52" s="369"/>
      <c r="B52" s="367"/>
      <c r="C52" s="13" t="s">
        <v>12</v>
      </c>
      <c r="D52" s="121"/>
      <c r="E52" s="111"/>
      <c r="F52" s="111"/>
      <c r="G52" s="111"/>
      <c r="H52" s="111"/>
      <c r="I52" s="376"/>
      <c r="J52" s="379"/>
      <c r="K52" s="400"/>
      <c r="L52" s="416"/>
      <c r="M52" s="388"/>
      <c r="N52" s="388"/>
      <c r="O52" s="179" t="s">
        <v>82</v>
      </c>
      <c r="P52" s="199">
        <f>IF('Tener en cuenta'!N9&gt;=0,IF('Tener en cuenta'!N9&lt;=3,60,IF('Tener en cuenta'!N9&lt;=6,80,IF('Tener en cuenta'!N9&lt;=10,100,120))))</f>
        <v>60</v>
      </c>
      <c r="Q52" s="353"/>
      <c r="R52" s="392"/>
      <c r="S52" s="379"/>
      <c r="T52" s="395"/>
      <c r="U52" s="397"/>
      <c r="V52" s="379"/>
      <c r="W52" s="379"/>
      <c r="X52" s="392"/>
      <c r="Y52" s="379"/>
      <c r="Z52" s="395"/>
      <c r="AA52" s="397"/>
      <c r="AB52" s="379"/>
      <c r="AC52" s="379"/>
      <c r="AD52" s="373" t="s">
        <v>43</v>
      </c>
      <c r="AF52" s="172"/>
    </row>
    <row r="53" spans="1:32" s="7" customFormat="1" ht="21" hidden="1" customHeight="1" x14ac:dyDescent="0.2">
      <c r="A53" s="369"/>
      <c r="B53" s="367"/>
      <c r="C53" s="13" t="s">
        <v>8</v>
      </c>
      <c r="D53" s="121"/>
      <c r="E53" s="111"/>
      <c r="F53" s="111"/>
      <c r="G53" s="111"/>
      <c r="H53" s="111"/>
      <c r="I53" s="376"/>
      <c r="J53" s="379"/>
      <c r="K53" s="400"/>
      <c r="L53" s="416"/>
      <c r="M53" s="388"/>
      <c r="N53" s="388"/>
      <c r="O53" s="179" t="s">
        <v>79</v>
      </c>
      <c r="P53" s="199">
        <f>IF(I51&gt;=0,IF(I51&lt;=0.5,20,IF(I51&lt;=0.75,25,IF(I51&lt;=1,30,IF(I51&lt;=1.5,35,40)))))</f>
        <v>40</v>
      </c>
      <c r="Q53" s="353"/>
      <c r="R53" s="392"/>
      <c r="S53" s="379"/>
      <c r="T53" s="395"/>
      <c r="U53" s="397"/>
      <c r="V53" s="379"/>
      <c r="W53" s="379"/>
      <c r="X53" s="392"/>
      <c r="Y53" s="379"/>
      <c r="Z53" s="395"/>
      <c r="AA53" s="397"/>
      <c r="AB53" s="379"/>
      <c r="AC53" s="379"/>
      <c r="AD53" s="374"/>
      <c r="AF53" s="172"/>
    </row>
    <row r="54" spans="1:32" s="7" customFormat="1" ht="21" hidden="1" customHeight="1" x14ac:dyDescent="0.2">
      <c r="A54" s="369"/>
      <c r="B54" s="367"/>
      <c r="C54" s="13" t="s">
        <v>9</v>
      </c>
      <c r="D54" s="121"/>
      <c r="E54" s="111"/>
      <c r="F54" s="111"/>
      <c r="G54" s="111"/>
      <c r="H54" s="111"/>
      <c r="I54" s="376"/>
      <c r="J54" s="379"/>
      <c r="K54" s="400"/>
      <c r="L54" s="416"/>
      <c r="M54" s="388"/>
      <c r="N54" s="388"/>
      <c r="O54" s="179" t="s">
        <v>81</v>
      </c>
      <c r="P54" s="199">
        <f>IF('Tener en cuenta'!L9&gt;=0,IF('Tener en cuenta'!L9&lt;=5,20,IF('Tener en cuenta'!L9&lt;=10,30,40)))</f>
        <v>20</v>
      </c>
      <c r="Q54" s="353"/>
      <c r="R54" s="392"/>
      <c r="S54" s="379"/>
      <c r="T54" s="395"/>
      <c r="U54" s="397"/>
      <c r="V54" s="379"/>
      <c r="W54" s="379"/>
      <c r="X54" s="392"/>
      <c r="Y54" s="379"/>
      <c r="Z54" s="395"/>
      <c r="AA54" s="397"/>
      <c r="AB54" s="379"/>
      <c r="AC54" s="379"/>
      <c r="AD54" s="374"/>
      <c r="AF54" s="172"/>
    </row>
    <row r="55" spans="1:32" s="7" customFormat="1" ht="21" hidden="1" customHeight="1" x14ac:dyDescent="0.2">
      <c r="A55" s="369"/>
      <c r="B55" s="145" t="str">
        <f>CONCATENATE("UT Particip.  ",'Tener en cuenta'!B9*100,"% ")</f>
        <v xml:space="preserve">UT Particip.  0% </v>
      </c>
      <c r="C55" s="13" t="s">
        <v>10</v>
      </c>
      <c r="D55" s="121"/>
      <c r="E55" s="111"/>
      <c r="F55" s="111"/>
      <c r="G55" s="111"/>
      <c r="H55" s="111"/>
      <c r="I55" s="376"/>
      <c r="J55" s="379"/>
      <c r="K55" s="400"/>
      <c r="L55" s="416"/>
      <c r="M55" s="388"/>
      <c r="N55" s="388"/>
      <c r="O55" s="179" t="s">
        <v>80</v>
      </c>
      <c r="P55" s="262">
        <f>'Tener en cuenta'!P9</f>
        <v>0</v>
      </c>
      <c r="Q55" s="354"/>
      <c r="R55" s="392"/>
      <c r="S55" s="379"/>
      <c r="T55" s="395"/>
      <c r="U55" s="397"/>
      <c r="V55" s="379"/>
      <c r="W55" s="379"/>
      <c r="X55" s="392"/>
      <c r="Y55" s="379"/>
      <c r="Z55" s="395"/>
      <c r="AA55" s="397"/>
      <c r="AB55" s="379"/>
      <c r="AC55" s="379"/>
      <c r="AD55" s="374"/>
      <c r="AF55" s="172"/>
    </row>
    <row r="56" spans="1:32" s="7" customFormat="1" ht="21" hidden="1" customHeight="1" x14ac:dyDescent="0.2">
      <c r="A56" s="369"/>
      <c r="B56" s="371" t="str">
        <f>CONCATENATE("NIT.  ",'Tener en cuenta'!E9)</f>
        <v xml:space="preserve">NIT.  </v>
      </c>
      <c r="C56" s="13" t="s">
        <v>13</v>
      </c>
      <c r="D56" s="121"/>
      <c r="E56" s="111"/>
      <c r="F56" s="111"/>
      <c r="G56" s="111"/>
      <c r="H56" s="111"/>
      <c r="I56" s="376"/>
      <c r="J56" s="379"/>
      <c r="K56" s="400"/>
      <c r="L56" s="416"/>
      <c r="M56" s="388"/>
      <c r="N56" s="388"/>
      <c r="O56" s="355" t="str">
        <f>IF(Q51&gt;=($C$168*1000),'Tener en cuenta'!$AC$13,'Tener en cuenta'!$AC$14)</f>
        <v>CRP  NO Cumple</v>
      </c>
      <c r="P56" s="361"/>
      <c r="Q56" s="362"/>
      <c r="R56" s="392"/>
      <c r="S56" s="379"/>
      <c r="T56" s="395"/>
      <c r="U56" s="397"/>
      <c r="V56" s="379"/>
      <c r="W56" s="379"/>
      <c r="X56" s="392"/>
      <c r="Y56" s="379"/>
      <c r="Z56" s="395"/>
      <c r="AA56" s="397"/>
      <c r="AB56" s="379"/>
      <c r="AC56" s="379"/>
      <c r="AD56" s="374"/>
      <c r="AF56" s="172"/>
    </row>
    <row r="57" spans="1:32" s="7" customFormat="1" ht="21" hidden="1" customHeight="1" thickBot="1" x14ac:dyDescent="0.25">
      <c r="A57" s="370"/>
      <c r="B57" s="372"/>
      <c r="C57" s="30" t="s">
        <v>14</v>
      </c>
      <c r="D57" s="122"/>
      <c r="E57" s="112"/>
      <c r="F57" s="112"/>
      <c r="G57" s="112"/>
      <c r="H57" s="112"/>
      <c r="I57" s="377"/>
      <c r="J57" s="380"/>
      <c r="K57" s="401"/>
      <c r="L57" s="417"/>
      <c r="M57" s="389"/>
      <c r="N57" s="389"/>
      <c r="O57" s="363"/>
      <c r="P57" s="364"/>
      <c r="Q57" s="365"/>
      <c r="R57" s="393"/>
      <c r="S57" s="380"/>
      <c r="T57" s="396"/>
      <c r="U57" s="398"/>
      <c r="V57" s="380"/>
      <c r="W57" s="380"/>
      <c r="X57" s="393"/>
      <c r="Y57" s="380"/>
      <c r="Z57" s="396"/>
      <c r="AA57" s="398"/>
      <c r="AB57" s="380"/>
      <c r="AC57" s="380"/>
      <c r="AD57" s="43" t="s">
        <v>51</v>
      </c>
      <c r="AF57" s="172"/>
    </row>
    <row r="58" spans="1:32" s="2" customFormat="1" ht="21" hidden="1" customHeight="1" x14ac:dyDescent="0.2">
      <c r="A58" s="368" t="s">
        <v>68</v>
      </c>
      <c r="B58" s="366">
        <f>'Tener en cuenta'!F10</f>
        <v>0</v>
      </c>
      <c r="C58" s="12" t="s">
        <v>11</v>
      </c>
      <c r="D58" s="121"/>
      <c r="E58" s="183"/>
      <c r="F58" s="118"/>
      <c r="G58" s="183"/>
      <c r="H58" s="183"/>
      <c r="I58" s="376" t="str">
        <f>IFERROR(+D58/D60,"indeterminado")</f>
        <v>indeterminado</v>
      </c>
      <c r="J58" s="379" t="str">
        <f>IFERROR(+(D61/D59),"indeterminado")</f>
        <v>indeterminado</v>
      </c>
      <c r="K58" s="400" t="str">
        <f>IFERROR(+D63/D64,"indeterminado")</f>
        <v>indeterminado</v>
      </c>
      <c r="L58" s="402">
        <f>+(D58-D60)</f>
        <v>0</v>
      </c>
      <c r="M58" s="388" t="str">
        <f>IFERROR(+D63/D62,"indeterminado")</f>
        <v>indeterminado</v>
      </c>
      <c r="N58" s="388" t="str">
        <f>IFERROR(+D63/D59,"indeterminado")</f>
        <v>indeterminado</v>
      </c>
      <c r="O58" s="179" t="s">
        <v>78</v>
      </c>
      <c r="P58" s="241">
        <f>IF('Tener en cuenta'!O10&gt;'Tener en cuenta'!$AH$30,'Tener en cuenta'!O10,'Tener en cuenta'!$AH$30)</f>
        <v>457297264</v>
      </c>
      <c r="Q58" s="350">
        <f>P58*((P59+P61+P60)/100)-P62</f>
        <v>548756716.79999995</v>
      </c>
      <c r="R58" s="392" t="e">
        <f>+G58/G60</f>
        <v>#DIV/0!</v>
      </c>
      <c r="S58" s="379" t="e">
        <f>+G61/G59</f>
        <v>#DIV/0!</v>
      </c>
      <c r="T58" s="394" t="s">
        <v>15</v>
      </c>
      <c r="U58" s="397">
        <f>+G58-G60</f>
        <v>0</v>
      </c>
      <c r="V58" s="379" t="e">
        <f>+G63/G62</f>
        <v>#DIV/0!</v>
      </c>
      <c r="W58" s="379" t="e">
        <f>+G63/G59</f>
        <v>#DIV/0!</v>
      </c>
      <c r="X58" s="392" t="e">
        <f>+D58/D60</f>
        <v>#DIV/0!</v>
      </c>
      <c r="Y58" s="379" t="e">
        <f>+D61/D59</f>
        <v>#DIV/0!</v>
      </c>
      <c r="Z58" s="394" t="s">
        <v>15</v>
      </c>
      <c r="AA58" s="397">
        <f>+D58-D60</f>
        <v>0</v>
      </c>
      <c r="AB58" s="379" t="e">
        <f>+D63/D62</f>
        <v>#DIV/0!</v>
      </c>
      <c r="AC58" s="379" t="e">
        <f>+D63/D59</f>
        <v>#DIV/0!</v>
      </c>
      <c r="AD58" s="48" t="s">
        <v>47</v>
      </c>
      <c r="AF58" s="171"/>
    </row>
    <row r="59" spans="1:32" s="2" customFormat="1" ht="21" hidden="1" customHeight="1" x14ac:dyDescent="0.2">
      <c r="A59" s="369"/>
      <c r="B59" s="367"/>
      <c r="C59" s="13" t="s">
        <v>12</v>
      </c>
      <c r="D59" s="121"/>
      <c r="E59" s="111"/>
      <c r="F59" s="111"/>
      <c r="G59" s="111"/>
      <c r="H59" s="111"/>
      <c r="I59" s="376"/>
      <c r="J59" s="379"/>
      <c r="K59" s="400"/>
      <c r="L59" s="402"/>
      <c r="M59" s="388"/>
      <c r="N59" s="388"/>
      <c r="O59" s="179" t="s">
        <v>82</v>
      </c>
      <c r="P59" s="199">
        <f>IF('Tener en cuenta'!N10&gt;=0,IF('Tener en cuenta'!N10&lt;=3,60,IF('Tener en cuenta'!N10&lt;=6,80,IF('Tener en cuenta'!N10&lt;=10,100,120))))</f>
        <v>60</v>
      </c>
      <c r="Q59" s="353"/>
      <c r="R59" s="392"/>
      <c r="S59" s="379"/>
      <c r="T59" s="395"/>
      <c r="U59" s="397"/>
      <c r="V59" s="379"/>
      <c r="W59" s="379"/>
      <c r="X59" s="392"/>
      <c r="Y59" s="379"/>
      <c r="Z59" s="395"/>
      <c r="AA59" s="397"/>
      <c r="AB59" s="379"/>
      <c r="AC59" s="379"/>
      <c r="AD59" s="373" t="s">
        <v>43</v>
      </c>
      <c r="AF59" s="174"/>
    </row>
    <row r="60" spans="1:32" s="2" customFormat="1" ht="21" hidden="1" customHeight="1" x14ac:dyDescent="0.2">
      <c r="A60" s="369"/>
      <c r="B60" s="367"/>
      <c r="C60" s="13" t="s">
        <v>8</v>
      </c>
      <c r="D60" s="121"/>
      <c r="E60" s="111"/>
      <c r="F60" s="111"/>
      <c r="G60" s="111"/>
      <c r="H60" s="111"/>
      <c r="I60" s="376"/>
      <c r="J60" s="379"/>
      <c r="K60" s="400"/>
      <c r="L60" s="402"/>
      <c r="M60" s="388"/>
      <c r="N60" s="388"/>
      <c r="O60" s="179" t="s">
        <v>79</v>
      </c>
      <c r="P60" s="199">
        <f>IF(I58&gt;=0,IF(I58&lt;=0.5,20,IF(I58&lt;=0.75,25,IF(I58&lt;=1,30,IF(I58&lt;=1.5,35,40)))))</f>
        <v>40</v>
      </c>
      <c r="Q60" s="353"/>
      <c r="R60" s="392"/>
      <c r="S60" s="379"/>
      <c r="T60" s="395"/>
      <c r="U60" s="397"/>
      <c r="V60" s="379"/>
      <c r="W60" s="379"/>
      <c r="X60" s="392"/>
      <c r="Y60" s="379"/>
      <c r="Z60" s="395"/>
      <c r="AA60" s="397"/>
      <c r="AB60" s="379"/>
      <c r="AC60" s="379"/>
      <c r="AD60" s="374"/>
      <c r="AF60" s="171"/>
    </row>
    <row r="61" spans="1:32" s="2" customFormat="1" ht="21" hidden="1" customHeight="1" x14ac:dyDescent="0.2">
      <c r="A61" s="369"/>
      <c r="B61" s="367"/>
      <c r="C61" s="13" t="s">
        <v>9</v>
      </c>
      <c r="D61" s="121"/>
      <c r="E61" s="111"/>
      <c r="F61" s="111"/>
      <c r="G61" s="111"/>
      <c r="H61" s="111"/>
      <c r="I61" s="376"/>
      <c r="J61" s="379"/>
      <c r="K61" s="400"/>
      <c r="L61" s="402"/>
      <c r="M61" s="388"/>
      <c r="N61" s="388"/>
      <c r="O61" s="179" t="s">
        <v>81</v>
      </c>
      <c r="P61" s="199">
        <f>IF('Tener en cuenta'!L10&gt;=0,IF('Tener en cuenta'!L10&lt;=5,20,IF('Tener en cuenta'!L10&lt;=10,30,40)))</f>
        <v>20</v>
      </c>
      <c r="Q61" s="353"/>
      <c r="R61" s="392"/>
      <c r="S61" s="379"/>
      <c r="T61" s="395"/>
      <c r="U61" s="397"/>
      <c r="V61" s="379"/>
      <c r="W61" s="379"/>
      <c r="X61" s="392"/>
      <c r="Y61" s="379"/>
      <c r="Z61" s="395"/>
      <c r="AA61" s="397"/>
      <c r="AB61" s="379"/>
      <c r="AC61" s="379"/>
      <c r="AD61" s="374"/>
      <c r="AF61" s="171"/>
    </row>
    <row r="62" spans="1:32" s="2" customFormat="1" ht="21" hidden="1" customHeight="1" x14ac:dyDescent="0.2">
      <c r="A62" s="369"/>
      <c r="B62" s="145" t="str">
        <f>CONCATENATE("UT Particip.  ",'Tener en cuenta'!B10*100,"% ")</f>
        <v xml:space="preserve">UT Particip.  0% </v>
      </c>
      <c r="C62" s="13" t="s">
        <v>10</v>
      </c>
      <c r="D62" s="121"/>
      <c r="E62" s="111"/>
      <c r="F62" s="111"/>
      <c r="G62" s="111"/>
      <c r="H62" s="111"/>
      <c r="I62" s="376"/>
      <c r="J62" s="379"/>
      <c r="K62" s="400"/>
      <c r="L62" s="402"/>
      <c r="M62" s="388"/>
      <c r="N62" s="388"/>
      <c r="O62" s="179" t="s">
        <v>80</v>
      </c>
      <c r="P62" s="262">
        <f>'Tener en cuenta'!P10</f>
        <v>0</v>
      </c>
      <c r="Q62" s="354"/>
      <c r="R62" s="392"/>
      <c r="S62" s="379"/>
      <c r="T62" s="395"/>
      <c r="U62" s="397"/>
      <c r="V62" s="379"/>
      <c r="W62" s="379"/>
      <c r="X62" s="392"/>
      <c r="Y62" s="379"/>
      <c r="Z62" s="395"/>
      <c r="AA62" s="397"/>
      <c r="AB62" s="379"/>
      <c r="AC62" s="379"/>
      <c r="AD62" s="374"/>
      <c r="AF62" s="171"/>
    </row>
    <row r="63" spans="1:32" s="2" customFormat="1" ht="21" hidden="1" customHeight="1" x14ac:dyDescent="0.2">
      <c r="A63" s="369"/>
      <c r="B63" s="371" t="str">
        <f>CONCATENATE("NIT.  ",'Tener en cuenta'!E10)</f>
        <v xml:space="preserve">NIT.  </v>
      </c>
      <c r="C63" s="13" t="s">
        <v>13</v>
      </c>
      <c r="D63" s="121"/>
      <c r="E63" s="111"/>
      <c r="F63" s="111"/>
      <c r="G63" s="111"/>
      <c r="H63" s="111"/>
      <c r="I63" s="376"/>
      <c r="J63" s="379"/>
      <c r="K63" s="400"/>
      <c r="L63" s="402"/>
      <c r="M63" s="388"/>
      <c r="N63" s="388"/>
      <c r="O63" s="355" t="str">
        <f>IF(Q58&gt;=($C$168*1000),'Tener en cuenta'!$AC$13,'Tener en cuenta'!$AC$14)</f>
        <v>CRP  NO Cumple</v>
      </c>
      <c r="P63" s="361"/>
      <c r="Q63" s="362"/>
      <c r="R63" s="392"/>
      <c r="S63" s="379"/>
      <c r="T63" s="395"/>
      <c r="U63" s="397"/>
      <c r="V63" s="379"/>
      <c r="W63" s="379"/>
      <c r="X63" s="392"/>
      <c r="Y63" s="379"/>
      <c r="Z63" s="395"/>
      <c r="AA63" s="397"/>
      <c r="AB63" s="379"/>
      <c r="AC63" s="379"/>
      <c r="AD63" s="374"/>
      <c r="AF63" s="171"/>
    </row>
    <row r="64" spans="1:32" s="7" customFormat="1" ht="21" hidden="1" customHeight="1" thickBot="1" x14ac:dyDescent="0.25">
      <c r="A64" s="370"/>
      <c r="B64" s="372"/>
      <c r="C64" s="30" t="s">
        <v>14</v>
      </c>
      <c r="D64" s="122"/>
      <c r="E64" s="112"/>
      <c r="F64" s="112"/>
      <c r="G64" s="112"/>
      <c r="H64" s="112"/>
      <c r="I64" s="377"/>
      <c r="J64" s="380"/>
      <c r="K64" s="401"/>
      <c r="L64" s="403"/>
      <c r="M64" s="389"/>
      <c r="N64" s="389"/>
      <c r="O64" s="363"/>
      <c r="P64" s="364"/>
      <c r="Q64" s="365"/>
      <c r="R64" s="393"/>
      <c r="S64" s="380"/>
      <c r="T64" s="396"/>
      <c r="U64" s="398"/>
      <c r="V64" s="380"/>
      <c r="W64" s="380"/>
      <c r="X64" s="393"/>
      <c r="Y64" s="380"/>
      <c r="Z64" s="396"/>
      <c r="AA64" s="398"/>
      <c r="AB64" s="380"/>
      <c r="AC64" s="380"/>
      <c r="AD64" s="43" t="s">
        <v>51</v>
      </c>
      <c r="AF64" s="172"/>
    </row>
    <row r="65" spans="1:32" s="134" customFormat="1" ht="33.75" hidden="1" customHeight="1" thickBot="1" x14ac:dyDescent="0.25">
      <c r="A65" s="119"/>
      <c r="B65" s="135">
        <f>'Tener en cuenta'!F29</f>
        <v>0</v>
      </c>
      <c r="C65" s="123"/>
      <c r="D65" s="124"/>
      <c r="E65" s="125"/>
      <c r="F65" s="125"/>
      <c r="G65" s="125"/>
      <c r="H65" s="125"/>
      <c r="I65" s="126" t="str">
        <f>IFERROR((I66*'Tener en cuenta'!B11)+(I73*'Tener en cuenta'!B12),"indeterminado")</f>
        <v>indeterminado</v>
      </c>
      <c r="J65" s="127" t="str">
        <f>IFERROR((J66*'Tener en cuenta'!B11)+(J73*'Tener en cuenta'!B12),"indeterminado")</f>
        <v>indeterminado</v>
      </c>
      <c r="K65" s="128" t="str">
        <f>IFERROR((K66*'Tener en cuenta'!B11)+(K73*'Tener en cuenta'!B12),"indeterminado")</f>
        <v>indeterminado</v>
      </c>
      <c r="L65" s="129">
        <f>(L66*'Tener en cuenta'!B11)+(L73*'Tener en cuenta'!B12)</f>
        <v>0</v>
      </c>
      <c r="M65" s="130" t="str">
        <f>IFERROR((M66*'Tener en cuenta'!B11)+(M73*'Tener en cuenta'!B12),"indeterminado")</f>
        <v>indeterminado</v>
      </c>
      <c r="N65" s="130" t="str">
        <f>IFERROR((N66*'Tener en cuenta'!B11)+(N73*'Tener en cuenta'!B12),"indeterminado")</f>
        <v>indeterminado</v>
      </c>
      <c r="O65" s="130"/>
      <c r="P65" s="201"/>
      <c r="Q65" s="130"/>
      <c r="R65" s="131"/>
      <c r="S65" s="127"/>
      <c r="T65" s="132"/>
      <c r="U65" s="133"/>
      <c r="V65" s="127"/>
      <c r="W65" s="127"/>
      <c r="X65" s="131"/>
      <c r="Y65" s="127"/>
      <c r="Z65" s="132"/>
      <c r="AA65" s="133"/>
      <c r="AB65" s="127"/>
      <c r="AC65" s="127"/>
      <c r="AD65" s="164" t="s">
        <v>47</v>
      </c>
      <c r="AF65" s="173"/>
    </row>
    <row r="66" spans="1:32" s="2" customFormat="1" ht="21" hidden="1" customHeight="1" x14ac:dyDescent="0.2">
      <c r="A66" s="369" t="s">
        <v>71</v>
      </c>
      <c r="B66" s="366">
        <f>'Tener en cuenta'!F11</f>
        <v>0</v>
      </c>
      <c r="C66" s="107" t="s">
        <v>11</v>
      </c>
      <c r="D66" s="120"/>
      <c r="E66" s="118"/>
      <c r="F66" s="118"/>
      <c r="G66" s="118"/>
      <c r="H66" s="118"/>
      <c r="I66" s="375" t="str">
        <f>IFERROR(+D66/D68,"indeterminado")</f>
        <v>indeterminado</v>
      </c>
      <c r="J66" s="378" t="str">
        <f>IFERROR(+(D69/D67),"indeterminado")</f>
        <v>indeterminado</v>
      </c>
      <c r="K66" s="381" t="str">
        <f>IFERROR(+D71/D72,"indeterminado")</f>
        <v>indeterminado</v>
      </c>
      <c r="L66" s="410">
        <f>+(D66-D68)</f>
        <v>0</v>
      </c>
      <c r="M66" s="387" t="str">
        <f>IFERROR(+D71/D70,"indeterminado")</f>
        <v>indeterminado</v>
      </c>
      <c r="N66" s="387" t="str">
        <f>IFERROR(+D71/D67,"indeterminado")</f>
        <v>indeterminado</v>
      </c>
      <c r="O66" s="179" t="s">
        <v>78</v>
      </c>
      <c r="P66" s="241">
        <f>IF('Tener en cuenta'!O11&gt;'Tener en cuenta'!$AH$30,'Tener en cuenta'!O11,'Tener en cuenta'!$AH$30)</f>
        <v>457297264</v>
      </c>
      <c r="Q66" s="350">
        <f>P66*((P67+P69+P68)/100)-P70</f>
        <v>548756716.79999995</v>
      </c>
      <c r="R66" s="411" t="e">
        <f>+G66/G68</f>
        <v>#DIV/0!</v>
      </c>
      <c r="S66" s="378" t="e">
        <f>+G69/G67</f>
        <v>#DIV/0!</v>
      </c>
      <c r="T66" s="412" t="s">
        <v>15</v>
      </c>
      <c r="U66" s="413">
        <f>+G66-G68</f>
        <v>0</v>
      </c>
      <c r="V66" s="378" t="e">
        <f>+G71/G70</f>
        <v>#DIV/0!</v>
      </c>
      <c r="W66" s="378" t="e">
        <f>+G71/G67</f>
        <v>#DIV/0!</v>
      </c>
      <c r="X66" s="411" t="e">
        <f>+D66/D68</f>
        <v>#DIV/0!</v>
      </c>
      <c r="Y66" s="378" t="e">
        <f>+D69/D67</f>
        <v>#DIV/0!</v>
      </c>
      <c r="Z66" s="412" t="s">
        <v>15</v>
      </c>
      <c r="AA66" s="413">
        <f>+D66-D68</f>
        <v>0</v>
      </c>
      <c r="AB66" s="378" t="e">
        <f>+D71/D70</f>
        <v>#DIV/0!</v>
      </c>
      <c r="AC66" s="378" t="e">
        <f>+D71/D67</f>
        <v>#DIV/0!</v>
      </c>
      <c r="AD66" s="147" t="s">
        <v>47</v>
      </c>
      <c r="AF66" s="171"/>
    </row>
    <row r="67" spans="1:32" s="2" customFormat="1" ht="21" hidden="1" customHeight="1" x14ac:dyDescent="0.2">
      <c r="A67" s="369"/>
      <c r="B67" s="367"/>
      <c r="C67" s="13" t="s">
        <v>12</v>
      </c>
      <c r="D67" s="121"/>
      <c r="E67" s="111"/>
      <c r="F67" s="111"/>
      <c r="G67" s="111"/>
      <c r="H67" s="111"/>
      <c r="I67" s="376"/>
      <c r="J67" s="379"/>
      <c r="K67" s="382"/>
      <c r="L67" s="390"/>
      <c r="M67" s="388"/>
      <c r="N67" s="388"/>
      <c r="O67" s="179" t="s">
        <v>82</v>
      </c>
      <c r="P67" s="199">
        <f>IF('Tener en cuenta'!N11&gt;=0,IF('Tener en cuenta'!N11&lt;=3,60,IF('Tener en cuenta'!N11&lt;=6,80,IF('Tener en cuenta'!N11&lt;=10,100,120))))</f>
        <v>60</v>
      </c>
      <c r="Q67" s="353"/>
      <c r="R67" s="392"/>
      <c r="S67" s="379"/>
      <c r="T67" s="395"/>
      <c r="U67" s="397"/>
      <c r="V67" s="379"/>
      <c r="W67" s="379"/>
      <c r="X67" s="392"/>
      <c r="Y67" s="379"/>
      <c r="Z67" s="395"/>
      <c r="AA67" s="397"/>
      <c r="AB67" s="379"/>
      <c r="AC67" s="379"/>
      <c r="AD67" s="373" t="s">
        <v>43</v>
      </c>
      <c r="AF67" s="171"/>
    </row>
    <row r="68" spans="1:32" s="2" customFormat="1" ht="21" hidden="1" customHeight="1" x14ac:dyDescent="0.2">
      <c r="A68" s="369"/>
      <c r="B68" s="367"/>
      <c r="C68" s="13" t="s">
        <v>8</v>
      </c>
      <c r="D68" s="121"/>
      <c r="E68" s="111"/>
      <c r="F68" s="111"/>
      <c r="G68" s="111"/>
      <c r="H68" s="111"/>
      <c r="I68" s="376"/>
      <c r="J68" s="379"/>
      <c r="K68" s="382"/>
      <c r="L68" s="390"/>
      <c r="M68" s="388"/>
      <c r="N68" s="388"/>
      <c r="O68" s="179" t="s">
        <v>79</v>
      </c>
      <c r="P68" s="199">
        <f>IF(I66&gt;=0,IF(I66&lt;=0.5,20,IF(I66&lt;=0.75,25,IF(I66&lt;=1,30,IF(I66&lt;=1.5,35,40)))))</f>
        <v>40</v>
      </c>
      <c r="Q68" s="353"/>
      <c r="R68" s="392"/>
      <c r="S68" s="379"/>
      <c r="T68" s="395"/>
      <c r="U68" s="397"/>
      <c r="V68" s="379"/>
      <c r="W68" s="379"/>
      <c r="X68" s="392"/>
      <c r="Y68" s="379"/>
      <c r="Z68" s="395"/>
      <c r="AA68" s="397"/>
      <c r="AB68" s="379"/>
      <c r="AC68" s="379"/>
      <c r="AD68" s="374"/>
      <c r="AF68" s="171"/>
    </row>
    <row r="69" spans="1:32" s="2" customFormat="1" ht="21" hidden="1" customHeight="1" x14ac:dyDescent="0.2">
      <c r="A69" s="369"/>
      <c r="B69" s="367"/>
      <c r="C69" s="13" t="s">
        <v>9</v>
      </c>
      <c r="D69" s="121"/>
      <c r="E69" s="111"/>
      <c r="F69" s="111"/>
      <c r="G69" s="111"/>
      <c r="H69" s="111"/>
      <c r="I69" s="376"/>
      <c r="J69" s="379"/>
      <c r="K69" s="382"/>
      <c r="L69" s="390"/>
      <c r="M69" s="388"/>
      <c r="N69" s="388"/>
      <c r="O69" s="179" t="s">
        <v>81</v>
      </c>
      <c r="P69" s="199">
        <f>IF('Tener en cuenta'!L11&gt;=0,IF('Tener en cuenta'!L11&lt;=5,20,IF('Tener en cuenta'!L11&lt;=10,30,40)))</f>
        <v>20</v>
      </c>
      <c r="Q69" s="353"/>
      <c r="R69" s="392"/>
      <c r="S69" s="379"/>
      <c r="T69" s="395"/>
      <c r="U69" s="397"/>
      <c r="V69" s="379"/>
      <c r="W69" s="379"/>
      <c r="X69" s="392"/>
      <c r="Y69" s="379"/>
      <c r="Z69" s="395"/>
      <c r="AA69" s="397"/>
      <c r="AB69" s="379"/>
      <c r="AC69" s="379"/>
      <c r="AD69" s="374"/>
      <c r="AF69" s="171"/>
    </row>
    <row r="70" spans="1:32" s="2" customFormat="1" ht="21" hidden="1" customHeight="1" x14ac:dyDescent="0.2">
      <c r="A70" s="369"/>
      <c r="B70" s="145" t="str">
        <f>CONCATENATE("UT Particip.  ",'Tener en cuenta'!B11*100,"% ")</f>
        <v xml:space="preserve">UT Particip.  0% </v>
      </c>
      <c r="C70" s="13" t="s">
        <v>10</v>
      </c>
      <c r="D70" s="121"/>
      <c r="E70" s="111"/>
      <c r="F70" s="111"/>
      <c r="G70" s="111"/>
      <c r="H70" s="111"/>
      <c r="I70" s="376"/>
      <c r="J70" s="379"/>
      <c r="K70" s="382"/>
      <c r="L70" s="390"/>
      <c r="M70" s="388"/>
      <c r="N70" s="388"/>
      <c r="O70" s="179" t="s">
        <v>80</v>
      </c>
      <c r="P70" s="262">
        <f>'Tener en cuenta'!P11</f>
        <v>0</v>
      </c>
      <c r="Q70" s="354"/>
      <c r="R70" s="392"/>
      <c r="S70" s="379"/>
      <c r="T70" s="395"/>
      <c r="U70" s="397"/>
      <c r="V70" s="379"/>
      <c r="W70" s="379"/>
      <c r="X70" s="392"/>
      <c r="Y70" s="379"/>
      <c r="Z70" s="395"/>
      <c r="AA70" s="397"/>
      <c r="AB70" s="379"/>
      <c r="AC70" s="379"/>
      <c r="AD70" s="374"/>
      <c r="AF70" s="171"/>
    </row>
    <row r="71" spans="1:32" s="2" customFormat="1" ht="21" hidden="1" customHeight="1" x14ac:dyDescent="0.2">
      <c r="A71" s="369"/>
      <c r="B71" s="371" t="str">
        <f>CONCATENATE("NIT.  ",'Tener en cuenta'!E11)</f>
        <v xml:space="preserve">NIT.  </v>
      </c>
      <c r="C71" s="13" t="s">
        <v>13</v>
      </c>
      <c r="D71" s="121"/>
      <c r="E71" s="184"/>
      <c r="F71" s="111"/>
      <c r="G71" s="111"/>
      <c r="H71" s="111"/>
      <c r="I71" s="376"/>
      <c r="J71" s="379"/>
      <c r="K71" s="382"/>
      <c r="L71" s="390"/>
      <c r="M71" s="388"/>
      <c r="N71" s="388"/>
      <c r="O71" s="355" t="str">
        <f>IF(Q66&gt;=($C$168*1000),'Tener en cuenta'!$AC$13,'Tener en cuenta'!$AC$14)</f>
        <v>CRP  NO Cumple</v>
      </c>
      <c r="P71" s="361"/>
      <c r="Q71" s="362"/>
      <c r="R71" s="392"/>
      <c r="S71" s="379"/>
      <c r="T71" s="395"/>
      <c r="U71" s="397"/>
      <c r="V71" s="379"/>
      <c r="W71" s="379"/>
      <c r="X71" s="392"/>
      <c r="Y71" s="379"/>
      <c r="Z71" s="395"/>
      <c r="AA71" s="397"/>
      <c r="AB71" s="379"/>
      <c r="AC71" s="379"/>
      <c r="AD71" s="374"/>
      <c r="AF71" s="171"/>
    </row>
    <row r="72" spans="1:32" s="7" customFormat="1" ht="21" hidden="1" customHeight="1" thickBot="1" x14ac:dyDescent="0.25">
      <c r="A72" s="370"/>
      <c r="B72" s="372"/>
      <c r="C72" s="30" t="s">
        <v>14</v>
      </c>
      <c r="D72" s="122"/>
      <c r="E72" s="112"/>
      <c r="F72" s="112"/>
      <c r="G72" s="112"/>
      <c r="H72" s="112"/>
      <c r="I72" s="377"/>
      <c r="J72" s="380"/>
      <c r="K72" s="383"/>
      <c r="L72" s="391"/>
      <c r="M72" s="389"/>
      <c r="N72" s="389"/>
      <c r="O72" s="363"/>
      <c r="P72" s="364"/>
      <c r="Q72" s="365"/>
      <c r="R72" s="393"/>
      <c r="S72" s="380"/>
      <c r="T72" s="396"/>
      <c r="U72" s="398"/>
      <c r="V72" s="380"/>
      <c r="W72" s="380"/>
      <c r="X72" s="393"/>
      <c r="Y72" s="380"/>
      <c r="Z72" s="396"/>
      <c r="AA72" s="398"/>
      <c r="AB72" s="380"/>
      <c r="AC72" s="380"/>
      <c r="AD72" s="43" t="s">
        <v>51</v>
      </c>
      <c r="AF72" s="172"/>
    </row>
    <row r="73" spans="1:32" s="2" customFormat="1" ht="21" hidden="1" customHeight="1" x14ac:dyDescent="0.2">
      <c r="A73" s="368" t="s">
        <v>72</v>
      </c>
      <c r="B73" s="366">
        <f>'Tener en cuenta'!F12</f>
        <v>0</v>
      </c>
      <c r="C73" s="12" t="s">
        <v>11</v>
      </c>
      <c r="D73" s="88"/>
      <c r="E73" s="118"/>
      <c r="F73" s="118"/>
      <c r="G73" s="108"/>
      <c r="H73" s="108"/>
      <c r="I73" s="376" t="str">
        <f>IFERROR(+D73/D75,"indeterminado")</f>
        <v>indeterminado</v>
      </c>
      <c r="J73" s="379" t="str">
        <f>IFERROR(+(D76/D74),"indeterminado")</f>
        <v>indeterminado</v>
      </c>
      <c r="K73" s="382" t="str">
        <f>IFERROR(+D78/D79,"indeterminado")</f>
        <v>indeterminado</v>
      </c>
      <c r="L73" s="390">
        <f>+(D73-D75)</f>
        <v>0</v>
      </c>
      <c r="M73" s="388" t="str">
        <f>IFERROR(+D78/D77,"indeterminado")</f>
        <v>indeterminado</v>
      </c>
      <c r="N73" s="388" t="str">
        <f>IFERROR(+D78/D74,"indeterminado")</f>
        <v>indeterminado</v>
      </c>
      <c r="O73" s="179" t="s">
        <v>78</v>
      </c>
      <c r="P73" s="241">
        <f>IF('Tener en cuenta'!O12&gt;'Tener en cuenta'!$AH$30,'Tener en cuenta'!O12,'Tener en cuenta'!$AH$30)</f>
        <v>457297264</v>
      </c>
      <c r="Q73" s="350">
        <f>P73*((P74+P76+P75)/100)-P77</f>
        <v>548756716.79999995</v>
      </c>
      <c r="R73" s="392" t="e">
        <f>+G73/G75</f>
        <v>#DIV/0!</v>
      </c>
      <c r="S73" s="379" t="e">
        <f>+G76/G74</f>
        <v>#DIV/0!</v>
      </c>
      <c r="T73" s="394" t="s">
        <v>15</v>
      </c>
      <c r="U73" s="397">
        <f>+G73-G75</f>
        <v>0</v>
      </c>
      <c r="V73" s="379" t="e">
        <f>+G78/G77</f>
        <v>#DIV/0!</v>
      </c>
      <c r="W73" s="379" t="e">
        <f>+G78/G74</f>
        <v>#DIV/0!</v>
      </c>
      <c r="X73" s="392" t="e">
        <f>+D73/D75</f>
        <v>#DIV/0!</v>
      </c>
      <c r="Y73" s="379" t="e">
        <f>+D76/D74</f>
        <v>#DIV/0!</v>
      </c>
      <c r="Z73" s="394" t="s">
        <v>15</v>
      </c>
      <c r="AA73" s="397">
        <f>+D73-D75</f>
        <v>0</v>
      </c>
      <c r="AB73" s="379" t="e">
        <f>+D78/D77</f>
        <v>#DIV/0!</v>
      </c>
      <c r="AC73" s="379" t="e">
        <f>+D78/D74</f>
        <v>#DIV/0!</v>
      </c>
      <c r="AD73" s="147" t="s">
        <v>47</v>
      </c>
      <c r="AF73" s="171"/>
    </row>
    <row r="74" spans="1:32" s="2" customFormat="1" ht="21" hidden="1" customHeight="1" x14ac:dyDescent="0.2">
      <c r="A74" s="369"/>
      <c r="B74" s="367"/>
      <c r="C74" s="13" t="s">
        <v>12</v>
      </c>
      <c r="D74" s="88"/>
      <c r="E74" s="111"/>
      <c r="F74" s="111"/>
      <c r="G74" s="29"/>
      <c r="H74" s="29"/>
      <c r="I74" s="376"/>
      <c r="J74" s="379"/>
      <c r="K74" s="382"/>
      <c r="L74" s="390"/>
      <c r="M74" s="388"/>
      <c r="N74" s="388"/>
      <c r="O74" s="179" t="s">
        <v>82</v>
      </c>
      <c r="P74" s="199">
        <f>IF('Tener en cuenta'!N12&gt;=0,IF('Tener en cuenta'!N12&lt;=3,60,IF('Tener en cuenta'!N12&lt;=6,80,IF('Tener en cuenta'!N12&lt;=10,100,120))))</f>
        <v>60</v>
      </c>
      <c r="Q74" s="353"/>
      <c r="R74" s="392"/>
      <c r="S74" s="379"/>
      <c r="T74" s="395"/>
      <c r="U74" s="397"/>
      <c r="V74" s="379"/>
      <c r="W74" s="379"/>
      <c r="X74" s="392"/>
      <c r="Y74" s="379"/>
      <c r="Z74" s="395"/>
      <c r="AA74" s="397"/>
      <c r="AB74" s="379"/>
      <c r="AC74" s="379"/>
      <c r="AD74" s="373" t="s">
        <v>43</v>
      </c>
      <c r="AF74" s="171"/>
    </row>
    <row r="75" spans="1:32" s="2" customFormat="1" ht="21" hidden="1" customHeight="1" x14ac:dyDescent="0.2">
      <c r="A75" s="369"/>
      <c r="B75" s="367"/>
      <c r="C75" s="13" t="s">
        <v>8</v>
      </c>
      <c r="D75" s="88"/>
      <c r="E75" s="111"/>
      <c r="F75" s="111"/>
      <c r="G75" s="29"/>
      <c r="H75" s="29"/>
      <c r="I75" s="376"/>
      <c r="J75" s="379"/>
      <c r="K75" s="382"/>
      <c r="L75" s="390"/>
      <c r="M75" s="388"/>
      <c r="N75" s="388"/>
      <c r="O75" s="179" t="s">
        <v>79</v>
      </c>
      <c r="P75" s="199">
        <f>IF(I73&gt;=0,IF(I73&lt;=0.5,20,IF(I73&lt;=0.75,25,IF(I73&lt;=1,30,IF(I73&lt;=1.5,35,40)))))</f>
        <v>40</v>
      </c>
      <c r="Q75" s="353"/>
      <c r="R75" s="392"/>
      <c r="S75" s="379"/>
      <c r="T75" s="395"/>
      <c r="U75" s="397"/>
      <c r="V75" s="379"/>
      <c r="W75" s="379"/>
      <c r="X75" s="392"/>
      <c r="Y75" s="379"/>
      <c r="Z75" s="395"/>
      <c r="AA75" s="397"/>
      <c r="AB75" s="379"/>
      <c r="AC75" s="379"/>
      <c r="AD75" s="374"/>
      <c r="AF75" s="171"/>
    </row>
    <row r="76" spans="1:32" s="2" customFormat="1" ht="21" hidden="1" customHeight="1" x14ac:dyDescent="0.2">
      <c r="A76" s="369"/>
      <c r="B76" s="367"/>
      <c r="C76" s="13" t="s">
        <v>9</v>
      </c>
      <c r="D76" s="88"/>
      <c r="E76" s="111"/>
      <c r="F76" s="111"/>
      <c r="G76" s="29"/>
      <c r="H76" s="29"/>
      <c r="I76" s="376"/>
      <c r="J76" s="379"/>
      <c r="K76" s="382"/>
      <c r="L76" s="390"/>
      <c r="M76" s="388"/>
      <c r="N76" s="388"/>
      <c r="O76" s="179" t="s">
        <v>81</v>
      </c>
      <c r="P76" s="199">
        <f>IF('Tener en cuenta'!L12&gt;=0,IF('Tener en cuenta'!L12&lt;=5,20,IF('Tener en cuenta'!L12&lt;=10,30,40)))</f>
        <v>20</v>
      </c>
      <c r="Q76" s="353"/>
      <c r="R76" s="392"/>
      <c r="S76" s="379"/>
      <c r="T76" s="395"/>
      <c r="U76" s="397"/>
      <c r="V76" s="379"/>
      <c r="W76" s="379"/>
      <c r="X76" s="392"/>
      <c r="Y76" s="379"/>
      <c r="Z76" s="395"/>
      <c r="AA76" s="397"/>
      <c r="AB76" s="379"/>
      <c r="AC76" s="379"/>
      <c r="AD76" s="374"/>
      <c r="AF76" s="171"/>
    </row>
    <row r="77" spans="1:32" s="2" customFormat="1" ht="21" hidden="1" customHeight="1" x14ac:dyDescent="0.2">
      <c r="A77" s="369"/>
      <c r="B77" s="145" t="str">
        <f>CONCATENATE("UT Particip.  ",'Tener en cuenta'!B12*100,"% ")</f>
        <v xml:space="preserve">UT Particip.  0% </v>
      </c>
      <c r="C77" s="13" t="s">
        <v>10</v>
      </c>
      <c r="D77" s="88"/>
      <c r="E77" s="111"/>
      <c r="F77" s="111"/>
      <c r="G77" s="29"/>
      <c r="H77" s="29"/>
      <c r="I77" s="376"/>
      <c r="J77" s="379"/>
      <c r="K77" s="382"/>
      <c r="L77" s="390"/>
      <c r="M77" s="388"/>
      <c r="N77" s="388"/>
      <c r="O77" s="179" t="s">
        <v>80</v>
      </c>
      <c r="P77" s="262">
        <f>'Tener en cuenta'!P12</f>
        <v>0</v>
      </c>
      <c r="Q77" s="354"/>
      <c r="R77" s="392"/>
      <c r="S77" s="379"/>
      <c r="T77" s="395"/>
      <c r="U77" s="397"/>
      <c r="V77" s="379"/>
      <c r="W77" s="379"/>
      <c r="X77" s="392"/>
      <c r="Y77" s="379"/>
      <c r="Z77" s="395"/>
      <c r="AA77" s="397"/>
      <c r="AB77" s="379"/>
      <c r="AC77" s="379"/>
      <c r="AD77" s="374"/>
      <c r="AF77" s="171"/>
    </row>
    <row r="78" spans="1:32" s="2" customFormat="1" ht="21" hidden="1" customHeight="1" x14ac:dyDescent="0.2">
      <c r="A78" s="369"/>
      <c r="B78" s="371" t="str">
        <f>CONCATENATE("NIT.  ",'Tener en cuenta'!E12)</f>
        <v xml:space="preserve">NIT.  </v>
      </c>
      <c r="C78" s="13" t="s">
        <v>13</v>
      </c>
      <c r="D78" s="88"/>
      <c r="E78" s="184"/>
      <c r="F78" s="111"/>
      <c r="G78" s="29"/>
      <c r="H78" s="29"/>
      <c r="I78" s="376"/>
      <c r="J78" s="379"/>
      <c r="K78" s="382"/>
      <c r="L78" s="390"/>
      <c r="M78" s="388"/>
      <c r="N78" s="388"/>
      <c r="O78" s="355" t="str">
        <f>IF(Q73&gt;=($C$168*1000),'Tener en cuenta'!$AC$13,'Tener en cuenta'!$AC$14)</f>
        <v>CRP  NO Cumple</v>
      </c>
      <c r="P78" s="361"/>
      <c r="Q78" s="362"/>
      <c r="R78" s="392"/>
      <c r="S78" s="379"/>
      <c r="T78" s="395"/>
      <c r="U78" s="397"/>
      <c r="V78" s="379"/>
      <c r="W78" s="379"/>
      <c r="X78" s="392"/>
      <c r="Y78" s="379"/>
      <c r="Z78" s="395"/>
      <c r="AA78" s="397"/>
      <c r="AB78" s="379"/>
      <c r="AC78" s="379"/>
      <c r="AD78" s="374"/>
      <c r="AF78" s="171"/>
    </row>
    <row r="79" spans="1:32" s="7" customFormat="1" ht="21" hidden="1" customHeight="1" thickBot="1" x14ac:dyDescent="0.25">
      <c r="A79" s="370"/>
      <c r="B79" s="372"/>
      <c r="C79" s="30" t="s">
        <v>14</v>
      </c>
      <c r="D79" s="89"/>
      <c r="E79" s="112"/>
      <c r="F79" s="112"/>
      <c r="G79" s="31"/>
      <c r="H79" s="31"/>
      <c r="I79" s="377"/>
      <c r="J79" s="380"/>
      <c r="K79" s="383"/>
      <c r="L79" s="391"/>
      <c r="M79" s="389"/>
      <c r="N79" s="389"/>
      <c r="O79" s="363"/>
      <c r="P79" s="364"/>
      <c r="Q79" s="365"/>
      <c r="R79" s="393"/>
      <c r="S79" s="380"/>
      <c r="T79" s="396"/>
      <c r="U79" s="398"/>
      <c r="V79" s="380"/>
      <c r="W79" s="380"/>
      <c r="X79" s="393"/>
      <c r="Y79" s="380"/>
      <c r="Z79" s="396"/>
      <c r="AA79" s="398"/>
      <c r="AB79" s="380"/>
      <c r="AC79" s="380"/>
      <c r="AD79" s="43" t="s">
        <v>51</v>
      </c>
      <c r="AF79" s="172"/>
    </row>
    <row r="80" spans="1:32" s="134" customFormat="1" ht="33.75" hidden="1" customHeight="1" thickBot="1" x14ac:dyDescent="0.25">
      <c r="A80" s="119"/>
      <c r="B80" s="135">
        <f>'Tener en cuenta'!F30</f>
        <v>0</v>
      </c>
      <c r="C80" s="123"/>
      <c r="D80" s="124"/>
      <c r="E80" s="125"/>
      <c r="F80" s="125"/>
      <c r="G80" s="125"/>
      <c r="H80" s="125"/>
      <c r="I80" s="126" t="str">
        <f>IFERROR((I81*'Tener en cuenta'!B13)+(I88*'Tener en cuenta'!B14),"indeterminado")</f>
        <v>indeterminado</v>
      </c>
      <c r="J80" s="127" t="str">
        <f>IFERROR((J81*'Tener en cuenta'!B13)+(J88*'Tener en cuenta'!B14),"indeterminado")</f>
        <v>indeterminado</v>
      </c>
      <c r="K80" s="128" t="str">
        <f>IFERROR((K81*'Tener en cuenta'!B13)+(K88*'Tener en cuenta'!B14),"indeterminado")</f>
        <v>indeterminado</v>
      </c>
      <c r="L80" s="129">
        <f>(L81*'Tener en cuenta'!B13)+(L88*'Tener en cuenta'!B14)</f>
        <v>0</v>
      </c>
      <c r="M80" s="207" t="str">
        <f>IFERROR((M81*'Tener en cuenta'!B13)+(M88*'Tener en cuenta'!B14),"indeterminado")</f>
        <v>indeterminado</v>
      </c>
      <c r="N80" s="207" t="str">
        <f>IFERROR((N81*'Tener en cuenta'!B13)+(N88*'Tener en cuenta'!B14),"indeterminado")</f>
        <v>indeterminado</v>
      </c>
      <c r="O80" s="176"/>
      <c r="P80" s="200"/>
      <c r="Q80" s="176"/>
      <c r="R80" s="131"/>
      <c r="S80" s="127"/>
      <c r="T80" s="132"/>
      <c r="U80" s="133"/>
      <c r="V80" s="127"/>
      <c r="W80" s="127"/>
      <c r="X80" s="131"/>
      <c r="Y80" s="127"/>
      <c r="Z80" s="132"/>
      <c r="AA80" s="133"/>
      <c r="AB80" s="127"/>
      <c r="AC80" s="127"/>
      <c r="AD80" s="164" t="s">
        <v>47</v>
      </c>
      <c r="AF80" s="173"/>
    </row>
    <row r="81" spans="1:32" s="2" customFormat="1" ht="21" hidden="1" customHeight="1" x14ac:dyDescent="0.2">
      <c r="A81" s="369" t="s">
        <v>73</v>
      </c>
      <c r="B81" s="409">
        <f>'Tener en cuenta'!F13</f>
        <v>0</v>
      </c>
      <c r="C81" s="107" t="s">
        <v>11</v>
      </c>
      <c r="D81" s="120"/>
      <c r="E81" s="118"/>
      <c r="F81" s="118"/>
      <c r="G81" s="118"/>
      <c r="H81" s="118"/>
      <c r="I81" s="376" t="str">
        <f>IFERROR(+D81/D83,"indeterminado")</f>
        <v>indeterminado</v>
      </c>
      <c r="J81" s="379" t="str">
        <f>IFERROR(+(D84/D82),"indeterminado")</f>
        <v>indeterminado</v>
      </c>
      <c r="K81" s="382" t="str">
        <f>IFERROR(+D86/D87,"indeterminado")</f>
        <v>indeterminado</v>
      </c>
      <c r="L81" s="390">
        <f>+(D81-D83)</f>
        <v>0</v>
      </c>
      <c r="M81" s="388" t="str">
        <f>IFERROR(+D86/D85,"indeterminado")</f>
        <v>indeterminado</v>
      </c>
      <c r="N81" s="388" t="str">
        <f>IFERROR(+D86/D82,"indeterminado")</f>
        <v>indeterminado</v>
      </c>
      <c r="O81" s="179" t="s">
        <v>78</v>
      </c>
      <c r="P81" s="241">
        <f>IF('Tener en cuenta'!O13&gt;'Tener en cuenta'!$AH$30,'Tener en cuenta'!O13,'Tener en cuenta'!$AH$30)</f>
        <v>457297264</v>
      </c>
      <c r="Q81" s="350">
        <f>P81*((P82+P84+P83)/100)-P85</f>
        <v>548756716.79999995</v>
      </c>
      <c r="R81" s="392" t="e">
        <f>+G81/G83</f>
        <v>#DIV/0!</v>
      </c>
      <c r="S81" s="379" t="e">
        <f>+G84/G82</f>
        <v>#DIV/0!</v>
      </c>
      <c r="T81" s="394" t="s">
        <v>15</v>
      </c>
      <c r="U81" s="397">
        <f>+G81-G83</f>
        <v>0</v>
      </c>
      <c r="V81" s="379" t="e">
        <f>+G86/G85</f>
        <v>#DIV/0!</v>
      </c>
      <c r="W81" s="379" t="e">
        <f>+G86/G82</f>
        <v>#DIV/0!</v>
      </c>
      <c r="X81" s="392" t="e">
        <f>+D81/D83</f>
        <v>#DIV/0!</v>
      </c>
      <c r="Y81" s="379" t="e">
        <f>+D84/D82</f>
        <v>#DIV/0!</v>
      </c>
      <c r="Z81" s="394" t="s">
        <v>15</v>
      </c>
      <c r="AA81" s="397">
        <f>+D81-D83</f>
        <v>0</v>
      </c>
      <c r="AB81" s="379" t="e">
        <f>+D86/D85</f>
        <v>#DIV/0!</v>
      </c>
      <c r="AC81" s="379" t="e">
        <f>+D86/D82</f>
        <v>#DIV/0!</v>
      </c>
      <c r="AD81" s="147" t="s">
        <v>47</v>
      </c>
      <c r="AF81" s="171"/>
    </row>
    <row r="82" spans="1:32" s="2" customFormat="1" ht="21" hidden="1" customHeight="1" x14ac:dyDescent="0.2">
      <c r="A82" s="369"/>
      <c r="B82" s="367"/>
      <c r="C82" s="13" t="s">
        <v>12</v>
      </c>
      <c r="D82" s="121"/>
      <c r="E82" s="111"/>
      <c r="F82" s="111"/>
      <c r="G82" s="111"/>
      <c r="H82" s="111"/>
      <c r="I82" s="376"/>
      <c r="J82" s="379"/>
      <c r="K82" s="382"/>
      <c r="L82" s="390"/>
      <c r="M82" s="388"/>
      <c r="N82" s="388"/>
      <c r="O82" s="179" t="s">
        <v>82</v>
      </c>
      <c r="P82" s="199">
        <f>IF('Tener en cuenta'!N13&gt;=0,IF('Tener en cuenta'!N13&lt;=3,60,IF('Tener en cuenta'!N13&lt;=6,80,IF('Tener en cuenta'!N13&lt;=10,100,120))))</f>
        <v>60</v>
      </c>
      <c r="Q82" s="353"/>
      <c r="R82" s="392"/>
      <c r="S82" s="379"/>
      <c r="T82" s="395"/>
      <c r="U82" s="397"/>
      <c r="V82" s="379"/>
      <c r="W82" s="379"/>
      <c r="X82" s="392"/>
      <c r="Y82" s="379"/>
      <c r="Z82" s="395"/>
      <c r="AA82" s="397"/>
      <c r="AB82" s="379"/>
      <c r="AC82" s="379"/>
      <c r="AD82" s="373" t="s">
        <v>43</v>
      </c>
      <c r="AF82" s="171"/>
    </row>
    <row r="83" spans="1:32" s="2" customFormat="1" ht="21" hidden="1" customHeight="1" x14ac:dyDescent="0.2">
      <c r="A83" s="369"/>
      <c r="B83" s="367"/>
      <c r="C83" s="13" t="s">
        <v>8</v>
      </c>
      <c r="D83" s="121"/>
      <c r="E83" s="111"/>
      <c r="F83" s="111"/>
      <c r="G83" s="111"/>
      <c r="H83" s="111"/>
      <c r="I83" s="376"/>
      <c r="J83" s="379"/>
      <c r="K83" s="382"/>
      <c r="L83" s="390"/>
      <c r="M83" s="388"/>
      <c r="N83" s="388"/>
      <c r="O83" s="179" t="s">
        <v>79</v>
      </c>
      <c r="P83" s="199">
        <f>IF(I81&gt;=0,IF(I81&lt;=0.5,20,IF(I81&lt;=0.75,25,IF(I81&lt;=1,30,IF(I81&lt;=1.5,35,40)))))</f>
        <v>40</v>
      </c>
      <c r="Q83" s="353"/>
      <c r="R83" s="392"/>
      <c r="S83" s="379"/>
      <c r="T83" s="395"/>
      <c r="U83" s="397"/>
      <c r="V83" s="379"/>
      <c r="W83" s="379"/>
      <c r="X83" s="392"/>
      <c r="Y83" s="379"/>
      <c r="Z83" s="395"/>
      <c r="AA83" s="397"/>
      <c r="AB83" s="379"/>
      <c r="AC83" s="379"/>
      <c r="AD83" s="374"/>
      <c r="AF83" s="171"/>
    </row>
    <row r="84" spans="1:32" s="2" customFormat="1" ht="21" hidden="1" customHeight="1" x14ac:dyDescent="0.2">
      <c r="A84" s="369"/>
      <c r="B84" s="367"/>
      <c r="C84" s="13" t="s">
        <v>9</v>
      </c>
      <c r="D84" s="121"/>
      <c r="E84" s="111"/>
      <c r="F84" s="111"/>
      <c r="G84" s="111"/>
      <c r="H84" s="111"/>
      <c r="I84" s="376"/>
      <c r="J84" s="379"/>
      <c r="K84" s="382"/>
      <c r="L84" s="390"/>
      <c r="M84" s="388"/>
      <c r="N84" s="388"/>
      <c r="O84" s="179" t="s">
        <v>81</v>
      </c>
      <c r="P84" s="199">
        <f>IF('Tener en cuenta'!L13&gt;=0,IF('Tener en cuenta'!L13&lt;=5,20,IF('Tener en cuenta'!L13&lt;=10,30,40)))</f>
        <v>20</v>
      </c>
      <c r="Q84" s="353"/>
      <c r="R84" s="392"/>
      <c r="S84" s="379"/>
      <c r="T84" s="395"/>
      <c r="U84" s="397"/>
      <c r="V84" s="379"/>
      <c r="W84" s="379"/>
      <c r="X84" s="392"/>
      <c r="Y84" s="379"/>
      <c r="Z84" s="395"/>
      <c r="AA84" s="397"/>
      <c r="AB84" s="379"/>
      <c r="AC84" s="379"/>
      <c r="AD84" s="374"/>
      <c r="AF84" s="171"/>
    </row>
    <row r="85" spans="1:32" s="2" customFormat="1" ht="21" hidden="1" customHeight="1" x14ac:dyDescent="0.2">
      <c r="A85" s="369"/>
      <c r="B85" s="145" t="str">
        <f>CONCATENATE("UT Particip.  ",'Tener en cuenta'!B13*100,"% ")</f>
        <v xml:space="preserve">UT Particip.  0% </v>
      </c>
      <c r="C85" s="13" t="s">
        <v>10</v>
      </c>
      <c r="D85" s="121"/>
      <c r="E85" s="111"/>
      <c r="F85" s="111"/>
      <c r="G85" s="111"/>
      <c r="H85" s="111"/>
      <c r="I85" s="376"/>
      <c r="J85" s="379"/>
      <c r="K85" s="382"/>
      <c r="L85" s="390"/>
      <c r="M85" s="388"/>
      <c r="N85" s="388"/>
      <c r="O85" s="179" t="s">
        <v>80</v>
      </c>
      <c r="P85" s="262">
        <f>'Tener en cuenta'!P13</f>
        <v>0</v>
      </c>
      <c r="Q85" s="354"/>
      <c r="R85" s="392"/>
      <c r="S85" s="379"/>
      <c r="T85" s="395"/>
      <c r="U85" s="397"/>
      <c r="V85" s="379"/>
      <c r="W85" s="379"/>
      <c r="X85" s="392"/>
      <c r="Y85" s="379"/>
      <c r="Z85" s="395"/>
      <c r="AA85" s="397"/>
      <c r="AB85" s="379"/>
      <c r="AC85" s="379"/>
      <c r="AD85" s="374"/>
      <c r="AF85" s="171"/>
    </row>
    <row r="86" spans="1:32" s="2" customFormat="1" ht="21" hidden="1" customHeight="1" x14ac:dyDescent="0.2">
      <c r="A86" s="369"/>
      <c r="B86" s="371" t="str">
        <f>CONCATENATE("NIT.  ",'Tener en cuenta'!E13)</f>
        <v xml:space="preserve">NIT.  </v>
      </c>
      <c r="C86" s="13" t="s">
        <v>13</v>
      </c>
      <c r="D86" s="121"/>
      <c r="E86" s="111"/>
      <c r="F86" s="111"/>
      <c r="G86" s="111"/>
      <c r="H86" s="111"/>
      <c r="I86" s="376"/>
      <c r="J86" s="379"/>
      <c r="K86" s="382"/>
      <c r="L86" s="390"/>
      <c r="M86" s="388"/>
      <c r="N86" s="388"/>
      <c r="O86" s="355" t="str">
        <f>IF(Q81&gt;=($C$168*1000),'Tener en cuenta'!$AC$13,'Tener en cuenta'!$AC$14)</f>
        <v>CRP  NO Cumple</v>
      </c>
      <c r="P86" s="361"/>
      <c r="Q86" s="362"/>
      <c r="R86" s="392"/>
      <c r="S86" s="379"/>
      <c r="T86" s="395"/>
      <c r="U86" s="397"/>
      <c r="V86" s="379"/>
      <c r="W86" s="379"/>
      <c r="X86" s="392"/>
      <c r="Y86" s="379"/>
      <c r="Z86" s="395"/>
      <c r="AA86" s="397"/>
      <c r="AB86" s="379"/>
      <c r="AC86" s="379"/>
      <c r="AD86" s="374"/>
      <c r="AF86" s="171"/>
    </row>
    <row r="87" spans="1:32" s="7" customFormat="1" ht="21" hidden="1" customHeight="1" thickBot="1" x14ac:dyDescent="0.25">
      <c r="A87" s="370"/>
      <c r="B87" s="372"/>
      <c r="C87" s="30" t="s">
        <v>14</v>
      </c>
      <c r="D87" s="122"/>
      <c r="E87" s="112"/>
      <c r="F87" s="112"/>
      <c r="G87" s="112"/>
      <c r="H87" s="112"/>
      <c r="I87" s="377"/>
      <c r="J87" s="380"/>
      <c r="K87" s="383"/>
      <c r="L87" s="391"/>
      <c r="M87" s="389"/>
      <c r="N87" s="389"/>
      <c r="O87" s="363"/>
      <c r="P87" s="364"/>
      <c r="Q87" s="365"/>
      <c r="R87" s="393"/>
      <c r="S87" s="380"/>
      <c r="T87" s="396"/>
      <c r="U87" s="398"/>
      <c r="V87" s="380"/>
      <c r="W87" s="380"/>
      <c r="X87" s="393"/>
      <c r="Y87" s="380"/>
      <c r="Z87" s="396"/>
      <c r="AA87" s="398"/>
      <c r="AB87" s="380"/>
      <c r="AC87" s="380"/>
      <c r="AD87" s="43" t="s">
        <v>51</v>
      </c>
      <c r="AF87" s="172"/>
    </row>
    <row r="88" spans="1:32" s="7" customFormat="1" ht="21" hidden="1" customHeight="1" x14ac:dyDescent="0.2">
      <c r="A88" s="368" t="s">
        <v>74</v>
      </c>
      <c r="B88" s="366">
        <f>'Tener en cuenta'!F14</f>
        <v>0</v>
      </c>
      <c r="C88" s="12" t="s">
        <v>11</v>
      </c>
      <c r="D88" s="121"/>
      <c r="E88" s="183"/>
      <c r="F88" s="118"/>
      <c r="G88" s="183"/>
      <c r="H88" s="108"/>
      <c r="I88" s="376" t="str">
        <f>IFERROR(+D88/D90,"indeterminado")</f>
        <v>indeterminado</v>
      </c>
      <c r="J88" s="379" t="str">
        <f>IFERROR(+(D91/D89),"indeterminado")</f>
        <v>indeterminado</v>
      </c>
      <c r="K88" s="382" t="str">
        <f>IFERROR(+D93/D94,"indeterminado")</f>
        <v>indeterminado</v>
      </c>
      <c r="L88" s="390">
        <f>+(D88-D90)</f>
        <v>0</v>
      </c>
      <c r="M88" s="388" t="str">
        <f>IFERROR(+D93/D92,"indeterminado")</f>
        <v>indeterminado</v>
      </c>
      <c r="N88" s="388" t="str">
        <f>IFERROR(+D93/D89,"indeterminado")</f>
        <v>indeterminado</v>
      </c>
      <c r="O88" s="179" t="s">
        <v>78</v>
      </c>
      <c r="P88" s="241">
        <f>IF('Tener en cuenta'!O14&gt;'Tener en cuenta'!$AH$30,'Tener en cuenta'!O14,'Tener en cuenta'!$AH$30)</f>
        <v>457297264</v>
      </c>
      <c r="Q88" s="350">
        <f>P88*((P89+P91+P90)/100)-P92</f>
        <v>548756716.79999995</v>
      </c>
      <c r="R88" s="392" t="e">
        <f>+G88/G90</f>
        <v>#DIV/0!</v>
      </c>
      <c r="S88" s="379" t="e">
        <f>+G91/G89</f>
        <v>#DIV/0!</v>
      </c>
      <c r="T88" s="394" t="s">
        <v>15</v>
      </c>
      <c r="U88" s="397">
        <f>+G88-G90</f>
        <v>0</v>
      </c>
      <c r="V88" s="379" t="e">
        <f>+G93/G92</f>
        <v>#DIV/0!</v>
      </c>
      <c r="W88" s="379" t="e">
        <f>+G93/G89</f>
        <v>#DIV/0!</v>
      </c>
      <c r="X88" s="392" t="e">
        <f>+D88/D90</f>
        <v>#DIV/0!</v>
      </c>
      <c r="Y88" s="379" t="e">
        <f>+D91/D89</f>
        <v>#DIV/0!</v>
      </c>
      <c r="Z88" s="394" t="s">
        <v>15</v>
      </c>
      <c r="AA88" s="397">
        <f>+D88-D90</f>
        <v>0</v>
      </c>
      <c r="AB88" s="379" t="e">
        <f>+D93/D92</f>
        <v>#DIV/0!</v>
      </c>
      <c r="AC88" s="379" t="e">
        <f>+D93/D89</f>
        <v>#DIV/0!</v>
      </c>
      <c r="AD88" s="147" t="s">
        <v>47</v>
      </c>
      <c r="AF88" s="172"/>
    </row>
    <row r="89" spans="1:32" s="7" customFormat="1" ht="21" hidden="1" customHeight="1" x14ac:dyDescent="0.2">
      <c r="A89" s="369"/>
      <c r="B89" s="367"/>
      <c r="C89" s="13" t="s">
        <v>12</v>
      </c>
      <c r="D89" s="121"/>
      <c r="E89" s="111"/>
      <c r="F89" s="111"/>
      <c r="G89" s="111"/>
      <c r="H89" s="29"/>
      <c r="I89" s="376"/>
      <c r="J89" s="379"/>
      <c r="K89" s="382"/>
      <c r="L89" s="390"/>
      <c r="M89" s="388"/>
      <c r="N89" s="388"/>
      <c r="O89" s="179" t="s">
        <v>82</v>
      </c>
      <c r="P89" s="199">
        <f>IF('Tener en cuenta'!N14&gt;=0,IF('Tener en cuenta'!N14&lt;=3,60,IF('Tener en cuenta'!N14&lt;=6,80,IF('Tener en cuenta'!N14&lt;=10,100,120))))</f>
        <v>60</v>
      </c>
      <c r="Q89" s="353"/>
      <c r="R89" s="392"/>
      <c r="S89" s="379"/>
      <c r="T89" s="395"/>
      <c r="U89" s="397"/>
      <c r="V89" s="379"/>
      <c r="W89" s="379"/>
      <c r="X89" s="392"/>
      <c r="Y89" s="379"/>
      <c r="Z89" s="395"/>
      <c r="AA89" s="397"/>
      <c r="AB89" s="379"/>
      <c r="AC89" s="379"/>
      <c r="AD89" s="373" t="s">
        <v>43</v>
      </c>
      <c r="AF89" s="172"/>
    </row>
    <row r="90" spans="1:32" s="7" customFormat="1" ht="21" hidden="1" customHeight="1" x14ac:dyDescent="0.2">
      <c r="A90" s="369"/>
      <c r="B90" s="367"/>
      <c r="C90" s="13" t="s">
        <v>8</v>
      </c>
      <c r="D90" s="121"/>
      <c r="E90" s="111"/>
      <c r="F90" s="111"/>
      <c r="G90" s="111"/>
      <c r="H90" s="29"/>
      <c r="I90" s="376"/>
      <c r="J90" s="379"/>
      <c r="K90" s="382"/>
      <c r="L90" s="390"/>
      <c r="M90" s="388"/>
      <c r="N90" s="388"/>
      <c r="O90" s="179" t="s">
        <v>79</v>
      </c>
      <c r="P90" s="199">
        <f>IF(I88&gt;=0,IF(I88&lt;=0.5,20,IF(I88&lt;=0.75,25,IF(I88&lt;=1,30,IF(I88&lt;=1.5,35,40)))))</f>
        <v>40</v>
      </c>
      <c r="Q90" s="353"/>
      <c r="R90" s="392"/>
      <c r="S90" s="379"/>
      <c r="T90" s="395"/>
      <c r="U90" s="397"/>
      <c r="V90" s="379"/>
      <c r="W90" s="379"/>
      <c r="X90" s="392"/>
      <c r="Y90" s="379"/>
      <c r="Z90" s="395"/>
      <c r="AA90" s="397"/>
      <c r="AB90" s="379"/>
      <c r="AC90" s="379"/>
      <c r="AD90" s="374"/>
      <c r="AF90" s="172"/>
    </row>
    <row r="91" spans="1:32" s="7" customFormat="1" ht="21" hidden="1" customHeight="1" x14ac:dyDescent="0.2">
      <c r="A91" s="369"/>
      <c r="B91" s="367"/>
      <c r="C91" s="13" t="s">
        <v>9</v>
      </c>
      <c r="D91" s="121"/>
      <c r="E91" s="111"/>
      <c r="F91" s="111"/>
      <c r="G91" s="111"/>
      <c r="H91" s="29"/>
      <c r="I91" s="376"/>
      <c r="J91" s="379"/>
      <c r="K91" s="382"/>
      <c r="L91" s="390"/>
      <c r="M91" s="388"/>
      <c r="N91" s="388"/>
      <c r="O91" s="179" t="s">
        <v>81</v>
      </c>
      <c r="P91" s="199">
        <f>IF('Tener en cuenta'!L14&gt;=0,IF('Tener en cuenta'!L14&lt;=5,20,IF('Tener en cuenta'!L14&lt;=10,30,40)))</f>
        <v>20</v>
      </c>
      <c r="Q91" s="353"/>
      <c r="R91" s="392"/>
      <c r="S91" s="379"/>
      <c r="T91" s="395"/>
      <c r="U91" s="397"/>
      <c r="V91" s="379"/>
      <c r="W91" s="379"/>
      <c r="X91" s="392"/>
      <c r="Y91" s="379"/>
      <c r="Z91" s="395"/>
      <c r="AA91" s="397"/>
      <c r="AB91" s="379"/>
      <c r="AC91" s="379"/>
      <c r="AD91" s="374"/>
      <c r="AF91" s="172"/>
    </row>
    <row r="92" spans="1:32" s="7" customFormat="1" ht="21" hidden="1" customHeight="1" x14ac:dyDescent="0.2">
      <c r="A92" s="369"/>
      <c r="B92" s="145" t="str">
        <f>CONCATENATE("UT Particip.  ",'Tener en cuenta'!B14*100,"% ")</f>
        <v xml:space="preserve">UT Particip.  0% </v>
      </c>
      <c r="C92" s="13" t="s">
        <v>10</v>
      </c>
      <c r="D92" s="121"/>
      <c r="E92" s="111"/>
      <c r="F92" s="111"/>
      <c r="G92" s="111"/>
      <c r="H92" s="29"/>
      <c r="I92" s="376"/>
      <c r="J92" s="379"/>
      <c r="K92" s="382"/>
      <c r="L92" s="390"/>
      <c r="M92" s="388"/>
      <c r="N92" s="388"/>
      <c r="O92" s="179" t="s">
        <v>80</v>
      </c>
      <c r="P92" s="262">
        <f>'Tener en cuenta'!P14</f>
        <v>0</v>
      </c>
      <c r="Q92" s="354"/>
      <c r="R92" s="392"/>
      <c r="S92" s="379"/>
      <c r="T92" s="395"/>
      <c r="U92" s="397"/>
      <c r="V92" s="379"/>
      <c r="W92" s="379"/>
      <c r="X92" s="392"/>
      <c r="Y92" s="379"/>
      <c r="Z92" s="395"/>
      <c r="AA92" s="397"/>
      <c r="AB92" s="379"/>
      <c r="AC92" s="379"/>
      <c r="AD92" s="374"/>
      <c r="AF92" s="172"/>
    </row>
    <row r="93" spans="1:32" s="7" customFormat="1" ht="21" hidden="1" customHeight="1" x14ac:dyDescent="0.2">
      <c r="A93" s="369"/>
      <c r="B93" s="371" t="str">
        <f>CONCATENATE("NIT.  ",'Tener en cuenta'!E14)</f>
        <v xml:space="preserve">NIT.  </v>
      </c>
      <c r="C93" s="13" t="s">
        <v>13</v>
      </c>
      <c r="D93" s="121"/>
      <c r="E93" s="111"/>
      <c r="F93" s="111"/>
      <c r="G93" s="111"/>
      <c r="H93" s="29"/>
      <c r="I93" s="376"/>
      <c r="J93" s="379"/>
      <c r="K93" s="382"/>
      <c r="L93" s="390"/>
      <c r="M93" s="388"/>
      <c r="N93" s="388"/>
      <c r="O93" s="355" t="str">
        <f>IF(Q88&gt;=($C$168*1000),'Tener en cuenta'!$AC$13,'Tener en cuenta'!$AC$14)</f>
        <v>CRP  NO Cumple</v>
      </c>
      <c r="P93" s="361"/>
      <c r="Q93" s="362"/>
      <c r="R93" s="392"/>
      <c r="S93" s="379"/>
      <c r="T93" s="395"/>
      <c r="U93" s="397"/>
      <c r="V93" s="379"/>
      <c r="W93" s="379"/>
      <c r="X93" s="392"/>
      <c r="Y93" s="379"/>
      <c r="Z93" s="395"/>
      <c r="AA93" s="397"/>
      <c r="AB93" s="379"/>
      <c r="AC93" s="379"/>
      <c r="AD93" s="374"/>
      <c r="AF93" s="172"/>
    </row>
    <row r="94" spans="1:32" s="7" customFormat="1" ht="21" hidden="1" customHeight="1" thickBot="1" x14ac:dyDescent="0.25">
      <c r="A94" s="370"/>
      <c r="B94" s="372"/>
      <c r="C94" s="30" t="s">
        <v>14</v>
      </c>
      <c r="D94" s="122"/>
      <c r="E94" s="112"/>
      <c r="F94" s="112"/>
      <c r="G94" s="112"/>
      <c r="H94" s="31"/>
      <c r="I94" s="377"/>
      <c r="J94" s="380"/>
      <c r="K94" s="383"/>
      <c r="L94" s="391"/>
      <c r="M94" s="389"/>
      <c r="N94" s="389"/>
      <c r="O94" s="363"/>
      <c r="P94" s="364"/>
      <c r="Q94" s="365"/>
      <c r="R94" s="393"/>
      <c r="S94" s="380"/>
      <c r="T94" s="396"/>
      <c r="U94" s="398"/>
      <c r="V94" s="380"/>
      <c r="W94" s="380"/>
      <c r="X94" s="393"/>
      <c r="Y94" s="380"/>
      <c r="Z94" s="396"/>
      <c r="AA94" s="398"/>
      <c r="AB94" s="380"/>
      <c r="AC94" s="380"/>
      <c r="AD94" s="43" t="s">
        <v>51</v>
      </c>
      <c r="AF94" s="172"/>
    </row>
    <row r="95" spans="1:32" s="2" customFormat="1" ht="20.25" customHeight="1" x14ac:dyDescent="0.2">
      <c r="A95" s="368">
        <v>1</v>
      </c>
      <c r="B95" s="399" t="str">
        <f>'Tener en cuenta'!F15</f>
        <v>CONSULTORES EN INFORMACION INFOMETRIKA SAS</v>
      </c>
      <c r="C95" s="12" t="s">
        <v>11</v>
      </c>
      <c r="D95" s="121">
        <v>7477139944</v>
      </c>
      <c r="E95" s="183">
        <v>7477139944</v>
      </c>
      <c r="F95" s="118"/>
      <c r="G95" s="183"/>
      <c r="H95" s="108"/>
      <c r="I95" s="376">
        <f>IFERROR(+D95/D97,"indeterminado")</f>
        <v>1.6904089322791731</v>
      </c>
      <c r="J95" s="379">
        <f>IFERROR(+(D98/D96),"indeterminado")-0.01</f>
        <v>0.46833654907153083</v>
      </c>
      <c r="K95" s="382">
        <f>IFERROR(+D100/D101,"indeterminado")-0.01</f>
        <v>4.7978010321599811</v>
      </c>
      <c r="L95" s="390">
        <f>+(D95-D97)</f>
        <v>3053867089</v>
      </c>
      <c r="M95" s="388">
        <f>IFERROR(+D100/D99,"indeterminado")</f>
        <v>0.11094071311139884</v>
      </c>
      <c r="N95" s="388">
        <f>IFERROR(+D100/D96,"indeterminado")-0.01</f>
        <v>4.7873715250157579E-2</v>
      </c>
      <c r="O95" s="179" t="s">
        <v>78</v>
      </c>
      <c r="P95" s="241">
        <f>IF('Tener en cuenta'!O15&gt;'Tener en cuenta'!$AH$30,'Tener en cuenta'!O15,'Tener en cuenta'!$AH$30)</f>
        <v>457297264</v>
      </c>
      <c r="Q95" s="350">
        <f>P95*((P96+P98+P97)/100)-P99</f>
        <v>548756716.79999995</v>
      </c>
      <c r="R95" s="392" t="e">
        <f>+G95/G97</f>
        <v>#DIV/0!</v>
      </c>
      <c r="S95" s="379" t="e">
        <f>+G98/G96</f>
        <v>#DIV/0!</v>
      </c>
      <c r="T95" s="394" t="s">
        <v>15</v>
      </c>
      <c r="U95" s="397">
        <f>+G95-G97</f>
        <v>0</v>
      </c>
      <c r="V95" s="379" t="e">
        <f>+G100/G99</f>
        <v>#DIV/0!</v>
      </c>
      <c r="W95" s="379" t="e">
        <f>+G100/G96</f>
        <v>#DIV/0!</v>
      </c>
      <c r="X95" s="392">
        <f>+D95/D97</f>
        <v>1.6904089322791731</v>
      </c>
      <c r="Y95" s="379">
        <f>+D98/D96</f>
        <v>0.47833654907153084</v>
      </c>
      <c r="Z95" s="394" t="s">
        <v>15</v>
      </c>
      <c r="AA95" s="397">
        <f>+D95-D97</f>
        <v>3053867089</v>
      </c>
      <c r="AB95" s="379">
        <f>+D100/D99</f>
        <v>0.11094071311139884</v>
      </c>
      <c r="AC95" s="379">
        <f>+D100/D96</f>
        <v>5.7873715250157581E-2</v>
      </c>
      <c r="AD95" s="48" t="s">
        <v>44</v>
      </c>
      <c r="AF95" s="171"/>
    </row>
    <row r="96" spans="1:32" s="2" customFormat="1" ht="20.25" customHeight="1" x14ac:dyDescent="0.2">
      <c r="A96" s="369"/>
      <c r="B96" s="367"/>
      <c r="C96" s="13" t="s">
        <v>12</v>
      </c>
      <c r="D96" s="121">
        <v>9247198157</v>
      </c>
      <c r="E96" s="111">
        <v>9247198157</v>
      </c>
      <c r="F96" s="111"/>
      <c r="G96" s="111"/>
      <c r="H96" s="29"/>
      <c r="I96" s="376"/>
      <c r="J96" s="379"/>
      <c r="K96" s="382"/>
      <c r="L96" s="390"/>
      <c r="M96" s="388"/>
      <c r="N96" s="388"/>
      <c r="O96" s="179" t="s">
        <v>82</v>
      </c>
      <c r="P96" s="199">
        <f>IF('Tener en cuenta'!N15&gt;=0,IF('Tener en cuenta'!N15&lt;=3,60,IF('Tener en cuenta'!N15&lt;=6,80,IF('Tener en cuenta'!N15&lt;=10,100,120))))</f>
        <v>60</v>
      </c>
      <c r="Q96" s="353"/>
      <c r="R96" s="392"/>
      <c r="S96" s="379"/>
      <c r="T96" s="395"/>
      <c r="U96" s="397"/>
      <c r="V96" s="379"/>
      <c r="W96" s="379"/>
      <c r="X96" s="392"/>
      <c r="Y96" s="379"/>
      <c r="Z96" s="395"/>
      <c r="AA96" s="397"/>
      <c r="AB96" s="379"/>
      <c r="AC96" s="379"/>
      <c r="AD96" s="373" t="s">
        <v>43</v>
      </c>
      <c r="AF96" s="171"/>
    </row>
    <row r="97" spans="1:32" s="2" customFormat="1" ht="20.25" customHeight="1" x14ac:dyDescent="0.2">
      <c r="A97" s="369"/>
      <c r="B97" s="367"/>
      <c r="C97" s="13" t="s">
        <v>8</v>
      </c>
      <c r="D97" s="121">
        <v>4423272855</v>
      </c>
      <c r="E97" s="111">
        <v>4423272855</v>
      </c>
      <c r="F97" s="111"/>
      <c r="G97" s="111"/>
      <c r="H97" s="29"/>
      <c r="I97" s="376"/>
      <c r="J97" s="379"/>
      <c r="K97" s="382"/>
      <c r="L97" s="390"/>
      <c r="M97" s="388"/>
      <c r="N97" s="388"/>
      <c r="O97" s="179" t="s">
        <v>79</v>
      </c>
      <c r="P97" s="199">
        <f>IF(I95&gt;=0,IF(I95&lt;=0.5,20,IF(I95&lt;=0.75,25,IF(I95&lt;=1,30,IF(I95&lt;=1.5,35,40)))))</f>
        <v>40</v>
      </c>
      <c r="Q97" s="353"/>
      <c r="R97" s="392"/>
      <c r="S97" s="379"/>
      <c r="T97" s="395"/>
      <c r="U97" s="397"/>
      <c r="V97" s="379"/>
      <c r="W97" s="379"/>
      <c r="X97" s="392"/>
      <c r="Y97" s="379"/>
      <c r="Z97" s="395"/>
      <c r="AA97" s="397"/>
      <c r="AB97" s="379"/>
      <c r="AC97" s="379"/>
      <c r="AD97" s="374"/>
      <c r="AF97" s="171"/>
    </row>
    <row r="98" spans="1:32" s="2" customFormat="1" ht="20.25" customHeight="1" x14ac:dyDescent="0.2">
      <c r="A98" s="369"/>
      <c r="B98" s="367"/>
      <c r="C98" s="13" t="s">
        <v>9</v>
      </c>
      <c r="D98" s="121">
        <v>4423272855</v>
      </c>
      <c r="E98" s="111">
        <v>4423272855</v>
      </c>
      <c r="F98" s="111"/>
      <c r="G98" s="111"/>
      <c r="H98" s="29"/>
      <c r="I98" s="376"/>
      <c r="J98" s="379"/>
      <c r="K98" s="382"/>
      <c r="L98" s="390"/>
      <c r="M98" s="388"/>
      <c r="N98" s="388"/>
      <c r="O98" s="179" t="s">
        <v>81</v>
      </c>
      <c r="P98" s="199">
        <f>IF('Tener en cuenta'!L15&gt;=0,IF('Tener en cuenta'!L15&lt;=5,20,IF('Tener en cuenta'!L15&lt;=10,30,40)))</f>
        <v>20</v>
      </c>
      <c r="Q98" s="353"/>
      <c r="R98" s="392"/>
      <c r="S98" s="379"/>
      <c r="T98" s="395"/>
      <c r="U98" s="397"/>
      <c r="V98" s="379"/>
      <c r="W98" s="379"/>
      <c r="X98" s="392"/>
      <c r="Y98" s="379"/>
      <c r="Z98" s="395"/>
      <c r="AA98" s="397"/>
      <c r="AB98" s="379"/>
      <c r="AC98" s="379"/>
      <c r="AD98" s="374"/>
      <c r="AF98" s="171"/>
    </row>
    <row r="99" spans="1:32" s="2" customFormat="1" ht="20.25" customHeight="1" x14ac:dyDescent="0.2">
      <c r="A99" s="369"/>
      <c r="B99" s="367"/>
      <c r="C99" s="13" t="s">
        <v>10</v>
      </c>
      <c r="D99" s="121">
        <v>4823925302</v>
      </c>
      <c r="E99" s="111">
        <v>4823925302</v>
      </c>
      <c r="F99" s="111"/>
      <c r="G99" s="111"/>
      <c r="H99" s="29"/>
      <c r="I99" s="376"/>
      <c r="J99" s="379"/>
      <c r="K99" s="382"/>
      <c r="L99" s="390"/>
      <c r="M99" s="388"/>
      <c r="N99" s="388"/>
      <c r="O99" s="179" t="s">
        <v>80</v>
      </c>
      <c r="P99" s="262">
        <f>'Tener en cuenta'!P15</f>
        <v>0</v>
      </c>
      <c r="Q99" s="354"/>
      <c r="R99" s="392"/>
      <c r="S99" s="379"/>
      <c r="T99" s="395"/>
      <c r="U99" s="397"/>
      <c r="V99" s="379"/>
      <c r="W99" s="379"/>
      <c r="X99" s="392"/>
      <c r="Y99" s="379"/>
      <c r="Z99" s="395"/>
      <c r="AA99" s="397"/>
      <c r="AB99" s="379"/>
      <c r="AC99" s="379"/>
      <c r="AD99" s="374"/>
      <c r="AF99" s="171"/>
    </row>
    <row r="100" spans="1:32" s="2" customFormat="1" ht="20.25" customHeight="1" x14ac:dyDescent="0.2">
      <c r="A100" s="369"/>
      <c r="B100" s="371" t="str">
        <f>CONCATENATE("NIT.  ",'Tener en cuenta'!E15)</f>
        <v>NIT.  900.196.555-1</v>
      </c>
      <c r="C100" s="13" t="s">
        <v>13</v>
      </c>
      <c r="D100" s="121">
        <v>535169713</v>
      </c>
      <c r="E100" s="111">
        <v>535169713</v>
      </c>
      <c r="F100" s="111"/>
      <c r="G100" s="111"/>
      <c r="H100" s="29"/>
      <c r="I100" s="376"/>
      <c r="J100" s="379"/>
      <c r="K100" s="382"/>
      <c r="L100" s="390"/>
      <c r="M100" s="388"/>
      <c r="N100" s="388"/>
      <c r="O100" s="355" t="str">
        <f>IF(Q95&gt;=($C$168*1000),'Tener en cuenta'!$AC$13,'Tener en cuenta'!$AC$14)</f>
        <v>CRP  NO Cumple</v>
      </c>
      <c r="P100" s="361"/>
      <c r="Q100" s="362"/>
      <c r="R100" s="392"/>
      <c r="S100" s="379"/>
      <c r="T100" s="395"/>
      <c r="U100" s="397"/>
      <c r="V100" s="379"/>
      <c r="W100" s="379"/>
      <c r="X100" s="392"/>
      <c r="Y100" s="379"/>
      <c r="Z100" s="395"/>
      <c r="AA100" s="397"/>
      <c r="AB100" s="379"/>
      <c r="AC100" s="379"/>
      <c r="AD100" s="374"/>
      <c r="AF100" s="171"/>
    </row>
    <row r="101" spans="1:32" s="7" customFormat="1" ht="20.25" customHeight="1" thickBot="1" x14ac:dyDescent="0.25">
      <c r="A101" s="370"/>
      <c r="B101" s="372"/>
      <c r="C101" s="30" t="s">
        <v>14</v>
      </c>
      <c r="D101" s="122">
        <v>111312783</v>
      </c>
      <c r="E101" s="112">
        <v>111312783</v>
      </c>
      <c r="F101" s="112"/>
      <c r="G101" s="112"/>
      <c r="H101" s="31"/>
      <c r="I101" s="377"/>
      <c r="J101" s="380"/>
      <c r="K101" s="383"/>
      <c r="L101" s="391"/>
      <c r="M101" s="389"/>
      <c r="N101" s="389"/>
      <c r="O101" s="363"/>
      <c r="P101" s="364"/>
      <c r="Q101" s="365"/>
      <c r="R101" s="393"/>
      <c r="S101" s="380"/>
      <c r="T101" s="396"/>
      <c r="U101" s="398"/>
      <c r="V101" s="380"/>
      <c r="W101" s="380"/>
      <c r="X101" s="393"/>
      <c r="Y101" s="380"/>
      <c r="Z101" s="396"/>
      <c r="AA101" s="398"/>
      <c r="AB101" s="380"/>
      <c r="AC101" s="380"/>
      <c r="AD101" s="43">
        <v>2023</v>
      </c>
      <c r="AF101" s="172"/>
    </row>
    <row r="102" spans="1:32" s="2" customFormat="1" ht="20.25" customHeight="1" x14ac:dyDescent="0.2">
      <c r="A102" s="368">
        <v>2</v>
      </c>
      <c r="B102" s="399" t="str">
        <f>'Tener en cuenta'!F16</f>
        <v>PROYECTAMOS COLOMBIA SAS</v>
      </c>
      <c r="C102" s="12" t="s">
        <v>11</v>
      </c>
      <c r="D102" s="121">
        <v>19276769857</v>
      </c>
      <c r="E102" s="183">
        <v>19276769857</v>
      </c>
      <c r="F102" s="118"/>
      <c r="G102" s="183"/>
      <c r="H102" s="108"/>
      <c r="I102" s="376">
        <f>IFERROR(+D102/D104,"indeterminado")-0.01</f>
        <v>3.036311099356336</v>
      </c>
      <c r="J102" s="379">
        <f>IFERROR(+(D105/D103),"indeterminado")</f>
        <v>0.31465900902506394</v>
      </c>
      <c r="K102" s="382">
        <f>IFERROR(+D107/D108,"indeterminado")</f>
        <v>3.4641306887238001</v>
      </c>
      <c r="L102" s="390">
        <f>+(D102-D104)</f>
        <v>12948863997</v>
      </c>
      <c r="M102" s="388">
        <f>IFERROR(+D107/D106,"indeterminado")-0.01</f>
        <v>0.10671770964460817</v>
      </c>
      <c r="N102" s="388">
        <f>IFERROR(+D107/D103,"indeterminado")-0.01</f>
        <v>6.9991430792160622E-2</v>
      </c>
      <c r="O102" s="179" t="s">
        <v>78</v>
      </c>
      <c r="P102" s="241">
        <f>IF('Tener en cuenta'!O16&gt;'Tener en cuenta'!$AH$30,'Tener en cuenta'!O16,'Tener en cuenta'!$AH$30)</f>
        <v>457297264</v>
      </c>
      <c r="Q102" s="350">
        <f>P102*((P103+P105+P104)/100)-P106</f>
        <v>548756716.79999995</v>
      </c>
      <c r="R102" s="392" t="e">
        <f>+G102/G104</f>
        <v>#DIV/0!</v>
      </c>
      <c r="S102" s="379" t="e">
        <f>+G105/G103</f>
        <v>#DIV/0!</v>
      </c>
      <c r="T102" s="394" t="s">
        <v>15</v>
      </c>
      <c r="U102" s="397">
        <f>+G102-G104</f>
        <v>0</v>
      </c>
      <c r="V102" s="379" t="e">
        <f>+G107/G106</f>
        <v>#DIV/0!</v>
      </c>
      <c r="W102" s="379" t="e">
        <f>+G107/G103</f>
        <v>#DIV/0!</v>
      </c>
      <c r="X102" s="392">
        <f>+D102/D104</f>
        <v>3.0463110993563358</v>
      </c>
      <c r="Y102" s="379">
        <f>+D105/D103</f>
        <v>0.31465900902506394</v>
      </c>
      <c r="Z102" s="394" t="s">
        <v>15</v>
      </c>
      <c r="AA102" s="397">
        <f>+D102-D104</f>
        <v>12948863997</v>
      </c>
      <c r="AB102" s="379">
        <f>+D107/D106</f>
        <v>0.11671770964460816</v>
      </c>
      <c r="AC102" s="379">
        <f>+D107/D103</f>
        <v>7.9991430792160617E-2</v>
      </c>
      <c r="AD102" s="48" t="s">
        <v>44</v>
      </c>
      <c r="AF102" s="171"/>
    </row>
    <row r="103" spans="1:32" s="2" customFormat="1" ht="20.25" customHeight="1" x14ac:dyDescent="0.2">
      <c r="A103" s="369"/>
      <c r="B103" s="367"/>
      <c r="C103" s="13" t="s">
        <v>12</v>
      </c>
      <c r="D103" s="121">
        <v>23040794867</v>
      </c>
      <c r="E103" s="111">
        <v>23040794867</v>
      </c>
      <c r="F103" s="111"/>
      <c r="G103" s="111"/>
      <c r="H103" s="29"/>
      <c r="I103" s="376"/>
      <c r="J103" s="379"/>
      <c r="K103" s="382"/>
      <c r="L103" s="390"/>
      <c r="M103" s="388"/>
      <c r="N103" s="388"/>
      <c r="O103" s="179" t="s">
        <v>82</v>
      </c>
      <c r="P103" s="199">
        <f>IF('Tener en cuenta'!N16&gt;=0,IF('Tener en cuenta'!N16&lt;=3,60,IF('Tener en cuenta'!N16&lt;=6,80,IF('Tener en cuenta'!N16&lt;=10,100,120))))</f>
        <v>60</v>
      </c>
      <c r="Q103" s="353"/>
      <c r="R103" s="392"/>
      <c r="S103" s="379"/>
      <c r="T103" s="395"/>
      <c r="U103" s="397"/>
      <c r="V103" s="379"/>
      <c r="W103" s="379"/>
      <c r="X103" s="392"/>
      <c r="Y103" s="379"/>
      <c r="Z103" s="395"/>
      <c r="AA103" s="397"/>
      <c r="AB103" s="379"/>
      <c r="AC103" s="379"/>
      <c r="AD103" s="373" t="s">
        <v>43</v>
      </c>
      <c r="AF103" s="171"/>
    </row>
    <row r="104" spans="1:32" s="2" customFormat="1" ht="20.25" customHeight="1" x14ac:dyDescent="0.2">
      <c r="A104" s="369"/>
      <c r="B104" s="367"/>
      <c r="C104" s="13" t="s">
        <v>8</v>
      </c>
      <c r="D104" s="121">
        <v>6327905860</v>
      </c>
      <c r="E104" s="111">
        <v>6327905860</v>
      </c>
      <c r="F104" s="111"/>
      <c r="G104" s="111"/>
      <c r="H104" s="29"/>
      <c r="I104" s="376"/>
      <c r="J104" s="379"/>
      <c r="K104" s="382"/>
      <c r="L104" s="390"/>
      <c r="M104" s="388"/>
      <c r="N104" s="388"/>
      <c r="O104" s="179" t="s">
        <v>79</v>
      </c>
      <c r="P104" s="199">
        <f>IF(I102&gt;=0,IF(I102&lt;=0.5,20,IF(I102&lt;=0.75,25,IF(I102&lt;=1,30,IF(I102&lt;=1.5,35,40)))))</f>
        <v>40</v>
      </c>
      <c r="Q104" s="353"/>
      <c r="R104" s="392"/>
      <c r="S104" s="379"/>
      <c r="T104" s="395"/>
      <c r="U104" s="397"/>
      <c r="V104" s="379"/>
      <c r="W104" s="379"/>
      <c r="X104" s="392"/>
      <c r="Y104" s="379"/>
      <c r="Z104" s="395"/>
      <c r="AA104" s="397"/>
      <c r="AB104" s="379"/>
      <c r="AC104" s="379"/>
      <c r="AD104" s="374"/>
      <c r="AF104" s="171"/>
    </row>
    <row r="105" spans="1:32" s="2" customFormat="1" ht="20.25" customHeight="1" x14ac:dyDescent="0.2">
      <c r="A105" s="369"/>
      <c r="B105" s="367"/>
      <c r="C105" s="13" t="s">
        <v>9</v>
      </c>
      <c r="D105" s="121">
        <v>7249993680</v>
      </c>
      <c r="E105" s="111">
        <v>7249993680</v>
      </c>
      <c r="F105" s="111"/>
      <c r="G105" s="111"/>
      <c r="H105" s="29"/>
      <c r="I105" s="376"/>
      <c r="J105" s="379"/>
      <c r="K105" s="382"/>
      <c r="L105" s="390"/>
      <c r="M105" s="388"/>
      <c r="N105" s="388"/>
      <c r="O105" s="179" t="s">
        <v>81</v>
      </c>
      <c r="P105" s="199">
        <f>IF('Tener en cuenta'!L16&gt;=0,IF('Tener en cuenta'!L16&lt;=5,20,IF('Tener en cuenta'!L16&lt;=10,30,40)))</f>
        <v>20</v>
      </c>
      <c r="Q105" s="353"/>
      <c r="R105" s="392"/>
      <c r="S105" s="379"/>
      <c r="T105" s="395"/>
      <c r="U105" s="397"/>
      <c r="V105" s="379"/>
      <c r="W105" s="379"/>
      <c r="X105" s="392"/>
      <c r="Y105" s="379"/>
      <c r="Z105" s="395"/>
      <c r="AA105" s="397"/>
      <c r="AB105" s="379"/>
      <c r="AC105" s="379"/>
      <c r="AD105" s="374"/>
      <c r="AF105" s="171"/>
    </row>
    <row r="106" spans="1:32" s="2" customFormat="1" ht="20.25" customHeight="1" x14ac:dyDescent="0.2">
      <c r="A106" s="369"/>
      <c r="B106" s="367"/>
      <c r="C106" s="13" t="s">
        <v>10</v>
      </c>
      <c r="D106" s="121">
        <v>15790801187</v>
      </c>
      <c r="E106" s="111">
        <v>15790801187</v>
      </c>
      <c r="F106" s="111"/>
      <c r="G106" s="111"/>
      <c r="H106" s="29"/>
      <c r="I106" s="376"/>
      <c r="J106" s="379"/>
      <c r="K106" s="382"/>
      <c r="L106" s="390"/>
      <c r="M106" s="388"/>
      <c r="N106" s="388"/>
      <c r="O106" s="179" t="s">
        <v>80</v>
      </c>
      <c r="P106" s="262">
        <f>'Tener en cuenta'!P16</f>
        <v>0</v>
      </c>
      <c r="Q106" s="354"/>
      <c r="R106" s="392"/>
      <c r="S106" s="379"/>
      <c r="T106" s="395"/>
      <c r="U106" s="397"/>
      <c r="V106" s="379"/>
      <c r="W106" s="379"/>
      <c r="X106" s="392"/>
      <c r="Y106" s="379"/>
      <c r="Z106" s="395"/>
      <c r="AA106" s="397"/>
      <c r="AB106" s="379"/>
      <c r="AC106" s="379"/>
      <c r="AD106" s="374"/>
      <c r="AF106" s="171"/>
    </row>
    <row r="107" spans="1:32" s="2" customFormat="1" ht="20.25" customHeight="1" x14ac:dyDescent="0.2">
      <c r="A107" s="369"/>
      <c r="B107" s="371" t="str">
        <f>CONCATENATE("NIT.  ",'Tener en cuenta'!E16)</f>
        <v>NIT.  900.555.513-3</v>
      </c>
      <c r="C107" s="13" t="s">
        <v>13</v>
      </c>
      <c r="D107" s="121">
        <v>1843066148</v>
      </c>
      <c r="E107" s="111">
        <v>1843066148</v>
      </c>
      <c r="F107" s="111"/>
      <c r="G107" s="111"/>
      <c r="H107" s="29"/>
      <c r="I107" s="376"/>
      <c r="J107" s="379"/>
      <c r="K107" s="382"/>
      <c r="L107" s="390"/>
      <c r="M107" s="388"/>
      <c r="N107" s="388"/>
      <c r="O107" s="355" t="str">
        <f>IF(Q102&gt;=($C$168*1000),'Tener en cuenta'!$AC$13,'Tener en cuenta'!$AC$14)</f>
        <v>CRP  NO Cumple</v>
      </c>
      <c r="P107" s="361"/>
      <c r="Q107" s="362"/>
      <c r="R107" s="392"/>
      <c r="S107" s="379"/>
      <c r="T107" s="395"/>
      <c r="U107" s="397"/>
      <c r="V107" s="379"/>
      <c r="W107" s="379"/>
      <c r="X107" s="392"/>
      <c r="Y107" s="379"/>
      <c r="Z107" s="395"/>
      <c r="AA107" s="397"/>
      <c r="AB107" s="379"/>
      <c r="AC107" s="379"/>
      <c r="AD107" s="374"/>
      <c r="AF107" s="171"/>
    </row>
    <row r="108" spans="1:32" s="7" customFormat="1" ht="20.25" customHeight="1" thickBot="1" x14ac:dyDescent="0.25">
      <c r="A108" s="370"/>
      <c r="B108" s="372"/>
      <c r="C108" s="30" t="s">
        <v>14</v>
      </c>
      <c r="D108" s="122">
        <v>532042903</v>
      </c>
      <c r="E108" s="112">
        <v>532042903</v>
      </c>
      <c r="F108" s="112"/>
      <c r="G108" s="112"/>
      <c r="H108" s="31"/>
      <c r="I108" s="377"/>
      <c r="J108" s="380"/>
      <c r="K108" s="383"/>
      <c r="L108" s="391"/>
      <c r="M108" s="389"/>
      <c r="N108" s="389"/>
      <c r="O108" s="363"/>
      <c r="P108" s="364"/>
      <c r="Q108" s="365"/>
      <c r="R108" s="393"/>
      <c r="S108" s="380"/>
      <c r="T108" s="396"/>
      <c r="U108" s="398"/>
      <c r="V108" s="380"/>
      <c r="W108" s="380"/>
      <c r="X108" s="393"/>
      <c r="Y108" s="380"/>
      <c r="Z108" s="396"/>
      <c r="AA108" s="398"/>
      <c r="AB108" s="380"/>
      <c r="AC108" s="380"/>
      <c r="AD108" s="43">
        <v>2023</v>
      </c>
      <c r="AF108" s="172"/>
    </row>
    <row r="109" spans="1:32" s="2" customFormat="1" ht="20.25" customHeight="1" x14ac:dyDescent="0.2">
      <c r="A109" s="368">
        <v>3</v>
      </c>
      <c r="B109" s="399" t="str">
        <f>'Tener en cuenta'!F17</f>
        <v>OPORTUNIDAD ESTRATEGICA SAS</v>
      </c>
      <c r="C109" s="12" t="s">
        <v>11</v>
      </c>
      <c r="D109" s="121">
        <v>1053009000</v>
      </c>
      <c r="E109" s="183">
        <v>1053009000</v>
      </c>
      <c r="F109" s="118"/>
      <c r="G109" s="183"/>
      <c r="H109" s="108"/>
      <c r="I109" s="376">
        <f>IFERROR(+D109/D111,"indeterminado")-0.01</f>
        <v>2.3183678126354335</v>
      </c>
      <c r="J109" s="379">
        <f>IFERROR(+(D112/D110),"indeterminado")-0.01</f>
        <v>0.36689645373048752</v>
      </c>
      <c r="K109" s="382">
        <f>IFERROR(+D114/D115,"indeterminado")</f>
        <v>1655.0218340611355</v>
      </c>
      <c r="L109" s="390">
        <f>+(D109-D111)</f>
        <v>600757000</v>
      </c>
      <c r="M109" s="388">
        <f>IFERROR(+D114/D113,"indeterminado")-0.01</f>
        <v>0.10962791817409738</v>
      </c>
      <c r="N109" s="388">
        <f>IFERROR(+D114/D110,"indeterminado")</f>
        <v>7.4540580047119137E-2</v>
      </c>
      <c r="O109" s="179" t="s">
        <v>78</v>
      </c>
      <c r="P109" s="241">
        <f>IF('Tener en cuenta'!O17&gt;'Tener en cuenta'!$AH$30,'Tener en cuenta'!O17,'Tener en cuenta'!$AH$30)</f>
        <v>457297264</v>
      </c>
      <c r="Q109" s="350">
        <f>P109*((P110+P112+P111)/100)-P113</f>
        <v>548756716.79999995</v>
      </c>
      <c r="R109" s="392" t="e">
        <f>+G109/G111</f>
        <v>#DIV/0!</v>
      </c>
      <c r="S109" s="379" t="e">
        <f>+G112/G110</f>
        <v>#DIV/0!</v>
      </c>
      <c r="T109" s="394" t="s">
        <v>15</v>
      </c>
      <c r="U109" s="397">
        <f>+G109-G111</f>
        <v>0</v>
      </c>
      <c r="V109" s="379" t="e">
        <f>+G114/G113</f>
        <v>#DIV/0!</v>
      </c>
      <c r="W109" s="379" t="e">
        <f>+G114/G110</f>
        <v>#DIV/0!</v>
      </c>
      <c r="X109" s="392">
        <f>+D109/D111</f>
        <v>2.3283678126354332</v>
      </c>
      <c r="Y109" s="379">
        <f>+D112/D110</f>
        <v>0.37689645373048752</v>
      </c>
      <c r="Z109" s="394" t="s">
        <v>15</v>
      </c>
      <c r="AA109" s="397">
        <f>+D109-D111</f>
        <v>600757000</v>
      </c>
      <c r="AB109" s="379">
        <f>+D114/D113</f>
        <v>0.11962791817409738</v>
      </c>
      <c r="AC109" s="379">
        <f>+D114/D110</f>
        <v>7.4540580047119137E-2</v>
      </c>
      <c r="AD109" s="48" t="s">
        <v>44</v>
      </c>
      <c r="AF109" s="171"/>
    </row>
    <row r="110" spans="1:32" s="2" customFormat="1" ht="20.25" customHeight="1" x14ac:dyDescent="0.2">
      <c r="A110" s="369"/>
      <c r="B110" s="367"/>
      <c r="C110" s="13" t="s">
        <v>12</v>
      </c>
      <c r="D110" s="121">
        <v>1199937000</v>
      </c>
      <c r="E110" s="111">
        <v>1199937000</v>
      </c>
      <c r="F110" s="111"/>
      <c r="G110" s="111"/>
      <c r="H110" s="29"/>
      <c r="I110" s="376"/>
      <c r="J110" s="379"/>
      <c r="K110" s="382"/>
      <c r="L110" s="390"/>
      <c r="M110" s="388"/>
      <c r="N110" s="388"/>
      <c r="O110" s="179" t="s">
        <v>82</v>
      </c>
      <c r="P110" s="199">
        <f>IF('Tener en cuenta'!N17&gt;=0,IF('Tener en cuenta'!N17&lt;=3,60,IF('Tener en cuenta'!N17&lt;=6,80,IF('Tener en cuenta'!N17&lt;=10,100,120))))</f>
        <v>60</v>
      </c>
      <c r="Q110" s="353"/>
      <c r="R110" s="392"/>
      <c r="S110" s="379"/>
      <c r="T110" s="395"/>
      <c r="U110" s="397"/>
      <c r="V110" s="379"/>
      <c r="W110" s="379"/>
      <c r="X110" s="392"/>
      <c r="Y110" s="379"/>
      <c r="Z110" s="395"/>
      <c r="AA110" s="397"/>
      <c r="AB110" s="379"/>
      <c r="AC110" s="379"/>
      <c r="AD110" s="373" t="s">
        <v>43</v>
      </c>
      <c r="AF110" s="171"/>
    </row>
    <row r="111" spans="1:32" s="2" customFormat="1" ht="20.25" customHeight="1" x14ac:dyDescent="0.2">
      <c r="A111" s="369"/>
      <c r="B111" s="367"/>
      <c r="C111" s="13" t="s">
        <v>8</v>
      </c>
      <c r="D111" s="121">
        <v>452252000</v>
      </c>
      <c r="E111" s="111">
        <v>452252000</v>
      </c>
      <c r="F111" s="111"/>
      <c r="G111" s="111"/>
      <c r="H111" s="29"/>
      <c r="I111" s="376"/>
      <c r="J111" s="379"/>
      <c r="K111" s="382"/>
      <c r="L111" s="390"/>
      <c r="M111" s="388"/>
      <c r="N111" s="388"/>
      <c r="O111" s="179" t="s">
        <v>79</v>
      </c>
      <c r="P111" s="199">
        <f>IF(I109&gt;=0,IF(I109&lt;=0.5,20,IF(I109&lt;=0.75,25,IF(I109&lt;=1,30,IF(I109&lt;=1.5,35,40)))))</f>
        <v>40</v>
      </c>
      <c r="Q111" s="353"/>
      <c r="R111" s="392"/>
      <c r="S111" s="379"/>
      <c r="T111" s="395"/>
      <c r="U111" s="397"/>
      <c r="V111" s="379"/>
      <c r="W111" s="379"/>
      <c r="X111" s="392"/>
      <c r="Y111" s="379"/>
      <c r="Z111" s="395"/>
      <c r="AA111" s="397"/>
      <c r="AB111" s="379"/>
      <c r="AC111" s="379"/>
      <c r="AD111" s="374"/>
      <c r="AF111" s="171"/>
    </row>
    <row r="112" spans="1:32" s="2" customFormat="1" ht="20.25" customHeight="1" x14ac:dyDescent="0.2">
      <c r="A112" s="369"/>
      <c r="B112" s="367"/>
      <c r="C112" s="13" t="s">
        <v>9</v>
      </c>
      <c r="D112" s="121">
        <v>452252000</v>
      </c>
      <c r="E112" s="111">
        <v>452252000</v>
      </c>
      <c r="F112" s="111"/>
      <c r="G112" s="111"/>
      <c r="H112" s="29"/>
      <c r="I112" s="376"/>
      <c r="J112" s="379"/>
      <c r="K112" s="382"/>
      <c r="L112" s="390"/>
      <c r="M112" s="388"/>
      <c r="N112" s="388"/>
      <c r="O112" s="179" t="s">
        <v>81</v>
      </c>
      <c r="P112" s="199">
        <f>IF('Tener en cuenta'!L17&gt;=0,IF('Tener en cuenta'!L17&lt;=5,20,IF('Tener en cuenta'!L17&lt;=10,30,40)))</f>
        <v>20</v>
      </c>
      <c r="Q112" s="353"/>
      <c r="R112" s="392"/>
      <c r="S112" s="379"/>
      <c r="T112" s="395"/>
      <c r="U112" s="397"/>
      <c r="V112" s="379"/>
      <c r="W112" s="379"/>
      <c r="X112" s="392"/>
      <c r="Y112" s="379"/>
      <c r="Z112" s="395"/>
      <c r="AA112" s="397"/>
      <c r="AB112" s="379"/>
      <c r="AC112" s="379"/>
      <c r="AD112" s="374"/>
      <c r="AF112" s="171"/>
    </row>
    <row r="113" spans="1:32" s="2" customFormat="1" ht="20.25" customHeight="1" x14ac:dyDescent="0.2">
      <c r="A113" s="369"/>
      <c r="B113" s="367"/>
      <c r="C113" s="13" t="s">
        <v>10</v>
      </c>
      <c r="D113" s="121">
        <v>747685000</v>
      </c>
      <c r="E113" s="111">
        <v>747685000</v>
      </c>
      <c r="F113" s="111"/>
      <c r="G113" s="111"/>
      <c r="H113" s="29"/>
      <c r="I113" s="376"/>
      <c r="J113" s="379"/>
      <c r="K113" s="382"/>
      <c r="L113" s="390"/>
      <c r="M113" s="388"/>
      <c r="N113" s="388"/>
      <c r="O113" s="179" t="s">
        <v>80</v>
      </c>
      <c r="P113" s="262">
        <f>'Tener en cuenta'!P17</f>
        <v>0</v>
      </c>
      <c r="Q113" s="354"/>
      <c r="R113" s="392"/>
      <c r="S113" s="379"/>
      <c r="T113" s="395"/>
      <c r="U113" s="397"/>
      <c r="V113" s="379"/>
      <c r="W113" s="379"/>
      <c r="X113" s="392"/>
      <c r="Y113" s="379"/>
      <c r="Z113" s="395"/>
      <c r="AA113" s="397"/>
      <c r="AB113" s="379"/>
      <c r="AC113" s="379"/>
      <c r="AD113" s="374"/>
      <c r="AF113" s="171"/>
    </row>
    <row r="114" spans="1:32" s="2" customFormat="1" ht="20.25" customHeight="1" x14ac:dyDescent="0.2">
      <c r="A114" s="369"/>
      <c r="B114" s="371" t="str">
        <f>CONCATENATE("NIT.  ",'Tener en cuenta'!E17)</f>
        <v>NIT.  830.109.191-1</v>
      </c>
      <c r="C114" s="13" t="s">
        <v>13</v>
      </c>
      <c r="D114" s="121">
        <v>89444000</v>
      </c>
      <c r="E114" s="111">
        <v>89444000</v>
      </c>
      <c r="F114" s="111"/>
      <c r="G114" s="111"/>
      <c r="H114" s="29"/>
      <c r="I114" s="376"/>
      <c r="J114" s="379"/>
      <c r="K114" s="382"/>
      <c r="L114" s="390"/>
      <c r="M114" s="388"/>
      <c r="N114" s="388"/>
      <c r="O114" s="355" t="str">
        <f>IF(Q109&gt;=($C$168*1000),'Tener en cuenta'!$AC$13,'Tener en cuenta'!$AC$14)</f>
        <v>CRP  NO Cumple</v>
      </c>
      <c r="P114" s="361"/>
      <c r="Q114" s="362"/>
      <c r="R114" s="392"/>
      <c r="S114" s="379"/>
      <c r="T114" s="395"/>
      <c r="U114" s="397"/>
      <c r="V114" s="379"/>
      <c r="W114" s="379"/>
      <c r="X114" s="392"/>
      <c r="Y114" s="379"/>
      <c r="Z114" s="395"/>
      <c r="AA114" s="397"/>
      <c r="AB114" s="379"/>
      <c r="AC114" s="379"/>
      <c r="AD114" s="374"/>
      <c r="AF114" s="171"/>
    </row>
    <row r="115" spans="1:32" s="7" customFormat="1" ht="20.25" customHeight="1" thickBot="1" x14ac:dyDescent="0.25">
      <c r="A115" s="370"/>
      <c r="B115" s="372"/>
      <c r="C115" s="30" t="s">
        <v>14</v>
      </c>
      <c r="D115" s="122">
        <v>54044</v>
      </c>
      <c r="E115" s="112">
        <v>54044</v>
      </c>
      <c r="F115" s="112"/>
      <c r="G115" s="112"/>
      <c r="H115" s="31"/>
      <c r="I115" s="377"/>
      <c r="J115" s="380"/>
      <c r="K115" s="383"/>
      <c r="L115" s="391"/>
      <c r="M115" s="389"/>
      <c r="N115" s="389"/>
      <c r="O115" s="363"/>
      <c r="P115" s="364"/>
      <c r="Q115" s="365"/>
      <c r="R115" s="393"/>
      <c r="S115" s="380"/>
      <c r="T115" s="396"/>
      <c r="U115" s="398"/>
      <c r="V115" s="380"/>
      <c r="W115" s="380"/>
      <c r="X115" s="393"/>
      <c r="Y115" s="380"/>
      <c r="Z115" s="396"/>
      <c r="AA115" s="398"/>
      <c r="AB115" s="380"/>
      <c r="AC115" s="380"/>
      <c r="AD115" s="43">
        <v>2023</v>
      </c>
      <c r="AF115" s="172"/>
    </row>
    <row r="116" spans="1:32" s="2" customFormat="1" ht="20.25" customHeight="1" x14ac:dyDescent="0.2">
      <c r="A116" s="368">
        <v>4</v>
      </c>
      <c r="B116" s="399" t="str">
        <f>'Tener en cuenta'!F18</f>
        <v>FUNDACION FORO CIVICO ESCUELA DE DEMOCRACIA, DERECHOS HUMANOS Y PARTICIPACION CIUDADANA</v>
      </c>
      <c r="C116" s="12" t="s">
        <v>11</v>
      </c>
      <c r="D116" s="121">
        <v>987366515</v>
      </c>
      <c r="E116" s="183">
        <v>987366515</v>
      </c>
      <c r="F116" s="118"/>
      <c r="G116" s="183"/>
      <c r="H116" s="108"/>
      <c r="I116" s="376">
        <f>IFERROR(+D116/D118,"indeterminado")</f>
        <v>8.6330146190905044</v>
      </c>
      <c r="J116" s="379">
        <f>IFERROR(+(D119/D117),"indeterminado")</f>
        <v>7.1301201543165951E-2</v>
      </c>
      <c r="K116" s="400">
        <f>IFERROR(+D121/D122,"indeterminado")-0.01</f>
        <v>230.43631442822834</v>
      </c>
      <c r="L116" s="402">
        <f>+(D116-D118)</f>
        <v>872995515</v>
      </c>
      <c r="M116" s="388">
        <f>IFERROR(+D121/D120,"indeterminado")-0.01</f>
        <v>0.82736314117205512</v>
      </c>
      <c r="N116" s="388">
        <f>IFERROR(+D121/D117,"indeterminado")-0.01</f>
        <v>0.76765814307852787</v>
      </c>
      <c r="O116" s="179" t="s">
        <v>78</v>
      </c>
      <c r="P116" s="241">
        <f>IF('Tener en cuenta'!O18&gt;'Tener en cuenta'!$AH$30,'Tener en cuenta'!O18,'Tener en cuenta'!$AH$30)</f>
        <v>457297264</v>
      </c>
      <c r="Q116" s="350">
        <f>P116*((P117+P119+P118)/100)-P120</f>
        <v>548756716.79999995</v>
      </c>
      <c r="R116" s="392" t="e">
        <f>+G116/G118</f>
        <v>#DIV/0!</v>
      </c>
      <c r="S116" s="379" t="e">
        <f>+G119/G117</f>
        <v>#DIV/0!</v>
      </c>
      <c r="T116" s="404" t="s">
        <v>15</v>
      </c>
      <c r="U116" s="407">
        <f>+G116-G118</f>
        <v>0</v>
      </c>
      <c r="V116" s="379" t="e">
        <f>+G121/G120</f>
        <v>#DIV/0!</v>
      </c>
      <c r="W116" s="379" t="e">
        <f>+G121/G117</f>
        <v>#DIV/0!</v>
      </c>
      <c r="X116" s="392">
        <f>+D116/D118</f>
        <v>8.6330146190905044</v>
      </c>
      <c r="Y116" s="379">
        <f>+D119/D117</f>
        <v>7.1301201543165951E-2</v>
      </c>
      <c r="Z116" s="404" t="s">
        <v>15</v>
      </c>
      <c r="AA116" s="407">
        <f>+D116-D118</f>
        <v>872995515</v>
      </c>
      <c r="AB116" s="379">
        <f>+D121/D120</f>
        <v>0.83736314117205513</v>
      </c>
      <c r="AC116" s="379">
        <f>+D121/D117</f>
        <v>0.77765814307852787</v>
      </c>
      <c r="AD116" s="48" t="s">
        <v>44</v>
      </c>
      <c r="AF116" s="171"/>
    </row>
    <row r="117" spans="1:32" s="2" customFormat="1" ht="20.25" customHeight="1" x14ac:dyDescent="0.2">
      <c r="A117" s="369"/>
      <c r="B117" s="367"/>
      <c r="C117" s="13" t="s">
        <v>12</v>
      </c>
      <c r="D117" s="121">
        <v>1604054315</v>
      </c>
      <c r="E117" s="111">
        <v>1604054315</v>
      </c>
      <c r="F117" s="111"/>
      <c r="G117" s="111"/>
      <c r="H117" s="29"/>
      <c r="I117" s="376"/>
      <c r="J117" s="379"/>
      <c r="K117" s="400"/>
      <c r="L117" s="402"/>
      <c r="M117" s="388"/>
      <c r="N117" s="388"/>
      <c r="O117" s="179" t="s">
        <v>82</v>
      </c>
      <c r="P117" s="199">
        <f>IF('Tener en cuenta'!N18&gt;=0,IF('Tener en cuenta'!N18&lt;=3,60,IF('Tener en cuenta'!N18&lt;=6,80,IF('Tener en cuenta'!N18&lt;=10,100,120))))</f>
        <v>60</v>
      </c>
      <c r="Q117" s="351"/>
      <c r="R117" s="392"/>
      <c r="S117" s="379"/>
      <c r="T117" s="405"/>
      <c r="U117" s="407"/>
      <c r="V117" s="379"/>
      <c r="W117" s="379"/>
      <c r="X117" s="392"/>
      <c r="Y117" s="379"/>
      <c r="Z117" s="405"/>
      <c r="AA117" s="407"/>
      <c r="AB117" s="379"/>
      <c r="AC117" s="379"/>
      <c r="AD117" s="373" t="s">
        <v>43</v>
      </c>
      <c r="AF117" s="171"/>
    </row>
    <row r="118" spans="1:32" s="2" customFormat="1" ht="20.25" customHeight="1" x14ac:dyDescent="0.2">
      <c r="A118" s="369"/>
      <c r="B118" s="367"/>
      <c r="C118" s="13" t="s">
        <v>8</v>
      </c>
      <c r="D118" s="121">
        <v>114371000</v>
      </c>
      <c r="E118" s="111">
        <v>114371000</v>
      </c>
      <c r="F118" s="111"/>
      <c r="G118" s="111"/>
      <c r="H118" s="29"/>
      <c r="I118" s="376"/>
      <c r="J118" s="379"/>
      <c r="K118" s="400"/>
      <c r="L118" s="402"/>
      <c r="M118" s="388"/>
      <c r="N118" s="388"/>
      <c r="O118" s="179" t="s">
        <v>79</v>
      </c>
      <c r="P118" s="199">
        <f>IF(I116&gt;=0,IF(I116&lt;=0.5,20,IF(I116&lt;=0.75,25,IF(I116&lt;=1,30,IF(I116&lt;=1.5,35,40)))))</f>
        <v>40</v>
      </c>
      <c r="Q118" s="351"/>
      <c r="R118" s="392"/>
      <c r="S118" s="379"/>
      <c r="T118" s="405"/>
      <c r="U118" s="407"/>
      <c r="V118" s="379"/>
      <c r="W118" s="379"/>
      <c r="X118" s="392"/>
      <c r="Y118" s="379"/>
      <c r="Z118" s="405"/>
      <c r="AA118" s="407"/>
      <c r="AB118" s="379"/>
      <c r="AC118" s="379"/>
      <c r="AD118" s="374"/>
      <c r="AF118" s="171"/>
    </row>
    <row r="119" spans="1:32" s="2" customFormat="1" ht="20.25" customHeight="1" x14ac:dyDescent="0.2">
      <c r="A119" s="369"/>
      <c r="B119" s="367"/>
      <c r="C119" s="13" t="s">
        <v>9</v>
      </c>
      <c r="D119" s="121">
        <v>114371000</v>
      </c>
      <c r="E119" s="111">
        <v>114371000</v>
      </c>
      <c r="F119" s="111"/>
      <c r="G119" s="111"/>
      <c r="H119" s="29"/>
      <c r="I119" s="376"/>
      <c r="J119" s="379"/>
      <c r="K119" s="400"/>
      <c r="L119" s="402"/>
      <c r="M119" s="388"/>
      <c r="N119" s="388"/>
      <c r="O119" s="179" t="s">
        <v>81</v>
      </c>
      <c r="P119" s="199">
        <f>IF('Tener en cuenta'!L18&gt;=0,IF('Tener en cuenta'!L18&lt;=5,20,IF('Tener en cuenta'!L18&lt;=10,30,40)))</f>
        <v>20</v>
      </c>
      <c r="Q119" s="351"/>
      <c r="R119" s="392"/>
      <c r="S119" s="379"/>
      <c r="T119" s="405"/>
      <c r="U119" s="407"/>
      <c r="V119" s="379"/>
      <c r="W119" s="379"/>
      <c r="X119" s="392"/>
      <c r="Y119" s="379"/>
      <c r="Z119" s="405"/>
      <c r="AA119" s="407"/>
      <c r="AB119" s="379"/>
      <c r="AC119" s="379"/>
      <c r="AD119" s="374"/>
      <c r="AF119" s="171"/>
    </row>
    <row r="120" spans="1:32" s="2" customFormat="1" ht="20.25" customHeight="1" x14ac:dyDescent="0.2">
      <c r="A120" s="369"/>
      <c r="B120" s="367"/>
      <c r="C120" s="13" t="s">
        <v>10</v>
      </c>
      <c r="D120" s="121">
        <v>1489683315</v>
      </c>
      <c r="E120" s="111">
        <v>1489683315</v>
      </c>
      <c r="F120" s="111"/>
      <c r="G120" s="111"/>
      <c r="H120" s="29"/>
      <c r="I120" s="376"/>
      <c r="J120" s="379"/>
      <c r="K120" s="400"/>
      <c r="L120" s="402"/>
      <c r="M120" s="388"/>
      <c r="N120" s="388"/>
      <c r="O120" s="179" t="s">
        <v>80</v>
      </c>
      <c r="P120" s="262">
        <f>'Tener en cuenta'!P18</f>
        <v>0</v>
      </c>
      <c r="Q120" s="352"/>
      <c r="R120" s="392"/>
      <c r="S120" s="379"/>
      <c r="T120" s="405"/>
      <c r="U120" s="407"/>
      <c r="V120" s="379"/>
      <c r="W120" s="379"/>
      <c r="X120" s="392"/>
      <c r="Y120" s="379"/>
      <c r="Z120" s="405"/>
      <c r="AA120" s="407"/>
      <c r="AB120" s="379"/>
      <c r="AC120" s="379"/>
      <c r="AD120" s="374"/>
      <c r="AF120" s="171"/>
    </row>
    <row r="121" spans="1:32" s="2" customFormat="1" ht="29.25" customHeight="1" x14ac:dyDescent="0.2">
      <c r="A121" s="369"/>
      <c r="B121" s="371" t="str">
        <f>CONCATENATE("NIT.  ",'Tener en cuenta'!E18)</f>
        <v>NIT.  830.044.030-1</v>
      </c>
      <c r="C121" s="13" t="s">
        <v>13</v>
      </c>
      <c r="D121" s="121">
        <v>1247405900</v>
      </c>
      <c r="E121" s="111">
        <v>1247405900</v>
      </c>
      <c r="F121" s="111"/>
      <c r="G121" s="111"/>
      <c r="H121" s="29"/>
      <c r="I121" s="376"/>
      <c r="J121" s="379"/>
      <c r="K121" s="400"/>
      <c r="L121" s="402"/>
      <c r="M121" s="388"/>
      <c r="N121" s="388"/>
      <c r="O121" s="355" t="str">
        <f>IF(Q116&gt;=($C$168*1000),'Tener en cuenta'!$AC$13,'Tener en cuenta'!$AC$14)</f>
        <v>CRP  NO Cumple</v>
      </c>
      <c r="P121" s="356"/>
      <c r="Q121" s="357"/>
      <c r="R121" s="392"/>
      <c r="S121" s="379"/>
      <c r="T121" s="405"/>
      <c r="U121" s="407"/>
      <c r="V121" s="379"/>
      <c r="W121" s="379"/>
      <c r="X121" s="392"/>
      <c r="Y121" s="379"/>
      <c r="Z121" s="405"/>
      <c r="AA121" s="407"/>
      <c r="AB121" s="379"/>
      <c r="AC121" s="379"/>
      <c r="AD121" s="374"/>
      <c r="AF121" s="171"/>
    </row>
    <row r="122" spans="1:32" s="7" customFormat="1" ht="27" customHeight="1" thickBot="1" x14ac:dyDescent="0.25">
      <c r="A122" s="370"/>
      <c r="B122" s="372"/>
      <c r="C122" s="30" t="s">
        <v>14</v>
      </c>
      <c r="D122" s="122">
        <v>5413000</v>
      </c>
      <c r="E122" s="112">
        <v>5413000</v>
      </c>
      <c r="F122" s="112"/>
      <c r="G122" s="112"/>
      <c r="H122" s="31"/>
      <c r="I122" s="377"/>
      <c r="J122" s="380"/>
      <c r="K122" s="401"/>
      <c r="L122" s="403"/>
      <c r="M122" s="389"/>
      <c r="N122" s="389"/>
      <c r="O122" s="358"/>
      <c r="P122" s="359"/>
      <c r="Q122" s="360"/>
      <c r="R122" s="393"/>
      <c r="S122" s="380"/>
      <c r="T122" s="406"/>
      <c r="U122" s="408"/>
      <c r="V122" s="380"/>
      <c r="W122" s="380"/>
      <c r="X122" s="393"/>
      <c r="Y122" s="380"/>
      <c r="Z122" s="406"/>
      <c r="AA122" s="408"/>
      <c r="AB122" s="380"/>
      <c r="AC122" s="380"/>
      <c r="AD122" s="43">
        <v>2023</v>
      </c>
      <c r="AF122" s="172"/>
    </row>
    <row r="123" spans="1:32" s="7" customFormat="1" ht="20.25" customHeight="1" x14ac:dyDescent="0.2">
      <c r="A123" s="368">
        <v>5</v>
      </c>
      <c r="B123" s="399" t="str">
        <f>'Tener en cuenta'!F19</f>
        <v>ECONOMIA URBANA SAS</v>
      </c>
      <c r="C123" s="12" t="s">
        <v>11</v>
      </c>
      <c r="D123" s="121">
        <v>3081419679</v>
      </c>
      <c r="E123" s="183">
        <v>3081419679</v>
      </c>
      <c r="F123" s="118"/>
      <c r="G123" s="183"/>
      <c r="H123" s="108"/>
      <c r="I123" s="376">
        <f>IFERROR(+D123/D125,"indeterminado")</f>
        <v>1.7324698588307126</v>
      </c>
      <c r="J123" s="379">
        <f>IFERROR(+(D126/D124),"indeterminado")</f>
        <v>0.5713289184612127</v>
      </c>
      <c r="K123" s="400">
        <f>IFERROR(+D128/D129,"indeterminado")-0.01</f>
        <v>7.3475395887231185</v>
      </c>
      <c r="L123" s="402">
        <f>+(D123-D125)</f>
        <v>1302791518</v>
      </c>
      <c r="M123" s="388">
        <f>IFERROR(+D128/D127,"indeterminado")</f>
        <v>0.44112198805433317</v>
      </c>
      <c r="N123" s="388">
        <f>IFERROR(+D128/D124,"indeterminado")-0.01</f>
        <v>0.17909623970979099</v>
      </c>
      <c r="O123" s="179" t="s">
        <v>78</v>
      </c>
      <c r="P123" s="241">
        <f>IF('Tener en cuenta'!O19&gt;'Tener en cuenta'!$AH$30,'Tener en cuenta'!O19,'Tener en cuenta'!$AH$30)</f>
        <v>457297264</v>
      </c>
      <c r="Q123" s="350" t="e">
        <f>P123*((P124+P126+P125)/100)-P127</f>
        <v>#VALUE!</v>
      </c>
      <c r="R123" s="392" t="e">
        <f>+G123/G125</f>
        <v>#DIV/0!</v>
      </c>
      <c r="S123" s="379" t="e">
        <f>+G126/G124</f>
        <v>#DIV/0!</v>
      </c>
      <c r="T123" s="404" t="s">
        <v>15</v>
      </c>
      <c r="U123" s="407">
        <f>+G123-G125</f>
        <v>0</v>
      </c>
      <c r="V123" s="379" t="e">
        <f>+G128/G127</f>
        <v>#DIV/0!</v>
      </c>
      <c r="W123" s="379" t="e">
        <f>+G128/G124</f>
        <v>#DIV/0!</v>
      </c>
      <c r="X123" s="392">
        <f>+D123/D125</f>
        <v>1.7324698588307126</v>
      </c>
      <c r="Y123" s="379">
        <f>+D126/D124</f>
        <v>0.5713289184612127</v>
      </c>
      <c r="Z123" s="404" t="s">
        <v>15</v>
      </c>
      <c r="AA123" s="407">
        <f>+D123-D125</f>
        <v>1302791518</v>
      </c>
      <c r="AB123" s="379">
        <f>+D128/D127</f>
        <v>0.44112198805433317</v>
      </c>
      <c r="AC123" s="379">
        <f>+D128/D124</f>
        <v>0.189096239709791</v>
      </c>
      <c r="AD123" s="48" t="s">
        <v>44</v>
      </c>
      <c r="AF123" s="172"/>
    </row>
    <row r="124" spans="1:32" s="7" customFormat="1" ht="20.25" customHeight="1" x14ac:dyDescent="0.2">
      <c r="A124" s="369"/>
      <c r="B124" s="367"/>
      <c r="C124" s="13" t="s">
        <v>12</v>
      </c>
      <c r="D124" s="121">
        <v>3113142191</v>
      </c>
      <c r="E124" s="111">
        <v>3113142191</v>
      </c>
      <c r="F124" s="111"/>
      <c r="G124" s="111"/>
      <c r="H124" s="29"/>
      <c r="I124" s="376"/>
      <c r="J124" s="379"/>
      <c r="K124" s="400"/>
      <c r="L124" s="402"/>
      <c r="M124" s="388"/>
      <c r="N124" s="388"/>
      <c r="O124" s="179" t="s">
        <v>82</v>
      </c>
      <c r="P124" s="199" t="e">
        <f>IF('Tener en cuenta'!N19&gt;=0,IF('Tener en cuenta'!N19&lt;=3,60,IF('Tener en cuenta'!N19&lt;=6,80,IF('Tener en cuenta'!N19&lt;=10,100,120))))</f>
        <v>#VALUE!</v>
      </c>
      <c r="Q124" s="351"/>
      <c r="R124" s="392"/>
      <c r="S124" s="379"/>
      <c r="T124" s="405"/>
      <c r="U124" s="407"/>
      <c r="V124" s="379"/>
      <c r="W124" s="379"/>
      <c r="X124" s="392"/>
      <c r="Y124" s="379"/>
      <c r="Z124" s="405"/>
      <c r="AA124" s="407"/>
      <c r="AB124" s="379"/>
      <c r="AC124" s="379"/>
      <c r="AD124" s="373" t="s">
        <v>43</v>
      </c>
      <c r="AF124" s="172"/>
    </row>
    <row r="125" spans="1:32" s="7" customFormat="1" ht="20.25" customHeight="1" x14ac:dyDescent="0.2">
      <c r="A125" s="369"/>
      <c r="B125" s="367"/>
      <c r="C125" s="13" t="s">
        <v>8</v>
      </c>
      <c r="D125" s="121">
        <v>1778628161</v>
      </c>
      <c r="E125" s="111">
        <v>1778628161</v>
      </c>
      <c r="F125" s="111"/>
      <c r="G125" s="111"/>
      <c r="H125" s="29"/>
      <c r="I125" s="376"/>
      <c r="J125" s="379"/>
      <c r="K125" s="400"/>
      <c r="L125" s="402"/>
      <c r="M125" s="388"/>
      <c r="N125" s="388"/>
      <c r="O125" s="179" t="s">
        <v>79</v>
      </c>
      <c r="P125" s="199">
        <f>IF(I123&gt;=0,IF(I123&lt;=0.5,20,IF(I123&lt;=0.75,25,IF(I123&lt;=1,30,IF(I123&lt;=1.5,35,40)))))</f>
        <v>40</v>
      </c>
      <c r="Q125" s="351"/>
      <c r="R125" s="392"/>
      <c r="S125" s="379"/>
      <c r="T125" s="405"/>
      <c r="U125" s="407"/>
      <c r="V125" s="379"/>
      <c r="W125" s="379"/>
      <c r="X125" s="392"/>
      <c r="Y125" s="379"/>
      <c r="Z125" s="405"/>
      <c r="AA125" s="407"/>
      <c r="AB125" s="379"/>
      <c r="AC125" s="379"/>
      <c r="AD125" s="374"/>
      <c r="AF125" s="172"/>
    </row>
    <row r="126" spans="1:32" s="7" customFormat="1" ht="20.25" customHeight="1" x14ac:dyDescent="0.2">
      <c r="A126" s="369"/>
      <c r="B126" s="367"/>
      <c r="C126" s="13" t="s">
        <v>9</v>
      </c>
      <c r="D126" s="121">
        <v>1778628161</v>
      </c>
      <c r="E126" s="111">
        <v>1778628161</v>
      </c>
      <c r="F126" s="111"/>
      <c r="G126" s="111"/>
      <c r="H126" s="29"/>
      <c r="I126" s="376"/>
      <c r="J126" s="379"/>
      <c r="K126" s="400"/>
      <c r="L126" s="402"/>
      <c r="M126" s="388"/>
      <c r="N126" s="388"/>
      <c r="O126" s="179" t="s">
        <v>81</v>
      </c>
      <c r="P126" s="199">
        <f>IF('Tener en cuenta'!L19&gt;=0,IF('Tener en cuenta'!L19&lt;=5,20,IF('Tener en cuenta'!L19&lt;=10,30,40)))</f>
        <v>20</v>
      </c>
      <c r="Q126" s="351"/>
      <c r="R126" s="392"/>
      <c r="S126" s="379"/>
      <c r="T126" s="405"/>
      <c r="U126" s="407"/>
      <c r="V126" s="379"/>
      <c r="W126" s="379"/>
      <c r="X126" s="392"/>
      <c r="Y126" s="379"/>
      <c r="Z126" s="405"/>
      <c r="AA126" s="407"/>
      <c r="AB126" s="379"/>
      <c r="AC126" s="379"/>
      <c r="AD126" s="374"/>
      <c r="AF126" s="172"/>
    </row>
    <row r="127" spans="1:32" s="7" customFormat="1" ht="20.25" customHeight="1" x14ac:dyDescent="0.2">
      <c r="A127" s="369"/>
      <c r="B127" s="367"/>
      <c r="C127" s="13" t="s">
        <v>10</v>
      </c>
      <c r="D127" s="121">
        <v>1334514030</v>
      </c>
      <c r="E127" s="111">
        <v>1334514030</v>
      </c>
      <c r="F127" s="111"/>
      <c r="G127" s="111"/>
      <c r="H127" s="29"/>
      <c r="I127" s="376"/>
      <c r="J127" s="379"/>
      <c r="K127" s="400"/>
      <c r="L127" s="402"/>
      <c r="M127" s="388"/>
      <c r="N127" s="388"/>
      <c r="O127" s="179" t="s">
        <v>80</v>
      </c>
      <c r="P127" s="262">
        <f>'Tener en cuenta'!P19</f>
        <v>0</v>
      </c>
      <c r="Q127" s="352"/>
      <c r="R127" s="392"/>
      <c r="S127" s="379"/>
      <c r="T127" s="405"/>
      <c r="U127" s="407"/>
      <c r="V127" s="379"/>
      <c r="W127" s="379"/>
      <c r="X127" s="392"/>
      <c r="Y127" s="379"/>
      <c r="Z127" s="405"/>
      <c r="AA127" s="407"/>
      <c r="AB127" s="379"/>
      <c r="AC127" s="379"/>
      <c r="AD127" s="374"/>
      <c r="AF127" s="172"/>
    </row>
    <row r="128" spans="1:32" s="7" customFormat="1" ht="30.75" customHeight="1" x14ac:dyDescent="0.2">
      <c r="A128" s="369"/>
      <c r="B128" s="371" t="str">
        <f>CONCATENATE("NIT.  ",'Tener en cuenta'!E19)</f>
        <v>NIT.  900.103.559-2</v>
      </c>
      <c r="C128" s="13" t="s">
        <v>13</v>
      </c>
      <c r="D128" s="121">
        <v>588683482</v>
      </c>
      <c r="E128" s="111">
        <v>588683482</v>
      </c>
      <c r="F128" s="111"/>
      <c r="G128" s="111"/>
      <c r="H128" s="29"/>
      <c r="I128" s="376"/>
      <c r="J128" s="379"/>
      <c r="K128" s="400"/>
      <c r="L128" s="402"/>
      <c r="M128" s="388"/>
      <c r="N128" s="388"/>
      <c r="O128" s="355" t="e">
        <f>IF(Q123&gt;=($C$168*1000),'Tener en cuenta'!$AC$13,'Tener en cuenta'!$AC$14)</f>
        <v>#VALUE!</v>
      </c>
      <c r="P128" s="356"/>
      <c r="Q128" s="357"/>
      <c r="R128" s="392"/>
      <c r="S128" s="379"/>
      <c r="T128" s="405"/>
      <c r="U128" s="407"/>
      <c r="V128" s="379"/>
      <c r="W128" s="379"/>
      <c r="X128" s="392"/>
      <c r="Y128" s="379"/>
      <c r="Z128" s="405"/>
      <c r="AA128" s="407"/>
      <c r="AB128" s="379"/>
      <c r="AC128" s="379"/>
      <c r="AD128" s="374"/>
      <c r="AF128" s="172"/>
    </row>
    <row r="129" spans="1:32" s="7" customFormat="1" ht="24" customHeight="1" thickBot="1" x14ac:dyDescent="0.25">
      <c r="A129" s="370"/>
      <c r="B129" s="372"/>
      <c r="C129" s="30" t="s">
        <v>14</v>
      </c>
      <c r="D129" s="122">
        <v>80010916</v>
      </c>
      <c r="E129" s="112">
        <v>80010916</v>
      </c>
      <c r="F129" s="112"/>
      <c r="G129" s="112"/>
      <c r="H129" s="31"/>
      <c r="I129" s="377"/>
      <c r="J129" s="380"/>
      <c r="K129" s="401"/>
      <c r="L129" s="403"/>
      <c r="M129" s="389"/>
      <c r="N129" s="389"/>
      <c r="O129" s="358"/>
      <c r="P129" s="359"/>
      <c r="Q129" s="360"/>
      <c r="R129" s="393"/>
      <c r="S129" s="380"/>
      <c r="T129" s="406"/>
      <c r="U129" s="408"/>
      <c r="V129" s="380"/>
      <c r="W129" s="380"/>
      <c r="X129" s="393"/>
      <c r="Y129" s="380"/>
      <c r="Z129" s="406"/>
      <c r="AA129" s="408"/>
      <c r="AB129" s="380"/>
      <c r="AC129" s="380"/>
      <c r="AD129" s="517">
        <v>2023</v>
      </c>
      <c r="AF129" s="172"/>
    </row>
    <row r="130" spans="1:32" s="2" customFormat="1" ht="20.25" customHeight="1" x14ac:dyDescent="0.2">
      <c r="A130" s="368">
        <v>6</v>
      </c>
      <c r="B130" s="399" t="str">
        <f>'Tener en cuenta'!F20</f>
        <v>CENTRO NACIONAL DE CONSULTORIA S A - CNC</v>
      </c>
      <c r="C130" s="12" t="s">
        <v>11</v>
      </c>
      <c r="D130" s="121">
        <v>13308694267</v>
      </c>
      <c r="E130" s="183">
        <v>13308694267</v>
      </c>
      <c r="F130" s="118"/>
      <c r="G130" s="183"/>
      <c r="H130" s="108"/>
      <c r="I130" s="376">
        <f>IFERROR(+D130/D132,"indeterminado")</f>
        <v>1.9305604684972268</v>
      </c>
      <c r="J130" s="379">
        <f>IFERROR(+(D133/D131),"indeterminado")</f>
        <v>0.48183747232115343</v>
      </c>
      <c r="K130" s="382">
        <f>IFERROR(+D135/D136,"indeterminado")</f>
        <v>4.6717373040158137</v>
      </c>
      <c r="L130" s="390">
        <f>+(D130-D132)</f>
        <v>6414999672</v>
      </c>
      <c r="M130" s="388">
        <f>IFERROR(+D135/D134,"indeterminado")-0.01</f>
        <v>0.29569694747392916</v>
      </c>
      <c r="N130" s="388">
        <f>IFERROR(+D135/D131,"indeterminado")-0.01</f>
        <v>0.14840070300679872</v>
      </c>
      <c r="O130" s="179" t="s">
        <v>78</v>
      </c>
      <c r="P130" s="241">
        <f>IF('Tener en cuenta'!O20&gt;'Tener en cuenta'!$AH$30,'Tener en cuenta'!O20,'Tener en cuenta'!$AH$30)</f>
        <v>457297264</v>
      </c>
      <c r="Q130" s="350">
        <f>P130*((P131+P133+P132)/100)-P134</f>
        <v>548756716.79999995</v>
      </c>
      <c r="R130" s="392" t="e">
        <f>+G130/G132</f>
        <v>#DIV/0!</v>
      </c>
      <c r="S130" s="379" t="e">
        <f>+G133/G131</f>
        <v>#DIV/0!</v>
      </c>
      <c r="T130" s="394" t="s">
        <v>15</v>
      </c>
      <c r="U130" s="397">
        <f>+G130-G132</f>
        <v>0</v>
      </c>
      <c r="V130" s="379" t="e">
        <f>+G135/G134</f>
        <v>#DIV/0!</v>
      </c>
      <c r="W130" s="379" t="e">
        <f>+G135/G131</f>
        <v>#DIV/0!</v>
      </c>
      <c r="X130" s="392">
        <f>+D130/D132</f>
        <v>1.9305604684972268</v>
      </c>
      <c r="Y130" s="379">
        <f>+D133/D131</f>
        <v>0.48183747232115343</v>
      </c>
      <c r="Z130" s="394" t="s">
        <v>15</v>
      </c>
      <c r="AA130" s="397">
        <f>+D130-D132</f>
        <v>6414999672</v>
      </c>
      <c r="AB130" s="379">
        <f>+D135/D134</f>
        <v>0.30569694747392917</v>
      </c>
      <c r="AC130" s="379">
        <f>+D135/D131</f>
        <v>0.15840070300679873</v>
      </c>
      <c r="AD130" s="48" t="s">
        <v>44</v>
      </c>
      <c r="AF130" s="171"/>
    </row>
    <row r="131" spans="1:32" s="2" customFormat="1" ht="20.25" customHeight="1" x14ac:dyDescent="0.2">
      <c r="A131" s="369"/>
      <c r="B131" s="367"/>
      <c r="C131" s="13" t="s">
        <v>12</v>
      </c>
      <c r="D131" s="121">
        <v>15979227541</v>
      </c>
      <c r="E131" s="111">
        <v>15979227541</v>
      </c>
      <c r="F131" s="111"/>
      <c r="G131" s="111"/>
      <c r="H131" s="29"/>
      <c r="I131" s="376"/>
      <c r="J131" s="379"/>
      <c r="K131" s="382"/>
      <c r="L131" s="390"/>
      <c r="M131" s="388"/>
      <c r="N131" s="388"/>
      <c r="O131" s="179" t="s">
        <v>82</v>
      </c>
      <c r="P131" s="199">
        <f>IF('Tener en cuenta'!N20&gt;=0,IF('Tener en cuenta'!N20&lt;=3,60,IF('Tener en cuenta'!N20&lt;=6,80,IF('Tener en cuenta'!N20&lt;=10,100,120))))</f>
        <v>60</v>
      </c>
      <c r="Q131" s="353"/>
      <c r="R131" s="392"/>
      <c r="S131" s="379"/>
      <c r="T131" s="395"/>
      <c r="U131" s="397"/>
      <c r="V131" s="379"/>
      <c r="W131" s="379"/>
      <c r="X131" s="392"/>
      <c r="Y131" s="379"/>
      <c r="Z131" s="395"/>
      <c r="AA131" s="397"/>
      <c r="AB131" s="379"/>
      <c r="AC131" s="379"/>
      <c r="AD131" s="373" t="s">
        <v>43</v>
      </c>
      <c r="AF131" s="171"/>
    </row>
    <row r="132" spans="1:32" s="2" customFormat="1" ht="20.25" customHeight="1" x14ac:dyDescent="0.2">
      <c r="A132" s="369"/>
      <c r="B132" s="367"/>
      <c r="C132" s="13" t="s">
        <v>8</v>
      </c>
      <c r="D132" s="121">
        <v>6893694595</v>
      </c>
      <c r="E132" s="111">
        <v>6893694595</v>
      </c>
      <c r="F132" s="111"/>
      <c r="G132" s="111"/>
      <c r="H132" s="29"/>
      <c r="I132" s="376"/>
      <c r="J132" s="379"/>
      <c r="K132" s="382"/>
      <c r="L132" s="390"/>
      <c r="M132" s="388"/>
      <c r="N132" s="388"/>
      <c r="O132" s="179" t="s">
        <v>79</v>
      </c>
      <c r="P132" s="199">
        <f>IF(I130&gt;=0,IF(I130&lt;=0.5,20,IF(I130&lt;=0.75,25,IF(I130&lt;=1,30,IF(I130&lt;=1.5,35,40)))))</f>
        <v>40</v>
      </c>
      <c r="Q132" s="353"/>
      <c r="R132" s="392"/>
      <c r="S132" s="379"/>
      <c r="T132" s="395"/>
      <c r="U132" s="397"/>
      <c r="V132" s="379"/>
      <c r="W132" s="379"/>
      <c r="X132" s="392"/>
      <c r="Y132" s="379"/>
      <c r="Z132" s="395"/>
      <c r="AA132" s="397"/>
      <c r="AB132" s="379"/>
      <c r="AC132" s="379"/>
      <c r="AD132" s="374"/>
      <c r="AF132" s="171"/>
    </row>
    <row r="133" spans="1:32" s="2" customFormat="1" ht="20.25" customHeight="1" x14ac:dyDescent="0.2">
      <c r="A133" s="369"/>
      <c r="B133" s="367"/>
      <c r="C133" s="13" t="s">
        <v>9</v>
      </c>
      <c r="D133" s="121">
        <v>7699390608</v>
      </c>
      <c r="E133" s="111">
        <v>7699390608</v>
      </c>
      <c r="F133" s="111"/>
      <c r="G133" s="111"/>
      <c r="H133" s="29"/>
      <c r="I133" s="376"/>
      <c r="J133" s="379"/>
      <c r="K133" s="382"/>
      <c r="L133" s="390"/>
      <c r="M133" s="388"/>
      <c r="N133" s="388"/>
      <c r="O133" s="179" t="s">
        <v>81</v>
      </c>
      <c r="P133" s="199">
        <f>IF('Tener en cuenta'!L20&gt;=0,IF('Tener en cuenta'!L20&lt;=5,20,IF('Tener en cuenta'!L20&lt;=10,30,40)))</f>
        <v>20</v>
      </c>
      <c r="Q133" s="353"/>
      <c r="R133" s="392"/>
      <c r="S133" s="379"/>
      <c r="T133" s="395"/>
      <c r="U133" s="397"/>
      <c r="V133" s="379"/>
      <c r="W133" s="379"/>
      <c r="X133" s="392"/>
      <c r="Y133" s="379"/>
      <c r="Z133" s="395"/>
      <c r="AA133" s="397"/>
      <c r="AB133" s="379"/>
      <c r="AC133" s="379"/>
      <c r="AD133" s="374"/>
      <c r="AF133" s="171"/>
    </row>
    <row r="134" spans="1:32" s="2" customFormat="1" ht="20.25" customHeight="1" x14ac:dyDescent="0.2">
      <c r="A134" s="369"/>
      <c r="B134" s="367"/>
      <c r="C134" s="13" t="s">
        <v>10</v>
      </c>
      <c r="D134" s="121">
        <v>8279836933</v>
      </c>
      <c r="E134" s="111">
        <v>8279836933</v>
      </c>
      <c r="F134" s="111"/>
      <c r="G134" s="111"/>
      <c r="H134" s="29"/>
      <c r="I134" s="376"/>
      <c r="J134" s="379"/>
      <c r="K134" s="382"/>
      <c r="L134" s="390"/>
      <c r="M134" s="388"/>
      <c r="N134" s="388"/>
      <c r="O134" s="179" t="s">
        <v>80</v>
      </c>
      <c r="P134" s="262">
        <f>'Tener en cuenta'!P20</f>
        <v>0</v>
      </c>
      <c r="Q134" s="354"/>
      <c r="R134" s="392"/>
      <c r="S134" s="379"/>
      <c r="T134" s="395"/>
      <c r="U134" s="397"/>
      <c r="V134" s="379"/>
      <c r="W134" s="379"/>
      <c r="X134" s="392"/>
      <c r="Y134" s="379"/>
      <c r="Z134" s="395"/>
      <c r="AA134" s="397"/>
      <c r="AB134" s="379"/>
      <c r="AC134" s="379"/>
      <c r="AD134" s="374"/>
      <c r="AF134" s="171"/>
    </row>
    <row r="135" spans="1:32" s="2" customFormat="1" ht="20.25" customHeight="1" x14ac:dyDescent="0.2">
      <c r="A135" s="369"/>
      <c r="B135" s="371" t="str">
        <f>CONCATENATE("NIT.  ",'Tener en cuenta'!E20)</f>
        <v>NIT.  800.011.951-9</v>
      </c>
      <c r="C135" s="13" t="s">
        <v>13</v>
      </c>
      <c r="D135" s="121">
        <v>2531120876</v>
      </c>
      <c r="E135" s="111">
        <v>2531120876</v>
      </c>
      <c r="F135" s="111"/>
      <c r="G135" s="111"/>
      <c r="H135" s="29"/>
      <c r="I135" s="376"/>
      <c r="J135" s="379"/>
      <c r="K135" s="382"/>
      <c r="L135" s="390"/>
      <c r="M135" s="388"/>
      <c r="N135" s="388"/>
      <c r="O135" s="355" t="str">
        <f>IF(Q130&gt;=($C$168*1000),'Tener en cuenta'!$AC$13,'Tener en cuenta'!$AC$14)</f>
        <v>CRP  NO Cumple</v>
      </c>
      <c r="P135" s="361"/>
      <c r="Q135" s="362"/>
      <c r="R135" s="392"/>
      <c r="S135" s="379"/>
      <c r="T135" s="395"/>
      <c r="U135" s="397"/>
      <c r="V135" s="379"/>
      <c r="W135" s="379"/>
      <c r="X135" s="392"/>
      <c r="Y135" s="379"/>
      <c r="Z135" s="395"/>
      <c r="AA135" s="397"/>
      <c r="AB135" s="379"/>
      <c r="AC135" s="379"/>
      <c r="AD135" s="374"/>
      <c r="AF135" s="171"/>
    </row>
    <row r="136" spans="1:32" s="7" customFormat="1" ht="20.25" customHeight="1" thickBot="1" x14ac:dyDescent="0.25">
      <c r="A136" s="370"/>
      <c r="B136" s="372"/>
      <c r="C136" s="30" t="s">
        <v>14</v>
      </c>
      <c r="D136" s="122">
        <v>541794350</v>
      </c>
      <c r="E136" s="112">
        <v>541794350</v>
      </c>
      <c r="F136" s="112"/>
      <c r="G136" s="112"/>
      <c r="H136" s="31"/>
      <c r="I136" s="377"/>
      <c r="J136" s="380"/>
      <c r="K136" s="383"/>
      <c r="L136" s="391"/>
      <c r="M136" s="389"/>
      <c r="N136" s="389"/>
      <c r="O136" s="363"/>
      <c r="P136" s="364"/>
      <c r="Q136" s="365"/>
      <c r="R136" s="393"/>
      <c r="S136" s="380"/>
      <c r="T136" s="396"/>
      <c r="U136" s="398"/>
      <c r="V136" s="380"/>
      <c r="W136" s="380"/>
      <c r="X136" s="393"/>
      <c r="Y136" s="380"/>
      <c r="Z136" s="396"/>
      <c r="AA136" s="398"/>
      <c r="AB136" s="380"/>
      <c r="AC136" s="380"/>
      <c r="AD136" s="43">
        <v>2023</v>
      </c>
      <c r="AF136" s="172"/>
    </row>
    <row r="137" spans="1:32" s="2" customFormat="1" ht="20.25" customHeight="1" x14ac:dyDescent="0.2">
      <c r="A137" s="368">
        <v>7</v>
      </c>
      <c r="B137" s="399" t="str">
        <f>'Tener en cuenta'!F21</f>
        <v>PROINSO SF SAS  
SIGLA PROINSO SF SAS</v>
      </c>
      <c r="C137" s="12" t="s">
        <v>11</v>
      </c>
      <c r="D137" s="121">
        <v>4288017112</v>
      </c>
      <c r="E137" s="183">
        <v>4288017112</v>
      </c>
      <c r="F137" s="118"/>
      <c r="G137" s="183"/>
      <c r="H137" s="108"/>
      <c r="I137" s="376">
        <f>IFERROR(+D137/D139,"indeterminado")-0.01</f>
        <v>18.628752209718925</v>
      </c>
      <c r="J137" s="379">
        <f>IFERROR(+(D140/D138),"indeterminado")</f>
        <v>0.19061960709417675</v>
      </c>
      <c r="K137" s="400">
        <f>IFERROR(+D142/D143,"indeterminado")-0.01</f>
        <v>144.70828362144283</v>
      </c>
      <c r="L137" s="402">
        <f>+(D137-D139)</f>
        <v>4057957875</v>
      </c>
      <c r="M137" s="388">
        <f>IFERROR(+D142/D141,"indeterminado")-0.01</f>
        <v>1.1550761653407358</v>
      </c>
      <c r="N137" s="388">
        <f>IFERROR(+D142/D138,"indeterminado")</f>
        <v>0.94298980446869463</v>
      </c>
      <c r="O137" s="179" t="s">
        <v>78</v>
      </c>
      <c r="P137" s="241">
        <f>IF('Tener en cuenta'!O21&gt;'Tener en cuenta'!$AH$30,'Tener en cuenta'!O21,'Tener en cuenta'!$AH$30)</f>
        <v>457297264</v>
      </c>
      <c r="Q137" s="350">
        <f>P137*((P138+P140+P139)/100)-P141</f>
        <v>548756716.79999995</v>
      </c>
      <c r="R137" s="392" t="e">
        <f>+G137/G139</f>
        <v>#DIV/0!</v>
      </c>
      <c r="S137" s="379" t="e">
        <f>+G140/G138</f>
        <v>#DIV/0!</v>
      </c>
      <c r="T137" s="394" t="s">
        <v>15</v>
      </c>
      <c r="U137" s="397">
        <f>+G137-G139</f>
        <v>0</v>
      </c>
      <c r="V137" s="379" t="e">
        <f>+G142/G141</f>
        <v>#DIV/0!</v>
      </c>
      <c r="W137" s="379" t="e">
        <f>+G142/G138</f>
        <v>#DIV/0!</v>
      </c>
      <c r="X137" s="392">
        <f>+D137/D139</f>
        <v>18.638752209718927</v>
      </c>
      <c r="Y137" s="379">
        <f>+D140/D138</f>
        <v>0.19061960709417675</v>
      </c>
      <c r="Z137" s="394" t="s">
        <v>15</v>
      </c>
      <c r="AA137" s="397">
        <f>+D137-D139</f>
        <v>4057957875</v>
      </c>
      <c r="AB137" s="379">
        <f>+D142/D141</f>
        <v>1.1650761653407358</v>
      </c>
      <c r="AC137" s="379">
        <f>+D142/D138</f>
        <v>0.94298980446869463</v>
      </c>
      <c r="AD137" s="48" t="s">
        <v>44</v>
      </c>
      <c r="AF137" s="171"/>
    </row>
    <row r="138" spans="1:32" s="2" customFormat="1" ht="20.25" customHeight="1" x14ac:dyDescent="0.2">
      <c r="A138" s="369"/>
      <c r="B138" s="367"/>
      <c r="C138" s="13" t="s">
        <v>12</v>
      </c>
      <c r="D138" s="121">
        <v>4583649601</v>
      </c>
      <c r="E138" s="111">
        <v>4583649601</v>
      </c>
      <c r="F138" s="111"/>
      <c r="G138" s="111"/>
      <c r="H138" s="29"/>
      <c r="I138" s="376"/>
      <c r="J138" s="379"/>
      <c r="K138" s="400"/>
      <c r="L138" s="402"/>
      <c r="M138" s="388"/>
      <c r="N138" s="388"/>
      <c r="O138" s="179" t="s">
        <v>82</v>
      </c>
      <c r="P138" s="199">
        <f>IF('Tener en cuenta'!N21&gt;=0,IF('Tener en cuenta'!N21&lt;=3,60,IF('Tener en cuenta'!N21&lt;=6,80,IF('Tener en cuenta'!N21&lt;=10,100,120))))</f>
        <v>60</v>
      </c>
      <c r="Q138" s="351"/>
      <c r="R138" s="392"/>
      <c r="S138" s="379"/>
      <c r="T138" s="395"/>
      <c r="U138" s="397"/>
      <c r="V138" s="379"/>
      <c r="W138" s="379"/>
      <c r="X138" s="392"/>
      <c r="Y138" s="379"/>
      <c r="Z138" s="395"/>
      <c r="AA138" s="397"/>
      <c r="AB138" s="379"/>
      <c r="AC138" s="379"/>
      <c r="AD138" s="373" t="s">
        <v>43</v>
      </c>
      <c r="AF138" s="171"/>
    </row>
    <row r="139" spans="1:32" s="2" customFormat="1" ht="20.25" customHeight="1" x14ac:dyDescent="0.2">
      <c r="A139" s="369"/>
      <c r="B139" s="367"/>
      <c r="C139" s="13" t="s">
        <v>8</v>
      </c>
      <c r="D139" s="121">
        <v>230059237</v>
      </c>
      <c r="E139" s="111">
        <v>230059237</v>
      </c>
      <c r="F139" s="111"/>
      <c r="G139" s="111"/>
      <c r="H139" s="29"/>
      <c r="I139" s="376"/>
      <c r="J139" s="379"/>
      <c r="K139" s="400"/>
      <c r="L139" s="402"/>
      <c r="M139" s="388"/>
      <c r="N139" s="388"/>
      <c r="O139" s="179" t="s">
        <v>79</v>
      </c>
      <c r="P139" s="199">
        <f>IF(I137&gt;=0,IF(I137&lt;=0.5,20,IF(I137&lt;=0.75,25,IF(I137&lt;=1,30,IF(I137&lt;=1.5,35,40)))))</f>
        <v>40</v>
      </c>
      <c r="Q139" s="351"/>
      <c r="R139" s="392"/>
      <c r="S139" s="379"/>
      <c r="T139" s="395"/>
      <c r="U139" s="397"/>
      <c r="V139" s="379"/>
      <c r="W139" s="379"/>
      <c r="X139" s="392"/>
      <c r="Y139" s="379"/>
      <c r="Z139" s="395"/>
      <c r="AA139" s="397"/>
      <c r="AB139" s="379"/>
      <c r="AC139" s="379"/>
      <c r="AD139" s="374"/>
      <c r="AF139" s="171"/>
    </row>
    <row r="140" spans="1:32" s="2" customFormat="1" ht="20.25" customHeight="1" x14ac:dyDescent="0.2">
      <c r="A140" s="369"/>
      <c r="B140" s="367"/>
      <c r="C140" s="13" t="s">
        <v>9</v>
      </c>
      <c r="D140" s="121">
        <v>873733486</v>
      </c>
      <c r="E140" s="111">
        <v>873733486</v>
      </c>
      <c r="F140" s="111"/>
      <c r="G140" s="111"/>
      <c r="H140" s="29"/>
      <c r="I140" s="376"/>
      <c r="J140" s="379"/>
      <c r="K140" s="400"/>
      <c r="L140" s="402"/>
      <c r="M140" s="388"/>
      <c r="N140" s="388"/>
      <c r="O140" s="179" t="s">
        <v>81</v>
      </c>
      <c r="P140" s="199">
        <f>IF('Tener en cuenta'!L21&gt;=0,IF('Tener en cuenta'!L21&lt;=5,20,IF('Tener en cuenta'!L21&lt;=10,30,40)))</f>
        <v>20</v>
      </c>
      <c r="Q140" s="351"/>
      <c r="R140" s="392"/>
      <c r="S140" s="379"/>
      <c r="T140" s="395"/>
      <c r="U140" s="397"/>
      <c r="V140" s="379"/>
      <c r="W140" s="379"/>
      <c r="X140" s="392"/>
      <c r="Y140" s="379"/>
      <c r="Z140" s="395"/>
      <c r="AA140" s="397"/>
      <c r="AB140" s="379"/>
      <c r="AC140" s="379"/>
      <c r="AD140" s="374"/>
      <c r="AF140" s="171"/>
    </row>
    <row r="141" spans="1:32" s="2" customFormat="1" ht="20.25" customHeight="1" x14ac:dyDescent="0.2">
      <c r="A141" s="369"/>
      <c r="B141" s="367"/>
      <c r="C141" s="13" t="s">
        <v>10</v>
      </c>
      <c r="D141" s="121">
        <v>3709916115</v>
      </c>
      <c r="E141" s="111">
        <v>3709916115</v>
      </c>
      <c r="F141" s="111"/>
      <c r="G141" s="111"/>
      <c r="H141" s="29"/>
      <c r="I141" s="376"/>
      <c r="J141" s="379"/>
      <c r="K141" s="400"/>
      <c r="L141" s="402"/>
      <c r="M141" s="388"/>
      <c r="N141" s="388"/>
      <c r="O141" s="179" t="s">
        <v>80</v>
      </c>
      <c r="P141" s="262">
        <f>'Tener en cuenta'!P21</f>
        <v>0</v>
      </c>
      <c r="Q141" s="352"/>
      <c r="R141" s="392"/>
      <c r="S141" s="379"/>
      <c r="T141" s="395"/>
      <c r="U141" s="397"/>
      <c r="V141" s="379"/>
      <c r="W141" s="379"/>
      <c r="X141" s="392"/>
      <c r="Y141" s="379"/>
      <c r="Z141" s="395"/>
      <c r="AA141" s="397"/>
      <c r="AB141" s="379"/>
      <c r="AC141" s="379"/>
      <c r="AD141" s="374"/>
      <c r="AF141" s="171"/>
    </row>
    <row r="142" spans="1:32" s="2" customFormat="1" ht="31.5" customHeight="1" x14ac:dyDescent="0.2">
      <c r="A142" s="369"/>
      <c r="B142" s="371" t="str">
        <f>CONCATENATE("NIT.  ",'Tener en cuenta'!E21)</f>
        <v>NIT.  900.914.244-8</v>
      </c>
      <c r="C142" s="13" t="s">
        <v>13</v>
      </c>
      <c r="D142" s="121">
        <v>4322334841</v>
      </c>
      <c r="E142" s="111">
        <v>4322334841</v>
      </c>
      <c r="F142" s="111"/>
      <c r="G142" s="111"/>
      <c r="H142" s="29"/>
      <c r="I142" s="376"/>
      <c r="J142" s="379"/>
      <c r="K142" s="400"/>
      <c r="L142" s="402"/>
      <c r="M142" s="388"/>
      <c r="N142" s="388"/>
      <c r="O142" s="355" t="str">
        <f>IF(Q137&gt;=($C$168*1000),'Tener en cuenta'!$AC$13,'Tener en cuenta'!$AC$14)</f>
        <v>CRP  NO Cumple</v>
      </c>
      <c r="P142" s="356"/>
      <c r="Q142" s="357"/>
      <c r="R142" s="392"/>
      <c r="S142" s="379"/>
      <c r="T142" s="395"/>
      <c r="U142" s="397"/>
      <c r="V142" s="379"/>
      <c r="W142" s="379"/>
      <c r="X142" s="392"/>
      <c r="Y142" s="379"/>
      <c r="Z142" s="395"/>
      <c r="AA142" s="397"/>
      <c r="AB142" s="379"/>
      <c r="AC142" s="379"/>
      <c r="AD142" s="374"/>
      <c r="AF142" s="171"/>
    </row>
    <row r="143" spans="1:32" s="7" customFormat="1" ht="26.25" customHeight="1" thickBot="1" x14ac:dyDescent="0.25">
      <c r="A143" s="370"/>
      <c r="B143" s="372"/>
      <c r="C143" s="30" t="s">
        <v>14</v>
      </c>
      <c r="D143" s="122">
        <v>29867234</v>
      </c>
      <c r="E143" s="112">
        <v>29867234</v>
      </c>
      <c r="F143" s="112"/>
      <c r="G143" s="112"/>
      <c r="H143" s="31"/>
      <c r="I143" s="377"/>
      <c r="J143" s="380"/>
      <c r="K143" s="401"/>
      <c r="L143" s="403"/>
      <c r="M143" s="389"/>
      <c r="N143" s="389"/>
      <c r="O143" s="358"/>
      <c r="P143" s="364"/>
      <c r="Q143" s="365"/>
      <c r="R143" s="393"/>
      <c r="S143" s="380"/>
      <c r="T143" s="396"/>
      <c r="U143" s="398"/>
      <c r="V143" s="380"/>
      <c r="W143" s="380"/>
      <c r="X143" s="393"/>
      <c r="Y143" s="380"/>
      <c r="Z143" s="396"/>
      <c r="AA143" s="398"/>
      <c r="AB143" s="380"/>
      <c r="AC143" s="380"/>
      <c r="AD143" s="43">
        <v>2023</v>
      </c>
      <c r="AF143" s="172"/>
    </row>
    <row r="144" spans="1:32" s="2" customFormat="1" ht="21.75" customHeight="1" x14ac:dyDescent="0.2">
      <c r="A144" s="368">
        <v>8</v>
      </c>
      <c r="B144" s="399" t="str">
        <f>'Tener en cuenta'!F22</f>
        <v>IPSOS NAPOLEON FRANCO &amp; CIA SAS</v>
      </c>
      <c r="C144" s="12" t="s">
        <v>11</v>
      </c>
      <c r="D144" s="121">
        <v>42300982000</v>
      </c>
      <c r="E144" s="183">
        <v>42300982000</v>
      </c>
      <c r="F144" s="118"/>
      <c r="G144" s="183"/>
      <c r="H144" s="108"/>
      <c r="I144" s="376">
        <f>IFERROR(+D144/D146,"indeterminado")</f>
        <v>2.0344418683995795</v>
      </c>
      <c r="J144" s="379">
        <f>IFERROR(+(D147/D145),"indeterminado")-0.01</f>
        <v>0.44721835718776004</v>
      </c>
      <c r="K144" s="400">
        <f>IFERROR(+D149/D150,"indeterminado")-0.01</f>
        <v>1027.1590019027849</v>
      </c>
      <c r="L144" s="402">
        <f>+(D144-D146)</f>
        <v>21508556000</v>
      </c>
      <c r="M144" s="388">
        <f>IFERROR(+D149/D148,"indeterminado")-0.01</f>
        <v>0.2257119434208516</v>
      </c>
      <c r="N144" s="388">
        <f>IFERROR(+D149/D145,"indeterminado")-0.01</f>
        <v>0.11794011588043558</v>
      </c>
      <c r="O144" s="179" t="s">
        <v>78</v>
      </c>
      <c r="P144" s="241">
        <f>IF('Tener en cuenta'!O22&gt;'Tener en cuenta'!$AH$30,'Tener en cuenta'!O22,'Tener en cuenta'!$AH$30)</f>
        <v>457297264</v>
      </c>
      <c r="Q144" s="350">
        <f>P144*((P145+P147+P146)/100)-P148</f>
        <v>548756716.79999995</v>
      </c>
      <c r="R144" s="392" t="e">
        <f>+G144/G146</f>
        <v>#DIV/0!</v>
      </c>
      <c r="S144" s="379" t="e">
        <f>+G147/G145</f>
        <v>#DIV/0!</v>
      </c>
      <c r="T144" s="404" t="s">
        <v>15</v>
      </c>
      <c r="U144" s="407">
        <f>+G144-G146</f>
        <v>0</v>
      </c>
      <c r="V144" s="379" t="e">
        <f>+G149/G148</f>
        <v>#DIV/0!</v>
      </c>
      <c r="W144" s="379" t="e">
        <f>+G149/G145</f>
        <v>#DIV/0!</v>
      </c>
      <c r="X144" s="392">
        <f>+D144/D146</f>
        <v>2.0344418683995795</v>
      </c>
      <c r="Y144" s="379">
        <f>+D147/D145</f>
        <v>0.45721835718776005</v>
      </c>
      <c r="Z144" s="404" t="s">
        <v>15</v>
      </c>
      <c r="AA144" s="407">
        <f>+D144-D146</f>
        <v>21508556000</v>
      </c>
      <c r="AB144" s="379">
        <f>+D149/D148</f>
        <v>0.23571194342085161</v>
      </c>
      <c r="AC144" s="379">
        <f>+D149/D145</f>
        <v>0.12794011588043558</v>
      </c>
      <c r="AD144" s="48" t="s">
        <v>44</v>
      </c>
      <c r="AF144" s="171"/>
    </row>
    <row r="145" spans="1:32" s="2" customFormat="1" ht="18" customHeight="1" x14ac:dyDescent="0.2">
      <c r="A145" s="369"/>
      <c r="B145" s="367"/>
      <c r="C145" s="13" t="s">
        <v>12</v>
      </c>
      <c r="D145" s="121">
        <v>46412839000</v>
      </c>
      <c r="E145" s="111">
        <v>46412839000</v>
      </c>
      <c r="F145" s="111"/>
      <c r="G145" s="111"/>
      <c r="H145" s="29"/>
      <c r="I145" s="376"/>
      <c r="J145" s="379"/>
      <c r="K145" s="400"/>
      <c r="L145" s="402"/>
      <c r="M145" s="388"/>
      <c r="N145" s="388"/>
      <c r="O145" s="179" t="s">
        <v>82</v>
      </c>
      <c r="P145" s="199">
        <f>IF('Tener en cuenta'!N22&gt;=0,IF('Tener en cuenta'!N22&lt;=3,60,IF('Tener en cuenta'!N22&lt;=6,80,IF('Tener en cuenta'!N22&lt;=10,100,120))))</f>
        <v>60</v>
      </c>
      <c r="Q145" s="351"/>
      <c r="R145" s="392"/>
      <c r="S145" s="379"/>
      <c r="T145" s="405"/>
      <c r="U145" s="407"/>
      <c r="V145" s="379"/>
      <c r="W145" s="379"/>
      <c r="X145" s="392"/>
      <c r="Y145" s="379"/>
      <c r="Z145" s="405"/>
      <c r="AA145" s="407"/>
      <c r="AB145" s="379"/>
      <c r="AC145" s="379"/>
      <c r="AD145" s="373" t="s">
        <v>43</v>
      </c>
      <c r="AF145" s="171"/>
    </row>
    <row r="146" spans="1:32" s="2" customFormat="1" ht="18" customHeight="1" x14ac:dyDescent="0.2">
      <c r="A146" s="369"/>
      <c r="B146" s="367"/>
      <c r="C146" s="13" t="s">
        <v>8</v>
      </c>
      <c r="D146" s="121">
        <v>20792426000</v>
      </c>
      <c r="E146" s="111">
        <v>20792426000</v>
      </c>
      <c r="F146" s="111"/>
      <c r="G146" s="111"/>
      <c r="H146" s="29"/>
      <c r="I146" s="376"/>
      <c r="J146" s="379"/>
      <c r="K146" s="400"/>
      <c r="L146" s="402"/>
      <c r="M146" s="388"/>
      <c r="N146" s="388"/>
      <c r="O146" s="179" t="s">
        <v>79</v>
      </c>
      <c r="P146" s="199">
        <f>IF(I144&gt;=0,IF(I144&lt;=0.5,20,IF(I144&lt;=0.75,25,IF(I144&lt;=1,30,IF(I144&lt;=1.5,35,40)))))</f>
        <v>40</v>
      </c>
      <c r="Q146" s="351"/>
      <c r="R146" s="392"/>
      <c r="S146" s="379"/>
      <c r="T146" s="405"/>
      <c r="U146" s="407"/>
      <c r="V146" s="379"/>
      <c r="W146" s="379"/>
      <c r="X146" s="392"/>
      <c r="Y146" s="379"/>
      <c r="Z146" s="405"/>
      <c r="AA146" s="407"/>
      <c r="AB146" s="379"/>
      <c r="AC146" s="379"/>
      <c r="AD146" s="374"/>
      <c r="AF146" s="171"/>
    </row>
    <row r="147" spans="1:32" s="2" customFormat="1" ht="18" customHeight="1" x14ac:dyDescent="0.2">
      <c r="A147" s="369"/>
      <c r="B147" s="367"/>
      <c r="C147" s="13" t="s">
        <v>9</v>
      </c>
      <c r="D147" s="121">
        <v>21220802000</v>
      </c>
      <c r="E147" s="111">
        <v>21220802000</v>
      </c>
      <c r="F147" s="111"/>
      <c r="G147" s="111"/>
      <c r="H147" s="29"/>
      <c r="I147" s="376"/>
      <c r="J147" s="379"/>
      <c r="K147" s="400"/>
      <c r="L147" s="402"/>
      <c r="M147" s="388"/>
      <c r="N147" s="388"/>
      <c r="O147" s="179" t="s">
        <v>81</v>
      </c>
      <c r="P147" s="199">
        <f>IF('Tener en cuenta'!L22&gt;=0,IF('Tener en cuenta'!L22&lt;=5,20,IF('Tener en cuenta'!L22&lt;=10,30,40)))</f>
        <v>20</v>
      </c>
      <c r="Q147" s="351"/>
      <c r="R147" s="392"/>
      <c r="S147" s="379"/>
      <c r="T147" s="405"/>
      <c r="U147" s="407"/>
      <c r="V147" s="379"/>
      <c r="W147" s="379"/>
      <c r="X147" s="392"/>
      <c r="Y147" s="379"/>
      <c r="Z147" s="405"/>
      <c r="AA147" s="407"/>
      <c r="AB147" s="379"/>
      <c r="AC147" s="379"/>
      <c r="AD147" s="374"/>
      <c r="AF147" s="171"/>
    </row>
    <row r="148" spans="1:32" s="2" customFormat="1" ht="18" customHeight="1" x14ac:dyDescent="0.2">
      <c r="A148" s="369"/>
      <c r="B148" s="367"/>
      <c r="C148" s="13" t="s">
        <v>10</v>
      </c>
      <c r="D148" s="121">
        <v>25192037000</v>
      </c>
      <c r="E148" s="111">
        <v>25192037000</v>
      </c>
      <c r="F148" s="111"/>
      <c r="G148" s="111"/>
      <c r="H148" s="29"/>
      <c r="I148" s="376"/>
      <c r="J148" s="379"/>
      <c r="K148" s="400"/>
      <c r="L148" s="402"/>
      <c r="M148" s="388"/>
      <c r="N148" s="388"/>
      <c r="O148" s="179" t="s">
        <v>80</v>
      </c>
      <c r="P148" s="262">
        <f>'Tener en cuenta'!P22</f>
        <v>0</v>
      </c>
      <c r="Q148" s="352"/>
      <c r="R148" s="392"/>
      <c r="S148" s="379"/>
      <c r="T148" s="405"/>
      <c r="U148" s="407"/>
      <c r="V148" s="379"/>
      <c r="W148" s="379"/>
      <c r="X148" s="392"/>
      <c r="Y148" s="379"/>
      <c r="Z148" s="405"/>
      <c r="AA148" s="407"/>
      <c r="AB148" s="379"/>
      <c r="AC148" s="379"/>
      <c r="AD148" s="374"/>
      <c r="AF148" s="171"/>
    </row>
    <row r="149" spans="1:32" s="2" customFormat="1" ht="26.25" customHeight="1" x14ac:dyDescent="0.2">
      <c r="A149" s="369"/>
      <c r="B149" s="371" t="str">
        <f>CONCATENATE("NIT.  ",'Tener en cuenta'!E22)</f>
        <v>NIT.  890.319.494-5</v>
      </c>
      <c r="C149" s="13" t="s">
        <v>13</v>
      </c>
      <c r="D149" s="121">
        <v>5938064000</v>
      </c>
      <c r="E149" s="111">
        <v>5938064000</v>
      </c>
      <c r="F149" s="111"/>
      <c r="G149" s="111"/>
      <c r="H149" s="29"/>
      <c r="I149" s="376"/>
      <c r="J149" s="379"/>
      <c r="K149" s="400"/>
      <c r="L149" s="402"/>
      <c r="M149" s="388"/>
      <c r="N149" s="388"/>
      <c r="O149" s="355" t="str">
        <f>IF(Q144&gt;=($C$168*1000),'Tener en cuenta'!$AC$13,'Tener en cuenta'!$AC$14)</f>
        <v>CRP  NO Cumple</v>
      </c>
      <c r="P149" s="356"/>
      <c r="Q149" s="357"/>
      <c r="R149" s="392"/>
      <c r="S149" s="379"/>
      <c r="T149" s="405"/>
      <c r="U149" s="407"/>
      <c r="V149" s="379"/>
      <c r="W149" s="379"/>
      <c r="X149" s="392"/>
      <c r="Y149" s="379"/>
      <c r="Z149" s="405"/>
      <c r="AA149" s="407"/>
      <c r="AB149" s="379"/>
      <c r="AC149" s="379"/>
      <c r="AD149" s="374"/>
      <c r="AF149" s="171"/>
    </row>
    <row r="150" spans="1:32" s="7" customFormat="1" ht="24.75" customHeight="1" thickBot="1" x14ac:dyDescent="0.25">
      <c r="A150" s="370"/>
      <c r="B150" s="372"/>
      <c r="C150" s="30" t="s">
        <v>14</v>
      </c>
      <c r="D150" s="122">
        <v>5781000</v>
      </c>
      <c r="E150" s="112">
        <v>5781000</v>
      </c>
      <c r="F150" s="112"/>
      <c r="G150" s="112"/>
      <c r="H150" s="31"/>
      <c r="I150" s="377"/>
      <c r="J150" s="380"/>
      <c r="K150" s="401"/>
      <c r="L150" s="403"/>
      <c r="M150" s="389"/>
      <c r="N150" s="389"/>
      <c r="O150" s="358"/>
      <c r="P150" s="359"/>
      <c r="Q150" s="360"/>
      <c r="R150" s="393"/>
      <c r="S150" s="380"/>
      <c r="T150" s="406"/>
      <c r="U150" s="408"/>
      <c r="V150" s="380"/>
      <c r="W150" s="380"/>
      <c r="X150" s="393"/>
      <c r="Y150" s="380"/>
      <c r="Z150" s="406"/>
      <c r="AA150" s="408"/>
      <c r="AB150" s="380"/>
      <c r="AC150" s="380"/>
      <c r="AD150" s="43">
        <v>2023</v>
      </c>
      <c r="AF150" s="172"/>
    </row>
    <row r="151" spans="1:32" s="2" customFormat="1" ht="21.75" hidden="1" customHeight="1" x14ac:dyDescent="0.2">
      <c r="A151" s="368">
        <v>16</v>
      </c>
      <c r="B151" s="399">
        <f>'Tener en cuenta'!F23</f>
        <v>0</v>
      </c>
      <c r="C151" s="12" t="s">
        <v>11</v>
      </c>
      <c r="D151" s="121"/>
      <c r="E151" s="183"/>
      <c r="F151" s="118"/>
      <c r="G151" s="183"/>
      <c r="H151" s="108"/>
      <c r="I151" s="376" t="str">
        <f>IFERROR(+D151/D153,"indeterminado")</f>
        <v>indeterminado</v>
      </c>
      <c r="J151" s="379" t="str">
        <f>IFERROR(+(D154/D152),"indeterminado")</f>
        <v>indeterminado</v>
      </c>
      <c r="K151" s="382" t="str">
        <f>IFERROR(+D156/D157,"indeterminado")</f>
        <v>indeterminado</v>
      </c>
      <c r="L151" s="390">
        <f>+(D151-D153)</f>
        <v>0</v>
      </c>
      <c r="M151" s="388" t="str">
        <f>IFERROR(+D156/D155,"indeterminado")</f>
        <v>indeterminado</v>
      </c>
      <c r="N151" s="388" t="str">
        <f>IFERROR(+D156/D152,"indeterminado")</f>
        <v>indeterminado</v>
      </c>
      <c r="O151" s="179" t="s">
        <v>78</v>
      </c>
      <c r="P151" s="241">
        <f>IF('Tener en cuenta'!O23&gt;'Tener en cuenta'!$AH$30,'Tener en cuenta'!O23,'Tener en cuenta'!$AH$30)</f>
        <v>457297264</v>
      </c>
      <c r="Q151" s="350">
        <f>P151*((P152+P154+P153)/100)-P155</f>
        <v>548756716.79999995</v>
      </c>
      <c r="R151" s="392" t="e">
        <f>+G151/G153</f>
        <v>#DIV/0!</v>
      </c>
      <c r="S151" s="379" t="e">
        <f>+G154/G152</f>
        <v>#DIV/0!</v>
      </c>
      <c r="T151" s="394" t="s">
        <v>15</v>
      </c>
      <c r="U151" s="397">
        <f>+G151-G153</f>
        <v>0</v>
      </c>
      <c r="V151" s="379" t="e">
        <f>+G156/G155</f>
        <v>#DIV/0!</v>
      </c>
      <c r="W151" s="379" t="e">
        <f>+G156/G152</f>
        <v>#DIV/0!</v>
      </c>
      <c r="X151" s="392" t="e">
        <f>+D151/D153</f>
        <v>#DIV/0!</v>
      </c>
      <c r="Y151" s="379" t="e">
        <f>+D154/D152</f>
        <v>#DIV/0!</v>
      </c>
      <c r="Z151" s="394" t="s">
        <v>15</v>
      </c>
      <c r="AA151" s="397">
        <f>+D151-D153</f>
        <v>0</v>
      </c>
      <c r="AB151" s="379" t="e">
        <f>+D156/D155</f>
        <v>#DIV/0!</v>
      </c>
      <c r="AC151" s="379" t="e">
        <f>+D156/D152</f>
        <v>#DIV/0!</v>
      </c>
      <c r="AD151" s="48" t="s">
        <v>47</v>
      </c>
      <c r="AF151" s="171"/>
    </row>
    <row r="152" spans="1:32" s="2" customFormat="1" ht="18" hidden="1" customHeight="1" x14ac:dyDescent="0.2">
      <c r="A152" s="369"/>
      <c r="B152" s="367"/>
      <c r="C152" s="13" t="s">
        <v>12</v>
      </c>
      <c r="D152" s="121"/>
      <c r="E152" s="111"/>
      <c r="F152" s="111"/>
      <c r="G152" s="111"/>
      <c r="H152" s="29"/>
      <c r="I152" s="376"/>
      <c r="J152" s="379"/>
      <c r="K152" s="382"/>
      <c r="L152" s="390"/>
      <c r="M152" s="388"/>
      <c r="N152" s="388"/>
      <c r="O152" s="179" t="s">
        <v>82</v>
      </c>
      <c r="P152" s="199">
        <f>IF('Tener en cuenta'!N23&gt;=0,IF('Tener en cuenta'!N23&lt;=3,60,IF('Tener en cuenta'!N23&lt;=6,80,IF('Tener en cuenta'!N23&lt;=10,100,120))))</f>
        <v>60</v>
      </c>
      <c r="Q152" s="353"/>
      <c r="R152" s="392"/>
      <c r="S152" s="379"/>
      <c r="T152" s="395"/>
      <c r="U152" s="397"/>
      <c r="V152" s="379"/>
      <c r="W152" s="379"/>
      <c r="X152" s="392"/>
      <c r="Y152" s="379"/>
      <c r="Z152" s="395"/>
      <c r="AA152" s="397"/>
      <c r="AB152" s="379"/>
      <c r="AC152" s="379"/>
      <c r="AD152" s="373" t="s">
        <v>43</v>
      </c>
      <c r="AF152" s="171"/>
    </row>
    <row r="153" spans="1:32" s="2" customFormat="1" ht="18" hidden="1" customHeight="1" x14ac:dyDescent="0.2">
      <c r="A153" s="369"/>
      <c r="B153" s="367"/>
      <c r="C153" s="13" t="s">
        <v>8</v>
      </c>
      <c r="D153" s="121"/>
      <c r="E153" s="111"/>
      <c r="F153" s="111"/>
      <c r="G153" s="111"/>
      <c r="H153" s="29"/>
      <c r="I153" s="376"/>
      <c r="J153" s="379"/>
      <c r="K153" s="382"/>
      <c r="L153" s="390"/>
      <c r="M153" s="388"/>
      <c r="N153" s="388"/>
      <c r="O153" s="179" t="s">
        <v>79</v>
      </c>
      <c r="P153" s="199">
        <f>IF(I151&gt;=0,IF(I151&lt;=0.5,20,IF(I151&lt;=0.75,25,IF(I151&lt;=1,30,IF(I151&lt;=1.5,35,40)))))</f>
        <v>40</v>
      </c>
      <c r="Q153" s="353"/>
      <c r="R153" s="392"/>
      <c r="S153" s="379"/>
      <c r="T153" s="395"/>
      <c r="U153" s="397"/>
      <c r="V153" s="379"/>
      <c r="W153" s="379"/>
      <c r="X153" s="392"/>
      <c r="Y153" s="379"/>
      <c r="Z153" s="395"/>
      <c r="AA153" s="397"/>
      <c r="AB153" s="379"/>
      <c r="AC153" s="379"/>
      <c r="AD153" s="374"/>
      <c r="AF153" s="171"/>
    </row>
    <row r="154" spans="1:32" s="2" customFormat="1" ht="18" hidden="1" customHeight="1" x14ac:dyDescent="0.2">
      <c r="A154" s="369"/>
      <c r="B154" s="367"/>
      <c r="C154" s="13" t="s">
        <v>9</v>
      </c>
      <c r="D154" s="121"/>
      <c r="E154" s="111"/>
      <c r="F154" s="111"/>
      <c r="G154" s="111"/>
      <c r="H154" s="29"/>
      <c r="I154" s="376"/>
      <c r="J154" s="379"/>
      <c r="K154" s="382"/>
      <c r="L154" s="390"/>
      <c r="M154" s="388"/>
      <c r="N154" s="388"/>
      <c r="O154" s="179" t="s">
        <v>81</v>
      </c>
      <c r="P154" s="199">
        <f>IF('Tener en cuenta'!L23&gt;=0,IF('Tener en cuenta'!L23&lt;=5,20,IF('Tener en cuenta'!L23&lt;=10,30,40)))</f>
        <v>20</v>
      </c>
      <c r="Q154" s="353"/>
      <c r="R154" s="392"/>
      <c r="S154" s="379"/>
      <c r="T154" s="395"/>
      <c r="U154" s="397"/>
      <c r="V154" s="379"/>
      <c r="W154" s="379"/>
      <c r="X154" s="392"/>
      <c r="Y154" s="379"/>
      <c r="Z154" s="395"/>
      <c r="AA154" s="397"/>
      <c r="AB154" s="379"/>
      <c r="AC154" s="379"/>
      <c r="AD154" s="374"/>
      <c r="AF154" s="171"/>
    </row>
    <row r="155" spans="1:32" s="2" customFormat="1" ht="18" hidden="1" customHeight="1" x14ac:dyDescent="0.2">
      <c r="A155" s="369"/>
      <c r="B155" s="367"/>
      <c r="C155" s="13" t="s">
        <v>10</v>
      </c>
      <c r="D155" s="121"/>
      <c r="E155" s="111"/>
      <c r="F155" s="111"/>
      <c r="G155" s="111"/>
      <c r="H155" s="29"/>
      <c r="I155" s="376"/>
      <c r="J155" s="379"/>
      <c r="K155" s="382"/>
      <c r="L155" s="390"/>
      <c r="M155" s="388"/>
      <c r="N155" s="388"/>
      <c r="O155" s="179" t="s">
        <v>80</v>
      </c>
      <c r="P155" s="262">
        <f>'Tener en cuenta'!P23</f>
        <v>0</v>
      </c>
      <c r="Q155" s="354"/>
      <c r="R155" s="392"/>
      <c r="S155" s="379"/>
      <c r="T155" s="395"/>
      <c r="U155" s="397"/>
      <c r="V155" s="379"/>
      <c r="W155" s="379"/>
      <c r="X155" s="392"/>
      <c r="Y155" s="379"/>
      <c r="Z155" s="395"/>
      <c r="AA155" s="397"/>
      <c r="AB155" s="379"/>
      <c r="AC155" s="379"/>
      <c r="AD155" s="374"/>
      <c r="AF155" s="171"/>
    </row>
    <row r="156" spans="1:32" s="2" customFormat="1" ht="26.25" hidden="1" customHeight="1" x14ac:dyDescent="0.2">
      <c r="A156" s="369"/>
      <c r="B156" s="371" t="str">
        <f>CONCATENATE("NIT.  ",'Tener en cuenta'!E23)</f>
        <v xml:space="preserve">NIT.  </v>
      </c>
      <c r="C156" s="13" t="s">
        <v>13</v>
      </c>
      <c r="D156" s="121"/>
      <c r="E156" s="111"/>
      <c r="F156" s="111"/>
      <c r="G156" s="111"/>
      <c r="H156" s="29"/>
      <c r="I156" s="376"/>
      <c r="J156" s="379"/>
      <c r="K156" s="382"/>
      <c r="L156" s="390"/>
      <c r="M156" s="388"/>
      <c r="N156" s="388"/>
      <c r="O156" s="355" t="str">
        <f>IF(Q151&gt;=($C$168*1000),'Tener en cuenta'!$AC$13,'Tener en cuenta'!$AC$14)</f>
        <v>CRP  NO Cumple</v>
      </c>
      <c r="P156" s="361"/>
      <c r="Q156" s="362"/>
      <c r="R156" s="392"/>
      <c r="S156" s="379"/>
      <c r="T156" s="395"/>
      <c r="U156" s="397"/>
      <c r="V156" s="379"/>
      <c r="W156" s="379"/>
      <c r="X156" s="392"/>
      <c r="Y156" s="379"/>
      <c r="Z156" s="395"/>
      <c r="AA156" s="397"/>
      <c r="AB156" s="379"/>
      <c r="AC156" s="379"/>
      <c r="AD156" s="374"/>
      <c r="AF156" s="171"/>
    </row>
    <row r="157" spans="1:32" s="7" customFormat="1" ht="24.75" hidden="1" customHeight="1" thickBot="1" x14ac:dyDescent="0.25">
      <c r="A157" s="370"/>
      <c r="B157" s="372"/>
      <c r="C157" s="30" t="s">
        <v>14</v>
      </c>
      <c r="D157" s="122"/>
      <c r="E157" s="112"/>
      <c r="F157" s="112"/>
      <c r="G157" s="112"/>
      <c r="H157" s="31"/>
      <c r="I157" s="377"/>
      <c r="J157" s="380"/>
      <c r="K157" s="383"/>
      <c r="L157" s="391"/>
      <c r="M157" s="389"/>
      <c r="N157" s="389"/>
      <c r="O157" s="363"/>
      <c r="P157" s="364"/>
      <c r="Q157" s="365"/>
      <c r="R157" s="393"/>
      <c r="S157" s="380"/>
      <c r="T157" s="396"/>
      <c r="U157" s="398"/>
      <c r="V157" s="380"/>
      <c r="W157" s="380"/>
      <c r="X157" s="393"/>
      <c r="Y157" s="380"/>
      <c r="Z157" s="396"/>
      <c r="AA157" s="398"/>
      <c r="AB157" s="380"/>
      <c r="AC157" s="380"/>
      <c r="AD157" s="43" t="s">
        <v>51</v>
      </c>
      <c r="AF157" s="172"/>
    </row>
    <row r="158" spans="1:32" s="7" customFormat="1" ht="22.5" hidden="1" customHeight="1" x14ac:dyDescent="0.2">
      <c r="A158" s="368">
        <v>17</v>
      </c>
      <c r="B158" s="399"/>
      <c r="C158" s="12" t="s">
        <v>11</v>
      </c>
      <c r="D158" s="88"/>
      <c r="E158" s="12"/>
      <c r="F158" s="67"/>
      <c r="G158" s="12"/>
      <c r="H158" s="12"/>
      <c r="I158" s="376" t="str">
        <f>IFERROR(+D158/D160,"indeterminado")</f>
        <v>indeterminado</v>
      </c>
      <c r="J158" s="379" t="str">
        <f>IFERROR(+(D161/D159),"indeterminado")</f>
        <v>indeterminado</v>
      </c>
      <c r="K158" s="382" t="str">
        <f>IFERROR(+D163/D164,"indeterminado")</f>
        <v>indeterminado</v>
      </c>
      <c r="L158" s="390">
        <f>+(D158-D160)</f>
        <v>0</v>
      </c>
      <c r="M158" s="388" t="str">
        <f>IFERROR(+D163/D162,"indeterminado")</f>
        <v>indeterminado</v>
      </c>
      <c r="N158" s="388" t="str">
        <f>IFERROR(+D163/D159,"indeterminado")</f>
        <v>indeterminado</v>
      </c>
      <c r="O158" s="179" t="s">
        <v>78</v>
      </c>
      <c r="P158" s="241">
        <f>IF('Tener en cuenta'!O24&gt;'Tener en cuenta'!$AH$30,'Tener en cuenta'!O24,'Tener en cuenta'!$AH$30)</f>
        <v>457297264</v>
      </c>
      <c r="Q158" s="350">
        <f>P158*((P159+P161+P160)/100)-P162</f>
        <v>548756716.79999995</v>
      </c>
      <c r="R158" s="392" t="e">
        <f>+G158/G160</f>
        <v>#DIV/0!</v>
      </c>
      <c r="S158" s="379" t="e">
        <f>+G161/G159</f>
        <v>#DIV/0!</v>
      </c>
      <c r="T158" s="394" t="s">
        <v>15</v>
      </c>
      <c r="U158" s="397">
        <f>+G158-G160</f>
        <v>0</v>
      </c>
      <c r="V158" s="379" t="e">
        <f>+G163/G162</f>
        <v>#DIV/0!</v>
      </c>
      <c r="W158" s="379" t="e">
        <f>+G163/G159</f>
        <v>#DIV/0!</v>
      </c>
      <c r="X158" s="392" t="e">
        <f>+D158/D160</f>
        <v>#DIV/0!</v>
      </c>
      <c r="Y158" s="379" t="e">
        <f>+D161/D159</f>
        <v>#DIV/0!</v>
      </c>
      <c r="Z158" s="394" t="s">
        <v>15</v>
      </c>
      <c r="AA158" s="397">
        <f>+D158-D160</f>
        <v>0</v>
      </c>
      <c r="AB158" s="379" t="e">
        <f>+D163/D162</f>
        <v>#DIV/0!</v>
      </c>
      <c r="AC158" s="379" t="e">
        <f>+D163/D159</f>
        <v>#DIV/0!</v>
      </c>
      <c r="AD158" s="48" t="s">
        <v>47</v>
      </c>
      <c r="AF158" s="172"/>
    </row>
    <row r="159" spans="1:32" s="7" customFormat="1" ht="22.5" hidden="1" customHeight="1" x14ac:dyDescent="0.2">
      <c r="A159" s="369"/>
      <c r="B159" s="367"/>
      <c r="C159" s="13" t="s">
        <v>12</v>
      </c>
      <c r="D159" s="88"/>
      <c r="E159" s="13"/>
      <c r="F159" s="29"/>
      <c r="G159" s="13"/>
      <c r="H159" s="13"/>
      <c r="I159" s="376"/>
      <c r="J159" s="379"/>
      <c r="K159" s="382"/>
      <c r="L159" s="390"/>
      <c r="M159" s="388"/>
      <c r="N159" s="388"/>
      <c r="O159" s="179" t="s">
        <v>82</v>
      </c>
      <c r="P159" s="199">
        <f>IF('Tener en cuenta'!N24&gt;=0,IF('Tener en cuenta'!N24&lt;=3,60,IF('Tener en cuenta'!N24&lt;=6,80,IF('Tener en cuenta'!N24&lt;=10,100,120))))</f>
        <v>60</v>
      </c>
      <c r="Q159" s="353"/>
      <c r="R159" s="392"/>
      <c r="S159" s="379"/>
      <c r="T159" s="395"/>
      <c r="U159" s="397"/>
      <c r="V159" s="379"/>
      <c r="W159" s="379"/>
      <c r="X159" s="392"/>
      <c r="Y159" s="379"/>
      <c r="Z159" s="395"/>
      <c r="AA159" s="397"/>
      <c r="AB159" s="379"/>
      <c r="AC159" s="379"/>
      <c r="AD159" s="373" t="s">
        <v>43</v>
      </c>
      <c r="AF159" s="172"/>
    </row>
    <row r="160" spans="1:32" s="7" customFormat="1" ht="22.5" hidden="1" customHeight="1" x14ac:dyDescent="0.2">
      <c r="A160" s="369"/>
      <c r="B160" s="367"/>
      <c r="C160" s="13" t="s">
        <v>8</v>
      </c>
      <c r="D160" s="88"/>
      <c r="E160" s="13"/>
      <c r="F160" s="29"/>
      <c r="G160" s="13"/>
      <c r="H160" s="13"/>
      <c r="I160" s="376"/>
      <c r="J160" s="379"/>
      <c r="K160" s="382"/>
      <c r="L160" s="390"/>
      <c r="M160" s="388"/>
      <c r="N160" s="388"/>
      <c r="O160" s="179" t="s">
        <v>79</v>
      </c>
      <c r="P160" s="199">
        <f>IF(I158&gt;=0,IF(I158&lt;=0.5,20,IF(I158&lt;=0.75,25,IF(I158&lt;=1,30,IF(I158&lt;=1.5,35,40)))))</f>
        <v>40</v>
      </c>
      <c r="Q160" s="353"/>
      <c r="R160" s="392"/>
      <c r="S160" s="379"/>
      <c r="T160" s="395"/>
      <c r="U160" s="397"/>
      <c r="V160" s="379"/>
      <c r="W160" s="379"/>
      <c r="X160" s="392"/>
      <c r="Y160" s="379"/>
      <c r="Z160" s="395"/>
      <c r="AA160" s="397"/>
      <c r="AB160" s="379"/>
      <c r="AC160" s="379"/>
      <c r="AD160" s="374"/>
      <c r="AF160" s="172"/>
    </row>
    <row r="161" spans="1:32" s="7" customFormat="1" ht="22.5" hidden="1" customHeight="1" x14ac:dyDescent="0.2">
      <c r="A161" s="369"/>
      <c r="B161" s="367"/>
      <c r="C161" s="13" t="s">
        <v>9</v>
      </c>
      <c r="D161" s="88"/>
      <c r="E161" s="13"/>
      <c r="F161" s="29"/>
      <c r="G161" s="13"/>
      <c r="H161" s="13"/>
      <c r="I161" s="376"/>
      <c r="J161" s="379"/>
      <c r="K161" s="382"/>
      <c r="L161" s="390"/>
      <c r="M161" s="388"/>
      <c r="N161" s="388"/>
      <c r="O161" s="179" t="s">
        <v>81</v>
      </c>
      <c r="P161" s="199">
        <f>IF('Tener en cuenta'!L24&gt;=0,IF('Tener en cuenta'!L24&lt;=5,20,IF('Tener en cuenta'!L24&lt;=10,30,40)))</f>
        <v>20</v>
      </c>
      <c r="Q161" s="353"/>
      <c r="R161" s="392"/>
      <c r="S161" s="379"/>
      <c r="T161" s="395"/>
      <c r="U161" s="397"/>
      <c r="V161" s="379"/>
      <c r="W161" s="379"/>
      <c r="X161" s="392"/>
      <c r="Y161" s="379"/>
      <c r="Z161" s="395"/>
      <c r="AA161" s="397"/>
      <c r="AB161" s="379"/>
      <c r="AC161" s="379"/>
      <c r="AD161" s="374"/>
      <c r="AF161" s="172"/>
    </row>
    <row r="162" spans="1:32" s="7" customFormat="1" ht="22.5" hidden="1" customHeight="1" x14ac:dyDescent="0.2">
      <c r="A162" s="369"/>
      <c r="B162" s="367"/>
      <c r="C162" s="13" t="s">
        <v>10</v>
      </c>
      <c r="D162" s="88"/>
      <c r="E162" s="13"/>
      <c r="F162" s="29"/>
      <c r="G162" s="13"/>
      <c r="H162" s="13"/>
      <c r="I162" s="376"/>
      <c r="J162" s="379"/>
      <c r="K162" s="382"/>
      <c r="L162" s="390"/>
      <c r="M162" s="388"/>
      <c r="N162" s="388"/>
      <c r="O162" s="179" t="s">
        <v>80</v>
      </c>
      <c r="P162" s="262">
        <f>'Tener en cuenta'!P24</f>
        <v>0</v>
      </c>
      <c r="Q162" s="354"/>
      <c r="R162" s="392"/>
      <c r="S162" s="379"/>
      <c r="T162" s="395"/>
      <c r="U162" s="397"/>
      <c r="V162" s="379"/>
      <c r="W162" s="379"/>
      <c r="X162" s="392"/>
      <c r="Y162" s="379"/>
      <c r="Z162" s="395"/>
      <c r="AA162" s="397"/>
      <c r="AB162" s="379"/>
      <c r="AC162" s="379"/>
      <c r="AD162" s="374"/>
      <c r="AF162" s="172"/>
    </row>
    <row r="163" spans="1:32" s="7" customFormat="1" ht="22.5" hidden="1" customHeight="1" x14ac:dyDescent="0.2">
      <c r="A163" s="369"/>
      <c r="B163" s="371" t="str">
        <f>CONCATENATE("NIT.  ",'Tener en cuenta'!E24)</f>
        <v xml:space="preserve">NIT.  </v>
      </c>
      <c r="C163" s="13" t="s">
        <v>13</v>
      </c>
      <c r="D163" s="88"/>
      <c r="E163" s="13"/>
      <c r="F163" s="29"/>
      <c r="G163" s="13"/>
      <c r="H163" s="13"/>
      <c r="I163" s="376"/>
      <c r="J163" s="379"/>
      <c r="K163" s="382"/>
      <c r="L163" s="390"/>
      <c r="M163" s="388"/>
      <c r="N163" s="388"/>
      <c r="O163" s="355" t="str">
        <f>IF(Q158&gt;=($C$168*1000),'Tener en cuenta'!$AC$13,'Tener en cuenta'!$AC$14)</f>
        <v>CRP  NO Cumple</v>
      </c>
      <c r="P163" s="361"/>
      <c r="Q163" s="362"/>
      <c r="R163" s="392"/>
      <c r="S163" s="379"/>
      <c r="T163" s="395"/>
      <c r="U163" s="397"/>
      <c r="V163" s="379"/>
      <c r="W163" s="379"/>
      <c r="X163" s="392"/>
      <c r="Y163" s="379"/>
      <c r="Z163" s="395"/>
      <c r="AA163" s="397"/>
      <c r="AB163" s="379"/>
      <c r="AC163" s="379"/>
      <c r="AD163" s="374"/>
      <c r="AF163" s="172"/>
    </row>
    <row r="164" spans="1:32" s="7" customFormat="1" ht="22.5" hidden="1" customHeight="1" thickBot="1" x14ac:dyDescent="0.25">
      <c r="A164" s="370"/>
      <c r="B164" s="372"/>
      <c r="C164" s="30" t="s">
        <v>14</v>
      </c>
      <c r="D164" s="89"/>
      <c r="E164" s="30"/>
      <c r="F164" s="31"/>
      <c r="G164" s="30"/>
      <c r="H164" s="30"/>
      <c r="I164" s="377"/>
      <c r="J164" s="380"/>
      <c r="K164" s="383"/>
      <c r="L164" s="391"/>
      <c r="M164" s="389"/>
      <c r="N164" s="389"/>
      <c r="O164" s="363"/>
      <c r="P164" s="364"/>
      <c r="Q164" s="365"/>
      <c r="R164" s="393"/>
      <c r="S164" s="380"/>
      <c r="T164" s="396"/>
      <c r="U164" s="398"/>
      <c r="V164" s="380"/>
      <c r="W164" s="380"/>
      <c r="X164" s="393"/>
      <c r="Y164" s="380"/>
      <c r="Z164" s="396"/>
      <c r="AA164" s="398"/>
      <c r="AB164" s="380"/>
      <c r="AC164" s="380"/>
      <c r="AD164" s="43" t="s">
        <v>51</v>
      </c>
      <c r="AF164" s="172"/>
    </row>
    <row r="165" spans="1:32" s="7" customFormat="1" ht="24.75" customHeight="1" x14ac:dyDescent="0.2">
      <c r="A165" s="16"/>
      <c r="B165" s="57"/>
      <c r="C165" s="18"/>
      <c r="D165" s="90"/>
      <c r="E165" s="58"/>
      <c r="F165" s="58"/>
      <c r="G165" s="18"/>
      <c r="H165" s="19"/>
      <c r="I165" s="59"/>
      <c r="J165" s="60"/>
      <c r="K165" s="61"/>
      <c r="L165" s="62"/>
      <c r="M165" s="63"/>
      <c r="N165" s="63"/>
      <c r="O165" s="63"/>
      <c r="P165" s="202"/>
      <c r="Q165" s="63"/>
      <c r="R165" s="64"/>
      <c r="S165" s="60"/>
      <c r="T165" s="65"/>
      <c r="U165" s="62"/>
      <c r="V165" s="60"/>
      <c r="W165" s="60"/>
      <c r="X165" s="64"/>
      <c r="Y165" s="60"/>
      <c r="Z165" s="65"/>
      <c r="AA165" s="62"/>
      <c r="AB165" s="60"/>
      <c r="AC165" s="60"/>
      <c r="AD165" s="66"/>
      <c r="AF165" s="172"/>
    </row>
    <row r="166" spans="1:32" s="7" customFormat="1" ht="18" customHeight="1" x14ac:dyDescent="0.2">
      <c r="A166" s="16"/>
      <c r="B166" s="17"/>
      <c r="C166" s="18"/>
      <c r="D166" s="91"/>
      <c r="E166" s="18"/>
      <c r="F166" s="18"/>
      <c r="G166" s="18"/>
      <c r="H166" s="19"/>
      <c r="I166" s="19"/>
      <c r="J166" s="19"/>
      <c r="K166" s="19"/>
      <c r="L166" s="19"/>
      <c r="M166" s="19"/>
      <c r="N166" s="19"/>
      <c r="O166" s="19"/>
      <c r="P166" s="203"/>
      <c r="Q166" s="19"/>
      <c r="R166" s="19"/>
      <c r="S166" s="19"/>
      <c r="T166" s="19"/>
      <c r="U166" s="19"/>
      <c r="V166" s="19"/>
      <c r="W166" s="19"/>
      <c r="X166" s="20"/>
      <c r="Y166" s="21"/>
      <c r="Z166" s="20"/>
      <c r="AA166" s="20"/>
      <c r="AB166" s="21"/>
      <c r="AC166" s="21"/>
      <c r="AD166" s="22"/>
      <c r="AF166" s="172"/>
    </row>
    <row r="167" spans="1:32" s="7" customFormat="1" ht="18" customHeight="1" x14ac:dyDescent="0.2">
      <c r="A167" s="16"/>
      <c r="B167" s="17"/>
      <c r="C167" s="18"/>
      <c r="D167" s="91"/>
      <c r="E167" s="18"/>
      <c r="F167" s="18"/>
      <c r="G167" s="18"/>
      <c r="H167" s="19"/>
      <c r="I167" s="222" t="s">
        <v>101</v>
      </c>
      <c r="J167" s="222" t="s">
        <v>102</v>
      </c>
      <c r="K167" s="19"/>
      <c r="L167" s="19"/>
      <c r="M167" s="19"/>
      <c r="N167" s="19"/>
      <c r="O167" s="19"/>
      <c r="P167" s="203"/>
      <c r="Q167" s="19"/>
      <c r="R167" s="19"/>
      <c r="S167" s="19"/>
      <c r="T167" s="19"/>
      <c r="U167" s="19"/>
      <c r="V167" s="19"/>
      <c r="W167" s="19"/>
      <c r="X167" s="20"/>
      <c r="Y167" s="21"/>
      <c r="Z167" s="20"/>
      <c r="AA167" s="20"/>
      <c r="AB167" s="21"/>
      <c r="AC167" s="21"/>
      <c r="AD167" s="22"/>
      <c r="AF167" s="172"/>
    </row>
    <row r="168" spans="1:32" s="2" customFormat="1" ht="18" customHeight="1" x14ac:dyDescent="0.25">
      <c r="A168" s="1"/>
      <c r="B168" s="44" t="s">
        <v>49</v>
      </c>
      <c r="C168" s="143">
        <f>I168/1000</f>
        <v>903347.58499999996</v>
      </c>
      <c r="D168" s="92" t="s">
        <v>50</v>
      </c>
      <c r="E168" s="68"/>
      <c r="F168" s="68"/>
      <c r="G168" s="10"/>
      <c r="I168" s="315">
        <v>903347585</v>
      </c>
      <c r="J168" s="223">
        <v>0</v>
      </c>
      <c r="K168" s="23"/>
      <c r="L168" s="23"/>
      <c r="M168" s="23"/>
      <c r="N168" s="23"/>
      <c r="O168" s="23"/>
      <c r="P168" s="204"/>
      <c r="Q168" s="23"/>
      <c r="R168" s="23"/>
      <c r="S168" s="23"/>
      <c r="T168" s="23"/>
      <c r="U168" s="23"/>
      <c r="V168" s="23"/>
      <c r="W168" s="23"/>
      <c r="X168" s="8"/>
      <c r="Y168" s="1"/>
      <c r="Z168" s="3"/>
      <c r="AA168" s="1"/>
      <c r="AB168" s="15"/>
      <c r="AC168" s="15"/>
      <c r="AD168" s="14"/>
      <c r="AF168" s="171"/>
    </row>
    <row r="169" spans="1:32" s="2" customFormat="1" ht="18" customHeight="1" x14ac:dyDescent="0.25">
      <c r="A169" s="1"/>
      <c r="B169" s="45" t="s">
        <v>16</v>
      </c>
      <c r="C169" s="316">
        <v>7</v>
      </c>
      <c r="D169" s="93" t="s">
        <v>46</v>
      </c>
      <c r="E169" s="297"/>
      <c r="F169" s="68"/>
      <c r="G169" s="10"/>
      <c r="I169" s="10"/>
      <c r="J169" s="10"/>
      <c r="K169" s="10"/>
      <c r="L169" s="10"/>
      <c r="M169" s="10"/>
      <c r="N169" s="10"/>
      <c r="O169" s="10"/>
      <c r="P169" s="204"/>
      <c r="Q169" s="10"/>
      <c r="R169" s="10"/>
      <c r="S169" s="10"/>
      <c r="T169" s="10"/>
      <c r="U169" s="10"/>
      <c r="V169" s="10"/>
      <c r="W169" s="10"/>
      <c r="X169" s="1"/>
      <c r="Y169" s="1"/>
      <c r="Z169" s="3"/>
      <c r="AA169" s="1"/>
      <c r="AB169" s="15"/>
      <c r="AC169" s="15"/>
      <c r="AD169" s="14"/>
      <c r="AF169" s="171"/>
    </row>
    <row r="170" spans="1:32" s="2" customFormat="1" ht="18" customHeight="1" x14ac:dyDescent="0.25">
      <c r="A170" s="1"/>
      <c r="B170" s="46" t="str">
        <f>CONCATENATE("VP= ",D170*100,"% VPO (en miles)")</f>
        <v>VP= 58% VPO (en miles)</v>
      </c>
      <c r="C170" s="144">
        <f>ROUND(C168*D170,0)</f>
        <v>523942</v>
      </c>
      <c r="D170" s="106">
        <f>'Tener en cuenta'!U2</f>
        <v>0.57999999999999996</v>
      </c>
      <c r="E170" s="69"/>
      <c r="F170" s="69"/>
      <c r="G170" s="10"/>
      <c r="I170" s="24"/>
      <c r="J170" s="24"/>
      <c r="K170" s="24"/>
      <c r="L170" s="24"/>
      <c r="M170" s="24"/>
      <c r="N170" s="24"/>
      <c r="O170" s="24"/>
      <c r="P170" s="205"/>
      <c r="Q170" s="24"/>
      <c r="R170" s="24"/>
      <c r="S170" s="24"/>
      <c r="T170" s="24"/>
      <c r="U170" s="24"/>
      <c r="V170" s="24"/>
      <c r="W170" s="24"/>
      <c r="X170" s="9"/>
      <c r="Y170" s="1"/>
      <c r="Z170" s="3"/>
      <c r="AA170" s="1"/>
      <c r="AB170" s="15"/>
      <c r="AC170" s="15"/>
      <c r="AD170" s="14"/>
      <c r="AF170" s="171"/>
    </row>
    <row r="171" spans="1:32" s="2" customFormat="1" ht="18" customHeight="1" x14ac:dyDescent="0.25">
      <c r="A171" s="1"/>
      <c r="B171" s="35" t="s">
        <v>65</v>
      </c>
      <c r="C171" s="105" t="s">
        <v>133</v>
      </c>
      <c r="D171" s="314">
        <v>923</v>
      </c>
      <c r="E171" s="10"/>
      <c r="F171" s="10"/>
      <c r="G171" s="10"/>
      <c r="H171" s="11"/>
      <c r="I171" s="11"/>
      <c r="J171" s="11"/>
      <c r="K171" s="11"/>
      <c r="L171" s="11"/>
      <c r="M171" s="11"/>
      <c r="N171" s="11"/>
      <c r="O171" s="11"/>
      <c r="P171" s="204"/>
      <c r="Q171" s="11"/>
      <c r="R171" s="11"/>
      <c r="S171" s="11"/>
      <c r="T171" s="11"/>
      <c r="U171" s="11"/>
      <c r="V171" s="11"/>
      <c r="W171" s="11"/>
      <c r="X171" s="9"/>
      <c r="Y171" s="1"/>
      <c r="Z171" s="3"/>
      <c r="AA171" s="1"/>
      <c r="AB171" s="15"/>
      <c r="AC171" s="15"/>
      <c r="AD171" s="14"/>
      <c r="AF171" s="171"/>
    </row>
    <row r="172" spans="1:32" s="2" customFormat="1" ht="18" customHeight="1" x14ac:dyDescent="0.25">
      <c r="A172" s="1"/>
      <c r="B172" s="1"/>
      <c r="C172" s="10"/>
      <c r="D172" s="94"/>
      <c r="E172" s="10"/>
      <c r="F172" s="10"/>
      <c r="G172" s="10"/>
      <c r="H172" s="11"/>
      <c r="I172" s="11"/>
      <c r="J172" s="11"/>
      <c r="K172" s="11"/>
      <c r="L172" s="11"/>
      <c r="M172" s="11"/>
      <c r="N172" s="11"/>
      <c r="O172" s="11"/>
      <c r="P172" s="204"/>
      <c r="Q172" s="11"/>
      <c r="R172" s="11"/>
      <c r="S172" s="11"/>
      <c r="T172" s="11"/>
      <c r="U172" s="11"/>
      <c r="V172" s="11"/>
      <c r="W172" s="11"/>
      <c r="X172" s="9"/>
      <c r="Y172" s="1"/>
      <c r="Z172" s="3"/>
      <c r="AA172" s="1"/>
      <c r="AB172" s="15"/>
      <c r="AC172" s="15"/>
      <c r="AD172" s="14"/>
      <c r="AF172" s="171"/>
    </row>
    <row r="173" spans="1:32" s="2" customFormat="1" ht="18" customHeight="1" x14ac:dyDescent="0.25">
      <c r="A173" s="1"/>
      <c r="B173" s="49" t="s">
        <v>17</v>
      </c>
      <c r="C173" s="307" t="s">
        <v>52</v>
      </c>
      <c r="D173" s="95"/>
      <c r="E173" s="50"/>
      <c r="F173" s="50"/>
      <c r="G173" s="50"/>
      <c r="H173" s="309"/>
      <c r="I173" s="11"/>
      <c r="J173" s="36"/>
      <c r="K173" s="11"/>
      <c r="L173" s="11"/>
      <c r="M173" s="11"/>
      <c r="N173" s="11"/>
      <c r="O173" s="11"/>
      <c r="P173" s="204"/>
      <c r="Q173" s="11"/>
      <c r="R173" s="1"/>
      <c r="S173" s="1"/>
      <c r="T173" s="1"/>
      <c r="U173" s="1"/>
      <c r="V173" s="1"/>
      <c r="W173" s="1"/>
      <c r="X173" s="1"/>
      <c r="Y173" s="1"/>
      <c r="Z173" s="3"/>
      <c r="AA173" s="1"/>
      <c r="AB173" s="15"/>
      <c r="AC173" s="15"/>
      <c r="AD173" s="14"/>
      <c r="AF173" s="171"/>
    </row>
    <row r="174" spans="1:32" s="2" customFormat="1" ht="18" customHeight="1" x14ac:dyDescent="0.25">
      <c r="A174" s="1"/>
      <c r="C174" s="51" t="s">
        <v>53</v>
      </c>
      <c r="D174" s="96"/>
      <c r="E174" s="52"/>
      <c r="F174" s="52"/>
      <c r="G174" s="51"/>
      <c r="H174" s="309"/>
      <c r="I174" s="11"/>
      <c r="J174" s="11"/>
      <c r="K174" s="11"/>
      <c r="L174" s="11"/>
      <c r="M174" s="11"/>
      <c r="N174" s="11"/>
      <c r="O174" s="11"/>
      <c r="P174" s="204"/>
      <c r="Q174" s="11"/>
      <c r="R174" s="1"/>
      <c r="S174" s="1"/>
      <c r="T174" s="1"/>
      <c r="U174" s="1"/>
      <c r="V174" s="1"/>
      <c r="W174" s="1"/>
      <c r="X174" s="1"/>
      <c r="Y174" s="1"/>
      <c r="Z174" s="3"/>
      <c r="AA174" s="1"/>
      <c r="AB174" s="15"/>
      <c r="AC174" s="15"/>
      <c r="AD174" s="14"/>
      <c r="AF174" s="171"/>
    </row>
    <row r="175" spans="1:32" s="7" customFormat="1" ht="18" customHeight="1" x14ac:dyDescent="0.25">
      <c r="A175" s="1"/>
      <c r="B175" s="49" t="s">
        <v>7</v>
      </c>
      <c r="C175" s="306" t="s">
        <v>139</v>
      </c>
      <c r="D175" s="96"/>
      <c r="E175" s="52"/>
      <c r="F175" s="52"/>
      <c r="G175" s="51"/>
      <c r="H175" s="310"/>
      <c r="I175" s="11"/>
      <c r="J175" s="11"/>
      <c r="K175" s="11"/>
      <c r="L175" s="11"/>
      <c r="M175" s="11"/>
      <c r="N175" s="11"/>
      <c r="O175" s="11"/>
      <c r="P175" s="204"/>
      <c r="Q175" s="11"/>
      <c r="R175" s="5"/>
      <c r="S175" s="5"/>
      <c r="T175" s="5"/>
      <c r="U175" s="5"/>
      <c r="V175" s="5"/>
      <c r="W175" s="5"/>
      <c r="X175" s="1"/>
      <c r="Y175" s="1"/>
      <c r="Z175" s="3"/>
      <c r="AA175" s="1"/>
      <c r="AB175" s="15"/>
      <c r="AC175" s="15"/>
      <c r="AD175" s="14"/>
      <c r="AF175" s="172"/>
    </row>
    <row r="176" spans="1:32" s="2" customFormat="1" ht="18" customHeight="1" x14ac:dyDescent="0.25">
      <c r="A176" s="1"/>
      <c r="B176" s="53"/>
      <c r="C176" s="51" t="s">
        <v>138</v>
      </c>
      <c r="D176" s="97"/>
      <c r="G176" s="311"/>
      <c r="H176" s="310"/>
      <c r="I176" s="11"/>
      <c r="J176" s="11"/>
      <c r="K176" s="11"/>
      <c r="L176" s="11"/>
      <c r="M176" s="11"/>
      <c r="N176" s="11"/>
      <c r="O176" s="11"/>
      <c r="P176" s="204"/>
      <c r="Q176" s="11"/>
      <c r="R176" s="5"/>
      <c r="S176" s="5"/>
      <c r="T176" s="5"/>
      <c r="U176" s="5"/>
      <c r="V176" s="5"/>
      <c r="W176" s="5"/>
      <c r="X176" s="1"/>
      <c r="Y176" s="1"/>
      <c r="Z176" s="3"/>
      <c r="AA176" s="1"/>
      <c r="AB176" s="15"/>
      <c r="AC176" s="15"/>
      <c r="AD176" s="14"/>
      <c r="AF176" s="171"/>
    </row>
    <row r="177" spans="1:32" s="2" customFormat="1" ht="18" customHeight="1" x14ac:dyDescent="0.25">
      <c r="A177" s="1"/>
      <c r="B177" s="1"/>
      <c r="C177" s="10"/>
      <c r="D177" s="94"/>
      <c r="E177" s="10"/>
      <c r="F177" s="10"/>
      <c r="G177" s="10"/>
      <c r="H177" s="11"/>
      <c r="I177" s="10"/>
      <c r="J177" s="10"/>
      <c r="K177" s="10"/>
      <c r="L177" s="10"/>
      <c r="M177" s="10"/>
      <c r="N177" s="10"/>
      <c r="O177" s="10"/>
      <c r="P177" s="204"/>
      <c r="Q177" s="10"/>
      <c r="R177" s="11"/>
      <c r="S177" s="11"/>
      <c r="T177" s="11"/>
      <c r="U177" s="11"/>
      <c r="V177" s="11"/>
      <c r="W177" s="11"/>
      <c r="X177" s="9"/>
      <c r="Y177" s="1"/>
      <c r="Z177" s="3"/>
      <c r="AA177" s="1"/>
      <c r="AB177" s="15"/>
      <c r="AC177" s="15"/>
      <c r="AD177" s="14"/>
      <c r="AF177" s="171"/>
    </row>
    <row r="178" spans="1:32" s="2" customFormat="1" ht="18" customHeight="1" x14ac:dyDescent="0.25">
      <c r="A178" s="1"/>
      <c r="B178" s="35"/>
      <c r="C178" s="10"/>
      <c r="D178" s="94"/>
      <c r="E178" s="10"/>
      <c r="F178" s="10"/>
      <c r="G178" s="10"/>
      <c r="H178" s="11"/>
      <c r="I178" s="11"/>
      <c r="J178" s="11"/>
      <c r="K178" s="11"/>
      <c r="L178" s="11"/>
      <c r="M178" s="11"/>
      <c r="N178" s="11"/>
      <c r="O178" s="11"/>
      <c r="P178" s="204"/>
      <c r="Q178" s="11"/>
      <c r="R178" s="11"/>
      <c r="S178" s="11"/>
      <c r="T178" s="11"/>
      <c r="U178" s="11"/>
      <c r="V178" s="11"/>
      <c r="W178" s="11"/>
      <c r="X178" s="9"/>
      <c r="Y178" s="1"/>
      <c r="Z178" s="3"/>
      <c r="AA178" s="1"/>
      <c r="AB178" s="15"/>
      <c r="AC178" s="15"/>
      <c r="AD178" s="14"/>
      <c r="AF178" s="171"/>
    </row>
    <row r="179" spans="1:32" s="2" customFormat="1" ht="18" customHeight="1" x14ac:dyDescent="0.25">
      <c r="A179" s="1"/>
      <c r="B179" s="1"/>
      <c r="C179" s="10"/>
      <c r="D179" s="94"/>
      <c r="E179" s="10"/>
      <c r="F179" s="10"/>
      <c r="G179" s="10"/>
      <c r="H179" s="10"/>
      <c r="I179" s="10"/>
      <c r="J179" s="10"/>
      <c r="K179" s="10"/>
      <c r="L179" s="10"/>
      <c r="M179" s="10"/>
      <c r="N179" s="10"/>
      <c r="O179" s="10"/>
      <c r="P179" s="204"/>
      <c r="Q179" s="10"/>
      <c r="R179" s="10"/>
      <c r="S179" s="10"/>
      <c r="T179" s="10"/>
      <c r="U179" s="10"/>
      <c r="V179" s="10"/>
      <c r="W179" s="10"/>
      <c r="X179" s="1"/>
      <c r="Y179" s="1"/>
      <c r="Z179" s="3"/>
      <c r="AA179" s="1"/>
      <c r="AB179" s="15"/>
      <c r="AC179" s="15"/>
      <c r="AD179" s="14"/>
      <c r="AF179" s="171"/>
    </row>
    <row r="180" spans="1:32" s="2" customFormat="1" ht="18" customHeight="1" x14ac:dyDescent="0.25">
      <c r="A180" s="1"/>
      <c r="B180" s="1"/>
      <c r="C180" s="1"/>
      <c r="D180" s="98"/>
      <c r="E180" s="1"/>
      <c r="F180" s="1"/>
      <c r="G180" s="1"/>
      <c r="H180" s="1"/>
      <c r="I180" s="1"/>
      <c r="J180" s="1"/>
      <c r="K180" s="1"/>
      <c r="L180" s="1"/>
      <c r="M180" s="1"/>
      <c r="N180" s="1"/>
      <c r="O180" s="1"/>
      <c r="P180" s="206"/>
      <c r="Q180" s="1"/>
      <c r="R180" s="1"/>
      <c r="S180" s="1"/>
      <c r="T180" s="1"/>
      <c r="U180" s="1"/>
      <c r="V180" s="1"/>
      <c r="W180" s="1"/>
      <c r="X180" s="1"/>
      <c r="Y180" s="1"/>
      <c r="Z180" s="3"/>
      <c r="AA180" s="1"/>
      <c r="AB180" s="15"/>
      <c r="AC180" s="15"/>
      <c r="AD180" s="14"/>
      <c r="AF180" s="171"/>
    </row>
    <row r="181" spans="1:32" s="2" customFormat="1" ht="18" customHeight="1" x14ac:dyDescent="0.25">
      <c r="A181" s="1"/>
      <c r="B181" s="1"/>
      <c r="C181" s="1"/>
      <c r="D181" s="98"/>
      <c r="E181" s="1"/>
      <c r="F181" s="1"/>
      <c r="G181" s="1"/>
      <c r="H181" s="1"/>
      <c r="I181" s="1"/>
      <c r="J181" s="1"/>
      <c r="K181" s="1"/>
      <c r="L181" s="1"/>
      <c r="M181" s="1"/>
      <c r="N181" s="1"/>
      <c r="O181" s="1"/>
      <c r="P181" s="206"/>
      <c r="Q181" s="1"/>
      <c r="R181" s="1"/>
      <c r="S181" s="1"/>
      <c r="T181" s="1"/>
      <c r="U181" s="1"/>
      <c r="V181" s="1"/>
      <c r="W181" s="1"/>
      <c r="X181" s="1"/>
      <c r="Y181" s="1"/>
      <c r="Z181" s="3"/>
      <c r="AA181" s="1"/>
      <c r="AB181" s="15"/>
      <c r="AC181" s="15"/>
      <c r="AD181" s="14"/>
      <c r="AF181" s="171"/>
    </row>
    <row r="182" spans="1:32" s="7" customFormat="1" ht="18" customHeight="1" x14ac:dyDescent="0.25">
      <c r="A182" s="1"/>
      <c r="B182" s="1"/>
      <c r="C182" s="1"/>
      <c r="D182" s="98"/>
      <c r="E182" s="1"/>
      <c r="F182" s="1"/>
      <c r="G182" s="1"/>
      <c r="H182" s="1"/>
      <c r="I182" s="1"/>
      <c r="J182" s="1"/>
      <c r="K182" s="1"/>
      <c r="L182" s="1"/>
      <c r="M182" s="1"/>
      <c r="N182" s="1"/>
      <c r="O182" s="1"/>
      <c r="P182" s="206"/>
      <c r="Q182" s="1"/>
      <c r="R182" s="1"/>
      <c r="S182" s="1"/>
      <c r="T182" s="1"/>
      <c r="U182" s="1"/>
      <c r="V182" s="1"/>
      <c r="W182" s="1"/>
      <c r="X182" s="1"/>
      <c r="Y182" s="1"/>
      <c r="Z182" s="3"/>
      <c r="AA182" s="1"/>
      <c r="AB182" s="15"/>
      <c r="AC182" s="15"/>
      <c r="AD182" s="14"/>
      <c r="AF182" s="172"/>
    </row>
    <row r="183" spans="1:32" ht="15.75" customHeight="1" x14ac:dyDescent="0.25"/>
    <row r="184" spans="1:32" ht="15.75" customHeight="1" x14ac:dyDescent="0.25"/>
  </sheetData>
  <autoFilter ref="A6:AD164" xr:uid="{00000000-0009-0000-0000-000000000000}"/>
  <mergeCells count="537">
    <mergeCell ref="O5:P6"/>
    <mergeCell ref="Q5:R6"/>
    <mergeCell ref="A4:D4"/>
    <mergeCell ref="B7:B11"/>
    <mergeCell ref="B12:B13"/>
    <mergeCell ref="B14:B18"/>
    <mergeCell ref="B19:B20"/>
    <mergeCell ref="B21:B25"/>
    <mergeCell ref="B26:B27"/>
    <mergeCell ref="I21:I27"/>
    <mergeCell ref="J21:J27"/>
    <mergeCell ref="K21:K27"/>
    <mergeCell ref="L21:L27"/>
    <mergeCell ref="M21:M27"/>
    <mergeCell ref="N21:N27"/>
    <mergeCell ref="R21:R27"/>
    <mergeCell ref="R4:W4"/>
    <mergeCell ref="N5:N6"/>
    <mergeCell ref="S5:S6"/>
    <mergeCell ref="S21:S27"/>
    <mergeCell ref="T21:T27"/>
    <mergeCell ref="M7:M13"/>
    <mergeCell ref="T14:T20"/>
    <mergeCell ref="U14:U20"/>
    <mergeCell ref="B34:B35"/>
    <mergeCell ref="A29:A35"/>
    <mergeCell ref="A21:A27"/>
    <mergeCell ref="A14:A20"/>
    <mergeCell ref="A7:A13"/>
    <mergeCell ref="B29:B32"/>
    <mergeCell ref="AD15:AD19"/>
    <mergeCell ref="AD22:AD26"/>
    <mergeCell ref="AD30:AD34"/>
    <mergeCell ref="AD8:AD12"/>
    <mergeCell ref="Y29:Y35"/>
    <mergeCell ref="Z29:Z35"/>
    <mergeCell ref="AA29:AA35"/>
    <mergeCell ref="AB29:AB35"/>
    <mergeCell ref="AC29:AC35"/>
    <mergeCell ref="Y14:Y20"/>
    <mergeCell ref="Z14:Z20"/>
    <mergeCell ref="AA14:AA20"/>
    <mergeCell ref="AB14:AB20"/>
    <mergeCell ref="AC14:AC20"/>
    <mergeCell ref="I29:I35"/>
    <mergeCell ref="J29:J35"/>
    <mergeCell ref="K29:K35"/>
    <mergeCell ref="L29:L35"/>
    <mergeCell ref="AC21:AC27"/>
    <mergeCell ref="U21:U27"/>
    <mergeCell ref="V21:V27"/>
    <mergeCell ref="W21:W27"/>
    <mergeCell ref="X21:X27"/>
    <mergeCell ref="M29:M35"/>
    <mergeCell ref="N29:N35"/>
    <mergeCell ref="R29:R35"/>
    <mergeCell ref="S29:S35"/>
    <mergeCell ref="T29:T35"/>
    <mergeCell ref="U29:U35"/>
    <mergeCell ref="V29:V35"/>
    <mergeCell ref="W29:W35"/>
    <mergeCell ref="X29:X35"/>
    <mergeCell ref="N14:N20"/>
    <mergeCell ref="R14:R20"/>
    <mergeCell ref="S14:S20"/>
    <mergeCell ref="S7:S13"/>
    <mergeCell ref="T7:T13"/>
    <mergeCell ref="Y21:Y27"/>
    <mergeCell ref="Z21:Z27"/>
    <mergeCell ref="AA21:AA27"/>
    <mergeCell ref="AB21:AB27"/>
    <mergeCell ref="I14:I20"/>
    <mergeCell ref="J14:J20"/>
    <mergeCell ref="K14:K20"/>
    <mergeCell ref="N7:N13"/>
    <mergeCell ref="R7:R13"/>
    <mergeCell ref="X7:X13"/>
    <mergeCell ref="Y7:Y13"/>
    <mergeCell ref="Z7:Z13"/>
    <mergeCell ref="AC7:AC13"/>
    <mergeCell ref="V7:V13"/>
    <mergeCell ref="W7:W13"/>
    <mergeCell ref="AB7:AB13"/>
    <mergeCell ref="AA7:AA13"/>
    <mergeCell ref="U7:U13"/>
    <mergeCell ref="I7:I13"/>
    <mergeCell ref="J7:J13"/>
    <mergeCell ref="K7:K13"/>
    <mergeCell ref="L7:L13"/>
    <mergeCell ref="Q7:Q11"/>
    <mergeCell ref="V14:V20"/>
    <mergeCell ref="W14:W20"/>
    <mergeCell ref="X14:X20"/>
    <mergeCell ref="L14:L20"/>
    <mergeCell ref="M14:M20"/>
    <mergeCell ref="A1:AD1"/>
    <mergeCell ref="A5:A6"/>
    <mergeCell ref="B5:B6"/>
    <mergeCell ref="AB5:AB6"/>
    <mergeCell ref="AC5:AC6"/>
    <mergeCell ref="Y5:Y6"/>
    <mergeCell ref="AA5:AA6"/>
    <mergeCell ref="Z5:Z6"/>
    <mergeCell ref="X5:X6"/>
    <mergeCell ref="AC3:AD3"/>
    <mergeCell ref="I5:I6"/>
    <mergeCell ref="J5:J6"/>
    <mergeCell ref="K5:K6"/>
    <mergeCell ref="A2:AD2"/>
    <mergeCell ref="AD4:AD6"/>
    <mergeCell ref="V5:V6"/>
    <mergeCell ref="W5:W6"/>
    <mergeCell ref="I4:N4"/>
    <mergeCell ref="X4:AC4"/>
    <mergeCell ref="T5:T6"/>
    <mergeCell ref="U5:U6"/>
    <mergeCell ref="C5:H5"/>
    <mergeCell ref="L5:L6"/>
    <mergeCell ref="M5:M6"/>
    <mergeCell ref="T51:T57"/>
    <mergeCell ref="U51:U57"/>
    <mergeCell ref="V51:V57"/>
    <mergeCell ref="W51:W57"/>
    <mergeCell ref="X51:X57"/>
    <mergeCell ref="Y51:Y57"/>
    <mergeCell ref="Z51:Z57"/>
    <mergeCell ref="AA51:AA57"/>
    <mergeCell ref="A51:A57"/>
    <mergeCell ref="I51:I57"/>
    <mergeCell ref="J51:J57"/>
    <mergeCell ref="K51:K57"/>
    <mergeCell ref="L51:L57"/>
    <mergeCell ref="M51:M57"/>
    <mergeCell ref="N51:N57"/>
    <mergeCell ref="R51:R57"/>
    <mergeCell ref="B51:B54"/>
    <mergeCell ref="AB51:AB57"/>
    <mergeCell ref="AC51:AC57"/>
    <mergeCell ref="AD52:AD56"/>
    <mergeCell ref="B56:B57"/>
    <mergeCell ref="A58:A64"/>
    <mergeCell ref="I58:I64"/>
    <mergeCell ref="J58:J64"/>
    <mergeCell ref="K58:K64"/>
    <mergeCell ref="L58:L64"/>
    <mergeCell ref="M58:M64"/>
    <mergeCell ref="N58:N64"/>
    <mergeCell ref="R58:R64"/>
    <mergeCell ref="S58:S64"/>
    <mergeCell ref="T58:T64"/>
    <mergeCell ref="U58:U64"/>
    <mergeCell ref="V58:V64"/>
    <mergeCell ref="W58:W64"/>
    <mergeCell ref="X58:X64"/>
    <mergeCell ref="Y58:Y64"/>
    <mergeCell ref="Z58:Z64"/>
    <mergeCell ref="AA58:AA64"/>
    <mergeCell ref="AB58:AB64"/>
    <mergeCell ref="AC58:AC64"/>
    <mergeCell ref="S51:S57"/>
    <mergeCell ref="AD59:AD63"/>
    <mergeCell ref="B63:B64"/>
    <mergeCell ref="A66:A72"/>
    <mergeCell ref="I66:I72"/>
    <mergeCell ref="J66:J72"/>
    <mergeCell ref="K66:K72"/>
    <mergeCell ref="L66:L72"/>
    <mergeCell ref="M66:M72"/>
    <mergeCell ref="N66:N72"/>
    <mergeCell ref="R66:R72"/>
    <mergeCell ref="S66:S72"/>
    <mergeCell ref="T66:T72"/>
    <mergeCell ref="U66:U72"/>
    <mergeCell ref="V66:V72"/>
    <mergeCell ref="W66:W72"/>
    <mergeCell ref="X66:X72"/>
    <mergeCell ref="Y66:Y72"/>
    <mergeCell ref="Z66:Z72"/>
    <mergeCell ref="AA66:AA72"/>
    <mergeCell ref="AB66:AB72"/>
    <mergeCell ref="AC66:AC72"/>
    <mergeCell ref="AD67:AD71"/>
    <mergeCell ref="B71:B72"/>
    <mergeCell ref="B66:B69"/>
    <mergeCell ref="AA73:AA79"/>
    <mergeCell ref="A73:A79"/>
    <mergeCell ref="I73:I79"/>
    <mergeCell ref="J73:J79"/>
    <mergeCell ref="K73:K79"/>
    <mergeCell ref="L73:L79"/>
    <mergeCell ref="M73:M79"/>
    <mergeCell ref="N73:N79"/>
    <mergeCell ref="R73:R79"/>
    <mergeCell ref="B73:B76"/>
    <mergeCell ref="A81:A87"/>
    <mergeCell ref="I81:I87"/>
    <mergeCell ref="J81:J87"/>
    <mergeCell ref="K81:K87"/>
    <mergeCell ref="L81:L87"/>
    <mergeCell ref="M81:M87"/>
    <mergeCell ref="N81:N87"/>
    <mergeCell ref="R81:R87"/>
    <mergeCell ref="S81:S87"/>
    <mergeCell ref="B81:B84"/>
    <mergeCell ref="AD89:AD93"/>
    <mergeCell ref="B93:B94"/>
    <mergeCell ref="AB73:AB79"/>
    <mergeCell ref="AC73:AC79"/>
    <mergeCell ref="AD74:AD78"/>
    <mergeCell ref="B78:B79"/>
    <mergeCell ref="T81:T87"/>
    <mergeCell ref="U81:U87"/>
    <mergeCell ref="V81:V87"/>
    <mergeCell ref="W81:W87"/>
    <mergeCell ref="X81:X87"/>
    <mergeCell ref="Y81:Y87"/>
    <mergeCell ref="Z81:Z87"/>
    <mergeCell ref="AA81:AA87"/>
    <mergeCell ref="AB81:AB87"/>
    <mergeCell ref="AC81:AC87"/>
    <mergeCell ref="S73:S79"/>
    <mergeCell ref="T73:T79"/>
    <mergeCell ref="U73:U79"/>
    <mergeCell ref="V73:V79"/>
    <mergeCell ref="W73:W79"/>
    <mergeCell ref="X73:X79"/>
    <mergeCell ref="Y73:Y79"/>
    <mergeCell ref="Z73:Z79"/>
    <mergeCell ref="U88:U94"/>
    <mergeCell ref="V88:V94"/>
    <mergeCell ref="W88:W94"/>
    <mergeCell ref="X88:X94"/>
    <mergeCell ref="Y88:Y94"/>
    <mergeCell ref="Z88:Z94"/>
    <mergeCell ref="AA88:AA94"/>
    <mergeCell ref="AB88:AB94"/>
    <mergeCell ref="AC88:AC94"/>
    <mergeCell ref="A95:A101"/>
    <mergeCell ref="B95:B99"/>
    <mergeCell ref="I95:I101"/>
    <mergeCell ref="J95:J101"/>
    <mergeCell ref="K95:K101"/>
    <mergeCell ref="L95:L101"/>
    <mergeCell ref="M95:M101"/>
    <mergeCell ref="N95:N101"/>
    <mergeCell ref="R95:R101"/>
    <mergeCell ref="Q95:Q99"/>
    <mergeCell ref="S95:S101"/>
    <mergeCell ref="T95:T101"/>
    <mergeCell ref="U95:U101"/>
    <mergeCell ref="V95:V101"/>
    <mergeCell ref="W95:W101"/>
    <mergeCell ref="X95:X101"/>
    <mergeCell ref="Y95:Y101"/>
    <mergeCell ref="Z95:Z101"/>
    <mergeCell ref="AA95:AA101"/>
    <mergeCell ref="AB95:AB101"/>
    <mergeCell ref="AC95:AC101"/>
    <mergeCell ref="AD96:AD100"/>
    <mergeCell ref="B100:B101"/>
    <mergeCell ref="A102:A108"/>
    <mergeCell ref="B102:B106"/>
    <mergeCell ref="I102:I108"/>
    <mergeCell ref="J102:J108"/>
    <mergeCell ref="K102:K108"/>
    <mergeCell ref="L102:L108"/>
    <mergeCell ref="M102:M108"/>
    <mergeCell ref="N102:N108"/>
    <mergeCell ref="R102:R108"/>
    <mergeCell ref="S102:S108"/>
    <mergeCell ref="T102:T108"/>
    <mergeCell ref="U102:U108"/>
    <mergeCell ref="V102:V108"/>
    <mergeCell ref="W102:W108"/>
    <mergeCell ref="X102:X108"/>
    <mergeCell ref="Y102:Y108"/>
    <mergeCell ref="Z102:Z108"/>
    <mergeCell ref="AA102:AA108"/>
    <mergeCell ref="AB102:AB108"/>
    <mergeCell ref="AC102:AC108"/>
    <mergeCell ref="AD103:AD107"/>
    <mergeCell ref="B107:B108"/>
    <mergeCell ref="A109:A115"/>
    <mergeCell ref="B109:B113"/>
    <mergeCell ref="I109:I115"/>
    <mergeCell ref="J109:J115"/>
    <mergeCell ref="K109:K115"/>
    <mergeCell ref="L109:L115"/>
    <mergeCell ref="M109:M115"/>
    <mergeCell ref="N109:N115"/>
    <mergeCell ref="R109:R115"/>
    <mergeCell ref="S109:S115"/>
    <mergeCell ref="T109:T115"/>
    <mergeCell ref="U109:U115"/>
    <mergeCell ref="V109:V115"/>
    <mergeCell ref="W109:W115"/>
    <mergeCell ref="X109:X115"/>
    <mergeCell ref="Y109:Y115"/>
    <mergeCell ref="Z109:Z115"/>
    <mergeCell ref="AA109:AA115"/>
    <mergeCell ref="AB109:AB115"/>
    <mergeCell ref="AC109:AC115"/>
    <mergeCell ref="AD110:AD114"/>
    <mergeCell ref="B114:B115"/>
    <mergeCell ref="A116:A122"/>
    <mergeCell ref="B116:B120"/>
    <mergeCell ref="I116:I122"/>
    <mergeCell ref="J116:J122"/>
    <mergeCell ref="K116:K122"/>
    <mergeCell ref="L116:L122"/>
    <mergeCell ref="M116:M122"/>
    <mergeCell ref="N116:N122"/>
    <mergeCell ref="R116:R122"/>
    <mergeCell ref="S116:S122"/>
    <mergeCell ref="T116:T122"/>
    <mergeCell ref="U116:U122"/>
    <mergeCell ref="V116:V122"/>
    <mergeCell ref="W116:W122"/>
    <mergeCell ref="X116:X122"/>
    <mergeCell ref="Y116:Y122"/>
    <mergeCell ref="Z116:Z122"/>
    <mergeCell ref="AA116:AA122"/>
    <mergeCell ref="AB116:AB122"/>
    <mergeCell ref="AC116:AC122"/>
    <mergeCell ref="AD117:AD121"/>
    <mergeCell ref="B121:B122"/>
    <mergeCell ref="A123:A129"/>
    <mergeCell ref="B123:B127"/>
    <mergeCell ref="I123:I129"/>
    <mergeCell ref="J123:J129"/>
    <mergeCell ref="K123:K129"/>
    <mergeCell ref="L123:L129"/>
    <mergeCell ref="M123:M129"/>
    <mergeCell ref="N123:N129"/>
    <mergeCell ref="R123:R129"/>
    <mergeCell ref="S123:S129"/>
    <mergeCell ref="T123:T129"/>
    <mergeCell ref="U123:U129"/>
    <mergeCell ref="V123:V129"/>
    <mergeCell ref="W123:W129"/>
    <mergeCell ref="X123:X129"/>
    <mergeCell ref="Y123:Y129"/>
    <mergeCell ref="Z123:Z129"/>
    <mergeCell ref="AA123:AA129"/>
    <mergeCell ref="AB123:AB129"/>
    <mergeCell ref="AC123:AC129"/>
    <mergeCell ref="AD124:AD128"/>
    <mergeCell ref="B128:B129"/>
    <mergeCell ref="A130:A136"/>
    <mergeCell ref="B130:B134"/>
    <mergeCell ref="I130:I136"/>
    <mergeCell ref="J130:J136"/>
    <mergeCell ref="K130:K136"/>
    <mergeCell ref="L130:L136"/>
    <mergeCell ref="M130:M136"/>
    <mergeCell ref="N130:N136"/>
    <mergeCell ref="R130:R136"/>
    <mergeCell ref="S130:S136"/>
    <mergeCell ref="T130:T136"/>
    <mergeCell ref="U130:U136"/>
    <mergeCell ref="V130:V136"/>
    <mergeCell ref="W130:W136"/>
    <mergeCell ref="X130:X136"/>
    <mergeCell ref="Y130:Y136"/>
    <mergeCell ref="Z130:Z136"/>
    <mergeCell ref="AA130:AA136"/>
    <mergeCell ref="AB130:AB136"/>
    <mergeCell ref="AC130:AC136"/>
    <mergeCell ref="AD131:AD135"/>
    <mergeCell ref="B135:B136"/>
    <mergeCell ref="A137:A143"/>
    <mergeCell ref="B137:B141"/>
    <mergeCell ref="I137:I143"/>
    <mergeCell ref="J137:J143"/>
    <mergeCell ref="K137:K143"/>
    <mergeCell ref="L137:L143"/>
    <mergeCell ref="M137:M143"/>
    <mergeCell ref="N137:N143"/>
    <mergeCell ref="R137:R143"/>
    <mergeCell ref="S137:S143"/>
    <mergeCell ref="T137:T143"/>
    <mergeCell ref="U137:U143"/>
    <mergeCell ref="V137:V143"/>
    <mergeCell ref="W137:W143"/>
    <mergeCell ref="X137:X143"/>
    <mergeCell ref="Y137:Y143"/>
    <mergeCell ref="Z137:Z143"/>
    <mergeCell ref="AA137:AA143"/>
    <mergeCell ref="AB137:AB143"/>
    <mergeCell ref="AC137:AC143"/>
    <mergeCell ref="AD138:AD142"/>
    <mergeCell ref="B142:B143"/>
    <mergeCell ref="A144:A150"/>
    <mergeCell ref="B144:B148"/>
    <mergeCell ref="I144:I150"/>
    <mergeCell ref="J144:J150"/>
    <mergeCell ref="K144:K150"/>
    <mergeCell ref="L144:L150"/>
    <mergeCell ref="M144:M150"/>
    <mergeCell ref="N144:N150"/>
    <mergeCell ref="R144:R150"/>
    <mergeCell ref="S144:S150"/>
    <mergeCell ref="T144:T150"/>
    <mergeCell ref="U144:U150"/>
    <mergeCell ref="V144:V150"/>
    <mergeCell ref="W144:W150"/>
    <mergeCell ref="X144:X150"/>
    <mergeCell ref="Y144:Y150"/>
    <mergeCell ref="Z144:Z150"/>
    <mergeCell ref="AA144:AA150"/>
    <mergeCell ref="AB144:AB150"/>
    <mergeCell ref="AC144:AC150"/>
    <mergeCell ref="AD145:AD149"/>
    <mergeCell ref="B149:B150"/>
    <mergeCell ref="A151:A157"/>
    <mergeCell ref="B151:B155"/>
    <mergeCell ref="I151:I157"/>
    <mergeCell ref="J151:J157"/>
    <mergeCell ref="K151:K157"/>
    <mergeCell ref="L151:L157"/>
    <mergeCell ref="M151:M157"/>
    <mergeCell ref="N151:N157"/>
    <mergeCell ref="R151:R157"/>
    <mergeCell ref="S151:S157"/>
    <mergeCell ref="T151:T157"/>
    <mergeCell ref="U151:U157"/>
    <mergeCell ref="V151:V157"/>
    <mergeCell ref="W151:W157"/>
    <mergeCell ref="X151:X157"/>
    <mergeCell ref="Y151:Y157"/>
    <mergeCell ref="Z151:Z157"/>
    <mergeCell ref="AA151:AA157"/>
    <mergeCell ref="AB151:AB157"/>
    <mergeCell ref="AC151:AC157"/>
    <mergeCell ref="AD152:AD156"/>
    <mergeCell ref="B156:B157"/>
    <mergeCell ref="A158:A164"/>
    <mergeCell ref="B158:B162"/>
    <mergeCell ref="I158:I164"/>
    <mergeCell ref="J158:J164"/>
    <mergeCell ref="K158:K164"/>
    <mergeCell ref="L158:L164"/>
    <mergeCell ref="M158:M164"/>
    <mergeCell ref="N158:N164"/>
    <mergeCell ref="R158:R164"/>
    <mergeCell ref="AB158:AB164"/>
    <mergeCell ref="AC158:AC164"/>
    <mergeCell ref="AD159:AD163"/>
    <mergeCell ref="B163:B164"/>
    <mergeCell ref="S158:S164"/>
    <mergeCell ref="T158:T164"/>
    <mergeCell ref="U158:U164"/>
    <mergeCell ref="V158:V164"/>
    <mergeCell ref="W158:W164"/>
    <mergeCell ref="X158:X164"/>
    <mergeCell ref="Y158:Y164"/>
    <mergeCell ref="Z158:Z164"/>
    <mergeCell ref="AA158:AA164"/>
    <mergeCell ref="A36:A42"/>
    <mergeCell ref="AD37:AD41"/>
    <mergeCell ref="I36:I42"/>
    <mergeCell ref="J36:J42"/>
    <mergeCell ref="K36:K42"/>
    <mergeCell ref="L36:L42"/>
    <mergeCell ref="M36:M42"/>
    <mergeCell ref="N36:N42"/>
    <mergeCell ref="B36:B39"/>
    <mergeCell ref="B41:B42"/>
    <mergeCell ref="B88:B91"/>
    <mergeCell ref="A43:A49"/>
    <mergeCell ref="B43:B46"/>
    <mergeCell ref="B48:B49"/>
    <mergeCell ref="AD44:AD48"/>
    <mergeCell ref="I43:I49"/>
    <mergeCell ref="J43:J49"/>
    <mergeCell ref="K43:K49"/>
    <mergeCell ref="L43:L49"/>
    <mergeCell ref="M43:M49"/>
    <mergeCell ref="N43:N49"/>
    <mergeCell ref="B58:B61"/>
    <mergeCell ref="AD82:AD86"/>
    <mergeCell ref="B86:B87"/>
    <mergeCell ref="A88:A94"/>
    <mergeCell ref="I88:I94"/>
    <mergeCell ref="J88:J94"/>
    <mergeCell ref="K88:K94"/>
    <mergeCell ref="L88:L94"/>
    <mergeCell ref="M88:M94"/>
    <mergeCell ref="N88:N94"/>
    <mergeCell ref="R88:R94"/>
    <mergeCell ref="S88:S94"/>
    <mergeCell ref="T88:T94"/>
    <mergeCell ref="Q102:Q106"/>
    <mergeCell ref="Q109:Q113"/>
    <mergeCell ref="Q116:Q120"/>
    <mergeCell ref="Q123:Q127"/>
    <mergeCell ref="Q130:Q134"/>
    <mergeCell ref="Q137:Q141"/>
    <mergeCell ref="Q88:Q92"/>
    <mergeCell ref="Q81:Q85"/>
    <mergeCell ref="Q73:Q77"/>
    <mergeCell ref="O135:Q136"/>
    <mergeCell ref="O114:Q115"/>
    <mergeCell ref="O107:Q108"/>
    <mergeCell ref="O100:Q101"/>
    <mergeCell ref="O93:Q94"/>
    <mergeCell ref="O86:Q87"/>
    <mergeCell ref="O78:Q79"/>
    <mergeCell ref="O71:Q72"/>
    <mergeCell ref="O63:Q64"/>
    <mergeCell ref="O56:Q57"/>
    <mergeCell ref="O48:Q49"/>
    <mergeCell ref="O41:Q42"/>
    <mergeCell ref="O34:Q35"/>
    <mergeCell ref="O26:Q27"/>
    <mergeCell ref="O19:Q20"/>
    <mergeCell ref="O12:Q13"/>
    <mergeCell ref="Q66:Q70"/>
    <mergeCell ref="Q58:Q62"/>
    <mergeCell ref="Q51:Q55"/>
    <mergeCell ref="Q43:Q47"/>
    <mergeCell ref="Q36:Q40"/>
    <mergeCell ref="Q29:Q33"/>
    <mergeCell ref="Q21:Q25"/>
    <mergeCell ref="Q14:Q18"/>
    <mergeCell ref="Q144:Q148"/>
    <mergeCell ref="Q151:Q155"/>
    <mergeCell ref="Q158:Q162"/>
    <mergeCell ref="O149:Q150"/>
    <mergeCell ref="O156:Q157"/>
    <mergeCell ref="O163:Q164"/>
    <mergeCell ref="O121:Q121"/>
    <mergeCell ref="O122:Q122"/>
    <mergeCell ref="O128:Q128"/>
    <mergeCell ref="O129:Q129"/>
    <mergeCell ref="O142:Q142"/>
    <mergeCell ref="O143:Q143"/>
  </mergeCells>
  <phoneticPr fontId="4" type="noConversion"/>
  <conditionalFormatting sqref="AD7">
    <cfRule type="containsText" dxfId="64" priority="149" operator="containsText" text="NO HABILITADO">
      <formula>NOT(ISERROR(SEARCH("NO HABILITADO",AD7)))</formula>
    </cfRule>
  </conditionalFormatting>
  <conditionalFormatting sqref="AD14">
    <cfRule type="containsText" dxfId="63" priority="19" operator="containsText" text="NO HABILITADO">
      <formula>NOT(ISERROR(SEARCH("NO HABILITADO",AD14)))</formula>
    </cfRule>
  </conditionalFormatting>
  <conditionalFormatting sqref="AD21">
    <cfRule type="containsText" dxfId="62" priority="18" operator="containsText" text="NO HABILITADO">
      <formula>NOT(ISERROR(SEARCH("NO HABILITADO",AD21)))</formula>
    </cfRule>
  </conditionalFormatting>
  <conditionalFormatting sqref="AD28:AD29">
    <cfRule type="containsText" dxfId="61" priority="3" operator="containsText" text="NO HABILITADO">
      <formula>NOT(ISERROR(SEARCH("NO HABILITADO",AD28)))</formula>
    </cfRule>
  </conditionalFormatting>
  <conditionalFormatting sqref="AD36">
    <cfRule type="containsText" dxfId="60" priority="16" operator="containsText" text="NO HABILITADO">
      <formula>NOT(ISERROR(SEARCH("NO HABILITADO",AD36)))</formula>
    </cfRule>
  </conditionalFormatting>
  <conditionalFormatting sqref="AD43">
    <cfRule type="containsText" dxfId="59" priority="15" operator="containsText" text="NO HABILITADO">
      <formula>NOT(ISERROR(SEARCH("NO HABILITADO",AD43)))</formula>
    </cfRule>
  </conditionalFormatting>
  <conditionalFormatting sqref="AD50:AD51">
    <cfRule type="containsText" dxfId="58" priority="4" operator="containsText" text="NO HABILITADO">
      <formula>NOT(ISERROR(SEARCH("NO HABILITADO",AD50)))</formula>
    </cfRule>
  </conditionalFormatting>
  <conditionalFormatting sqref="AD58">
    <cfRule type="containsText" dxfId="57" priority="13" operator="containsText" text="NO HABILITADO">
      <formula>NOT(ISERROR(SEARCH("NO HABILITADO",AD58)))</formula>
    </cfRule>
  </conditionalFormatting>
  <conditionalFormatting sqref="AD65:AD66">
    <cfRule type="containsText" dxfId="56" priority="5" operator="containsText" text="NO HABILITADO">
      <formula>NOT(ISERROR(SEARCH("NO HABILITADO",AD65)))</formula>
    </cfRule>
  </conditionalFormatting>
  <conditionalFormatting sqref="AD73">
    <cfRule type="containsText" dxfId="55" priority="11" operator="containsText" text="NO HABILITADO">
      <formula>NOT(ISERROR(SEARCH("NO HABILITADO",AD73)))</formula>
    </cfRule>
  </conditionalFormatting>
  <conditionalFormatting sqref="AD80:AD81">
    <cfRule type="containsText" dxfId="54" priority="10" operator="containsText" text="NO HABILITADO">
      <formula>NOT(ISERROR(SEARCH("NO HABILITADO",AD80)))</formula>
    </cfRule>
  </conditionalFormatting>
  <conditionalFormatting sqref="AD88">
    <cfRule type="containsText" dxfId="53" priority="9" operator="containsText" text="NO HABILITADO">
      <formula>NOT(ISERROR(SEARCH("NO HABILITADO",AD88)))</formula>
    </cfRule>
  </conditionalFormatting>
  <conditionalFormatting sqref="AD95">
    <cfRule type="containsText" dxfId="52" priority="20" operator="containsText" text="NO HABILITADO">
      <formula>NOT(ISERROR(SEARCH("NO HABILITADO",AD95)))</formula>
    </cfRule>
  </conditionalFormatting>
  <conditionalFormatting sqref="AD102">
    <cfRule type="containsText" dxfId="51" priority="21" operator="containsText" text="NO HABILITADO">
      <formula>NOT(ISERROR(SEARCH("NO HABILITADO",AD102)))</formula>
    </cfRule>
  </conditionalFormatting>
  <conditionalFormatting sqref="AD109">
    <cfRule type="containsText" dxfId="50" priority="22" operator="containsText" text="NO HABILITADO">
      <formula>NOT(ISERROR(SEARCH("NO HABILITADO",AD109)))</formula>
    </cfRule>
  </conditionalFormatting>
  <conditionalFormatting sqref="AD116">
    <cfRule type="containsText" dxfId="49" priority="23" operator="containsText" text="NO HABILITADO">
      <formula>NOT(ISERROR(SEARCH("NO HABILITADO",AD116)))</formula>
    </cfRule>
  </conditionalFormatting>
  <conditionalFormatting sqref="AD130">
    <cfRule type="containsText" dxfId="48" priority="25" operator="containsText" text="NO HABILITADO">
      <formula>NOT(ISERROR(SEARCH("NO HABILITADO",AD130)))</formula>
    </cfRule>
  </conditionalFormatting>
  <conditionalFormatting sqref="AD137">
    <cfRule type="containsText" dxfId="47" priority="1" operator="containsText" text="NO HABILITADO">
      <formula>NOT(ISERROR(SEARCH("NO HABILITADO",AD137)))</formula>
    </cfRule>
  </conditionalFormatting>
  <conditionalFormatting sqref="AD144">
    <cfRule type="containsText" dxfId="46" priority="8" operator="containsText" text="NO HABILITADO">
      <formula>NOT(ISERROR(SEARCH("NO HABILITADO",AD144)))</formula>
    </cfRule>
  </conditionalFormatting>
  <conditionalFormatting sqref="AD151">
    <cfRule type="containsText" dxfId="45" priority="7" operator="containsText" text="NO HABILITADO">
      <formula>NOT(ISERROR(SEARCH("NO HABILITADO",AD151)))</formula>
    </cfRule>
  </conditionalFormatting>
  <conditionalFormatting sqref="AD158">
    <cfRule type="containsText" dxfId="44" priority="6" operator="containsText" text="NO HABILITADO">
      <formula>NOT(ISERROR(SEARCH("NO HABILITADO",AD158)))</formula>
    </cfRule>
  </conditionalFormatting>
  <printOptions horizontalCentered="1" verticalCentered="1"/>
  <pageMargins left="0.19685039370078741" right="0.19685039370078741" top="0.19685039370078741" bottom="0.35433070866141736" header="0.51181102362204722" footer="0.31496062992125984"/>
  <pageSetup scale="36" fitToWidth="0" fitToHeight="0" orientation="landscape" horizontalDpi="4294967295" verticalDpi="4294967295" r:id="rId1"/>
  <headerFooter alignWithMargins="0">
    <oddFooter>&amp;R&amp;P de &amp;N</oddFooter>
  </headerFooter>
  <rowBreaks count="1" manualBreakCount="1">
    <brk id="129" max="16383" man="1"/>
  </rowBreaks>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0000000}">
          <x14:formula1>
            <xm:f>'Tener en cuenta'!$AB$13:$AB$15</xm:f>
          </x14:formula1>
          <xm:sqref>AD123 AD130 AD158 AD116 AD109 AD102 AD95 AD14 AD21 AD28:AD29 AD36 AD43 AD50:AD51 AD58 AD65:AD66 AD73 AD80:AD81 AD88 AD144 AD151 AD137 AD7</xm:sqref>
        </x14:dataValidation>
        <x14:dataValidation type="list" allowBlank="1" showInputMessage="1" showErrorMessage="1" xr:uid="{00000000-0002-0000-0000-000002000000}">
          <x14:formula1>
            <xm:f>'Tener en cuenta'!$AB$17:$AB$18</xm:f>
          </x14:formula1>
          <xm:sqref>C175</xm:sqref>
        </x14:dataValidation>
        <x14:dataValidation type="list" allowBlank="1" showInputMessage="1" showErrorMessage="1" xr:uid="{00000000-0002-0000-0000-000003000000}">
          <x14:formula1>
            <xm:f>'Tener en cuenta'!$Y$17:$Y$18</xm:f>
          </x14:formula1>
          <xm:sqref>C176</xm:sqref>
        </x14:dataValidation>
        <x14:dataValidation type="list" allowBlank="1" showInputMessage="1" showErrorMessage="1" xr:uid="{00000000-0002-0000-0000-000005000000}">
          <x14:formula1>
            <xm:f>'Tener en cuenta'!$Y$31:$Y$36</xm:f>
          </x14:formula1>
          <xm:sqref>AD164 AD157 AD150 AD143 AD136 AD129 AD122 AD115 AD108 AD101 AD94 AD87 AD79 AD72 AD64 AD57 AD49 AD42 AD35 AD27 AD20 AD13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36"/>
  <sheetViews>
    <sheetView showGridLines="0" zoomScale="87" zoomScaleNormal="87" workbookViewId="0">
      <pane xSplit="3" ySplit="2" topLeftCell="D3" activePane="bottomRight" state="frozen"/>
      <selection pane="topRight" activeCell="D1" sqref="D1"/>
      <selection pane="bottomLeft" activeCell="A3" sqref="A3"/>
      <selection pane="bottomRight" activeCell="Z21" sqref="Z21"/>
    </sheetView>
  </sheetViews>
  <sheetFormatPr baseColWidth="10" defaultRowHeight="12.75" x14ac:dyDescent="0.2"/>
  <cols>
    <col min="1" max="1" width="3.42578125" style="32" customWidth="1"/>
    <col min="2" max="2" width="11.42578125" style="32"/>
    <col min="3" max="3" width="3.140625" style="32" customWidth="1"/>
    <col min="4" max="4" width="11.140625" style="47" customWidth="1"/>
    <col min="5" max="5" width="14.28515625" style="47" customWidth="1"/>
    <col min="6" max="6" width="6.5703125" style="85" customWidth="1"/>
    <col min="7" max="7" width="19.140625" style="32" customWidth="1"/>
    <col min="8" max="8" width="29.7109375" style="32" customWidth="1"/>
    <col min="9" max="9" width="17.85546875" style="75" customWidth="1"/>
    <col min="10" max="10" width="9.5703125" style="32" customWidth="1"/>
    <col min="11" max="11" width="13.28515625" style="32" hidden="1" customWidth="1"/>
    <col min="12" max="12" width="10.5703125" style="32" hidden="1" customWidth="1"/>
    <col min="13" max="13" width="11.7109375" style="213" hidden="1" customWidth="1"/>
    <col min="14" max="14" width="10.28515625" style="213" hidden="1" customWidth="1"/>
    <col min="15" max="15" width="12.5703125" style="261" hidden="1" customWidth="1"/>
    <col min="16" max="16" width="13" style="261" hidden="1" customWidth="1"/>
    <col min="17" max="17" width="2" style="32" customWidth="1"/>
    <col min="18" max="18" width="13.7109375" style="32" customWidth="1"/>
    <col min="19" max="19" width="16.85546875" style="32" customWidth="1"/>
    <col min="20" max="20" width="22.85546875" style="32" customWidth="1"/>
    <col min="21" max="21" width="18.7109375" style="32" customWidth="1"/>
    <col min="22" max="22" width="16.7109375" style="32" customWidth="1"/>
    <col min="23" max="23" width="15.7109375" style="32" customWidth="1"/>
    <col min="24" max="24" width="2" style="32" customWidth="1"/>
    <col min="25" max="25" width="10.5703125" style="32" customWidth="1"/>
    <col min="26" max="26" width="3.42578125" style="32" customWidth="1"/>
    <col min="27" max="27" width="4.5703125" style="32" bestFit="1" customWidth="1"/>
    <col min="28" max="28" width="17.140625" style="32" customWidth="1"/>
    <col min="29" max="29" width="20.7109375" style="32" customWidth="1"/>
    <col min="30" max="30" width="2" style="32" customWidth="1"/>
    <col min="31" max="31" width="11.42578125" style="32"/>
    <col min="32" max="32" width="15.140625" style="32" customWidth="1"/>
    <col min="33" max="33" width="16.42578125" style="32" customWidth="1"/>
    <col min="34" max="34" width="13.5703125" style="32" customWidth="1"/>
    <col min="35" max="35" width="47.5703125" style="32" customWidth="1"/>
    <col min="36" max="16384" width="11.42578125" style="32"/>
  </cols>
  <sheetData>
    <row r="1" spans="1:35" ht="75.75" customHeight="1" x14ac:dyDescent="0.2">
      <c r="A1" s="464" t="s">
        <v>29</v>
      </c>
      <c r="B1" s="136" t="s">
        <v>27</v>
      </c>
      <c r="C1" s="464" t="s">
        <v>29</v>
      </c>
      <c r="D1" s="468" t="s">
        <v>48</v>
      </c>
      <c r="E1" s="469" t="s">
        <v>56</v>
      </c>
      <c r="F1" s="469" t="s">
        <v>62</v>
      </c>
      <c r="G1" s="462" t="s">
        <v>60</v>
      </c>
      <c r="H1" s="462" t="s">
        <v>59</v>
      </c>
      <c r="I1" s="462" t="s">
        <v>61</v>
      </c>
      <c r="J1" s="462" t="s">
        <v>28</v>
      </c>
      <c r="K1" s="473" t="str">
        <f>INDICADORES!Q5</f>
        <v>K               Capacidad Residual             CRP ≥ CRPC          CRP ≥ 903.347,59</v>
      </c>
      <c r="L1" s="474" t="s">
        <v>124</v>
      </c>
      <c r="M1" s="471" t="s">
        <v>99</v>
      </c>
      <c r="N1" s="214" t="s">
        <v>100</v>
      </c>
      <c r="O1" s="471" t="s">
        <v>125</v>
      </c>
      <c r="P1" s="471" t="s">
        <v>126</v>
      </c>
      <c r="Q1" s="465"/>
      <c r="R1" s="38" t="s">
        <v>39</v>
      </c>
      <c r="S1" s="38" t="s">
        <v>64</v>
      </c>
      <c r="T1" s="39" t="s">
        <v>40</v>
      </c>
      <c r="U1" s="38" t="s">
        <v>58</v>
      </c>
      <c r="V1" s="40" t="s">
        <v>41</v>
      </c>
      <c r="W1" s="40" t="s">
        <v>42</v>
      </c>
      <c r="Y1" s="464" t="s">
        <v>34</v>
      </c>
      <c r="Z1" s="463"/>
      <c r="AA1" s="33">
        <v>1</v>
      </c>
      <c r="AB1" s="464" t="s">
        <v>30</v>
      </c>
      <c r="AC1" s="463"/>
      <c r="AF1" s="475" t="s">
        <v>84</v>
      </c>
      <c r="AG1" s="476"/>
      <c r="AH1" s="476"/>
      <c r="AI1" s="477"/>
    </row>
    <row r="2" spans="1:35" ht="15" x14ac:dyDescent="0.2">
      <c r="A2" s="463"/>
      <c r="B2" s="303">
        <v>45586</v>
      </c>
      <c r="C2" s="463"/>
      <c r="D2" s="463"/>
      <c r="E2" s="470"/>
      <c r="F2" s="470"/>
      <c r="G2" s="463"/>
      <c r="H2" s="463"/>
      <c r="I2" s="463"/>
      <c r="J2" s="463"/>
      <c r="K2" s="470"/>
      <c r="L2" s="470"/>
      <c r="M2" s="472"/>
      <c r="N2" s="215"/>
      <c r="O2" s="472"/>
      <c r="P2" s="472"/>
      <c r="Q2" s="466"/>
      <c r="R2" s="70">
        <v>1.6</v>
      </c>
      <c r="S2" s="71">
        <v>0.6</v>
      </c>
      <c r="T2" s="72">
        <v>2</v>
      </c>
      <c r="U2" s="71">
        <v>0.57999999999999996</v>
      </c>
      <c r="V2" s="73">
        <v>0.05</v>
      </c>
      <c r="W2" s="73">
        <v>0.04</v>
      </c>
      <c r="Y2" s="463"/>
      <c r="Z2" s="463"/>
      <c r="AA2" s="33">
        <v>2</v>
      </c>
      <c r="AB2" s="464" t="s">
        <v>31</v>
      </c>
      <c r="AC2" s="463"/>
      <c r="AF2" s="466" t="s">
        <v>85</v>
      </c>
      <c r="AG2" s="466"/>
      <c r="AH2" s="466"/>
      <c r="AI2" s="186"/>
    </row>
    <row r="3" spans="1:35" ht="15" x14ac:dyDescent="0.2">
      <c r="A3" s="32">
        <v>1</v>
      </c>
      <c r="B3" s="217"/>
      <c r="C3" s="55">
        <v>1</v>
      </c>
      <c r="D3" s="317"/>
      <c r="E3" s="318"/>
      <c r="F3" s="319"/>
      <c r="G3" s="320"/>
      <c r="H3" s="320"/>
      <c r="I3" s="321"/>
      <c r="J3" s="79" t="str">
        <f>INDICADORES!AD13</f>
        <v>20XX</v>
      </c>
      <c r="K3" s="263">
        <f>INDICADORES!Q7</f>
        <v>548756716.79999995</v>
      </c>
      <c r="L3" s="159"/>
      <c r="M3" s="208"/>
      <c r="N3" s="284">
        <f>(M3/(INDICADORES!$C$168*100))*'Tener en cuenta'!B3</f>
        <v>0</v>
      </c>
      <c r="O3" s="256"/>
      <c r="P3" s="289">
        <f>SCE!F3</f>
        <v>0</v>
      </c>
      <c r="R3" s="54" t="str">
        <f>INDICADORES!I7</f>
        <v>indeterminado</v>
      </c>
      <c r="S3" s="76" t="str">
        <f>INDICADORES!J7</f>
        <v>indeterminado</v>
      </c>
      <c r="T3" s="37" t="str">
        <f>INDICADORES!K7</f>
        <v>indeterminado</v>
      </c>
      <c r="U3" s="81">
        <f>INDICADORES!L7</f>
        <v>0</v>
      </c>
      <c r="V3" s="37" t="str">
        <f>INDICADORES!M7</f>
        <v>indeterminado</v>
      </c>
      <c r="W3" s="37" t="str">
        <f>INDICADORES!N7</f>
        <v>indeterminado</v>
      </c>
      <c r="Y3" s="463"/>
      <c r="Z3" s="463"/>
      <c r="AA3" s="33">
        <v>3</v>
      </c>
      <c r="AB3" s="486" t="s">
        <v>33</v>
      </c>
      <c r="AC3" s="487"/>
      <c r="AF3" s="187" t="s">
        <v>86</v>
      </c>
      <c r="AG3" s="188" t="s">
        <v>87</v>
      </c>
      <c r="AH3" s="188" t="s">
        <v>88</v>
      </c>
    </row>
    <row r="4" spans="1:35" x14ac:dyDescent="0.2">
      <c r="A4" s="32">
        <v>2</v>
      </c>
      <c r="B4" s="217"/>
      <c r="C4" s="33">
        <v>2</v>
      </c>
      <c r="D4" s="322"/>
      <c r="E4" s="318"/>
      <c r="F4" s="323"/>
      <c r="G4" s="320"/>
      <c r="H4" s="324"/>
      <c r="I4" s="321"/>
      <c r="J4" s="80" t="str">
        <f>INDICADORES!AD20</f>
        <v>20XX</v>
      </c>
      <c r="K4" s="263">
        <f>INDICADORES!Q14</f>
        <v>548756716.79999995</v>
      </c>
      <c r="L4" s="160"/>
      <c r="M4" s="209"/>
      <c r="N4" s="285">
        <f>(M4/(INDICADORES!$C$168*100))*'Tener en cuenta'!B4</f>
        <v>0</v>
      </c>
      <c r="O4" s="257"/>
      <c r="P4" s="290">
        <f>SCE!F4</f>
        <v>0</v>
      </c>
      <c r="R4" s="54" t="str">
        <f>INDICADORES!I14</f>
        <v>indeterminado</v>
      </c>
      <c r="S4" s="76" t="str">
        <f>INDICADORES!J14</f>
        <v>indeterminado</v>
      </c>
      <c r="T4" s="37" t="str">
        <f>INDICADORES!K14</f>
        <v>indeterminado</v>
      </c>
      <c r="U4" s="81">
        <f>INDICADORES!L14</f>
        <v>0</v>
      </c>
      <c r="V4" s="37" t="str">
        <f>INDICADORES!M14</f>
        <v>indeterminado</v>
      </c>
      <c r="W4" s="37" t="str">
        <f>INDICADORES!N14</f>
        <v>indeterminado</v>
      </c>
      <c r="Y4" s="463"/>
      <c r="Z4" s="463"/>
      <c r="AA4" s="33">
        <v>4</v>
      </c>
      <c r="AB4" s="464" t="s">
        <v>35</v>
      </c>
      <c r="AC4" s="463"/>
      <c r="AF4" s="189">
        <v>0</v>
      </c>
      <c r="AG4" s="189">
        <v>0.5</v>
      </c>
      <c r="AH4" s="190">
        <v>20</v>
      </c>
    </row>
    <row r="5" spans="1:35" ht="13.5" thickBot="1" x14ac:dyDescent="0.25">
      <c r="A5" s="32">
        <v>3</v>
      </c>
      <c r="B5" s="218"/>
      <c r="C5" s="33">
        <v>3</v>
      </c>
      <c r="D5" s="325"/>
      <c r="E5" s="326"/>
      <c r="F5" s="327"/>
      <c r="G5" s="328"/>
      <c r="H5" s="329"/>
      <c r="I5" s="330"/>
      <c r="J5" s="155" t="str">
        <f>INDICADORES!AD27</f>
        <v>20XX</v>
      </c>
      <c r="K5" s="264">
        <f>INDICADORES!Q21</f>
        <v>548756716.79999995</v>
      </c>
      <c r="L5" s="161"/>
      <c r="M5" s="210"/>
      <c r="N5" s="286">
        <f>(M5/(INDICADORES!$C$168*100))*'Tener en cuenta'!B5</f>
        <v>0</v>
      </c>
      <c r="O5" s="258"/>
      <c r="P5" s="291">
        <f>SCE!F5</f>
        <v>0</v>
      </c>
      <c r="R5" s="54" t="str">
        <f>INDICADORES!I21</f>
        <v>indeterminado</v>
      </c>
      <c r="S5" s="76" t="str">
        <f>INDICADORES!J21</f>
        <v>indeterminado</v>
      </c>
      <c r="T5" s="37" t="str">
        <f>INDICADORES!K21</f>
        <v>indeterminado</v>
      </c>
      <c r="U5" s="81">
        <f>INDICADORES!L21</f>
        <v>0</v>
      </c>
      <c r="V5" s="37" t="str">
        <f>INDICADORES!M21</f>
        <v>indeterminado</v>
      </c>
      <c r="W5" s="37" t="str">
        <f>INDICADORES!N21</f>
        <v>indeterminado</v>
      </c>
      <c r="Y5" s="463"/>
      <c r="Z5" s="463"/>
      <c r="AA5" s="463">
        <v>5</v>
      </c>
      <c r="AB5" s="467" t="s">
        <v>36</v>
      </c>
      <c r="AC5" s="467"/>
      <c r="AF5" s="189">
        <v>0.51</v>
      </c>
      <c r="AG5" s="189">
        <v>0.75</v>
      </c>
      <c r="AH5" s="190">
        <v>25</v>
      </c>
    </row>
    <row r="6" spans="1:35" x14ac:dyDescent="0.2">
      <c r="A6" s="82">
        <v>4</v>
      </c>
      <c r="B6" s="220"/>
      <c r="C6" s="55" t="s">
        <v>69</v>
      </c>
      <c r="D6" s="331"/>
      <c r="E6" s="332"/>
      <c r="F6" s="333"/>
      <c r="G6" s="334"/>
      <c r="H6" s="335"/>
      <c r="I6" s="336"/>
      <c r="J6" s="157" t="str">
        <f>INDICADORES!AD35</f>
        <v>20XX</v>
      </c>
      <c r="K6" s="265">
        <f>INDICADORES!Q29</f>
        <v>548756716.79999995</v>
      </c>
      <c r="L6" s="162"/>
      <c r="M6" s="211"/>
      <c r="N6" s="287">
        <f>(M6/(INDICADORES!$C$168*100))*'Tener en cuenta'!B6</f>
        <v>0</v>
      </c>
      <c r="O6" s="259"/>
      <c r="P6" s="292">
        <f>SCE!F6</f>
        <v>0</v>
      </c>
      <c r="R6" s="54" t="str">
        <f>INDICADORES!I29</f>
        <v>indeterminado</v>
      </c>
      <c r="S6" s="76" t="str">
        <f>INDICADORES!J29</f>
        <v>indeterminado</v>
      </c>
      <c r="T6" s="37" t="str">
        <f>INDICADORES!K29</f>
        <v>indeterminado</v>
      </c>
      <c r="U6" s="81">
        <f>INDICADORES!L29</f>
        <v>0</v>
      </c>
      <c r="V6" s="37" t="str">
        <f>INDICADORES!M29</f>
        <v>indeterminado</v>
      </c>
      <c r="W6" s="37" t="str">
        <f>INDICADORES!N29</f>
        <v>indeterminado</v>
      </c>
      <c r="Y6" s="463"/>
      <c r="Z6" s="463"/>
      <c r="AA6" s="463"/>
      <c r="AB6" s="467"/>
      <c r="AC6" s="467"/>
      <c r="AF6" s="189">
        <v>0.76</v>
      </c>
      <c r="AG6" s="189">
        <v>1</v>
      </c>
      <c r="AH6" s="190">
        <v>30</v>
      </c>
    </row>
    <row r="7" spans="1:35" x14ac:dyDescent="0.2">
      <c r="A7" s="82">
        <v>5</v>
      </c>
      <c r="B7" s="152"/>
      <c r="C7" s="55" t="s">
        <v>70</v>
      </c>
      <c r="D7" s="322"/>
      <c r="E7" s="318"/>
      <c r="F7" s="323"/>
      <c r="G7" s="320"/>
      <c r="H7" s="324"/>
      <c r="I7" s="321"/>
      <c r="J7" s="80" t="str">
        <f>INDICADORES!AD42</f>
        <v>20XX</v>
      </c>
      <c r="K7" s="263">
        <f>INDICADORES!Q36</f>
        <v>548756716.79999995</v>
      </c>
      <c r="L7" s="160"/>
      <c r="M7" s="209"/>
      <c r="N7" s="285">
        <f>(M7/(INDICADORES!$C$168*100))*'Tener en cuenta'!B7</f>
        <v>0</v>
      </c>
      <c r="O7" s="257"/>
      <c r="P7" s="290">
        <f>SCE!F7</f>
        <v>0</v>
      </c>
      <c r="R7" s="54" t="str">
        <f>INDICADORES!I36</f>
        <v>indeterminado</v>
      </c>
      <c r="S7" s="76" t="str">
        <f>INDICADORES!J36</f>
        <v>indeterminado</v>
      </c>
      <c r="T7" s="37" t="str">
        <f>INDICADORES!K36</f>
        <v>indeterminado</v>
      </c>
      <c r="U7" s="81">
        <f>INDICADORES!L36</f>
        <v>0</v>
      </c>
      <c r="V7" s="37" t="str">
        <f>INDICADORES!M36</f>
        <v>indeterminado</v>
      </c>
      <c r="W7" s="37" t="str">
        <f>INDICADORES!N36</f>
        <v>indeterminado</v>
      </c>
      <c r="Y7" s="463"/>
      <c r="Z7" s="463"/>
      <c r="AA7" s="463"/>
      <c r="AB7" s="467"/>
      <c r="AC7" s="467"/>
      <c r="AF7" s="191">
        <v>1.01</v>
      </c>
      <c r="AG7" s="189">
        <v>1.5</v>
      </c>
      <c r="AH7" s="190">
        <v>35</v>
      </c>
    </row>
    <row r="8" spans="1:35" ht="13.5" thickBot="1" x14ac:dyDescent="0.25">
      <c r="A8" s="82">
        <v>6</v>
      </c>
      <c r="B8" s="221"/>
      <c r="C8" s="154" t="s">
        <v>75</v>
      </c>
      <c r="D8" s="337"/>
      <c r="E8" s="338"/>
      <c r="F8" s="339"/>
      <c r="G8" s="340"/>
      <c r="H8" s="341"/>
      <c r="I8" s="342"/>
      <c r="J8" s="158" t="str">
        <f>INDICADORES!AD49</f>
        <v>20XX</v>
      </c>
      <c r="K8" s="266">
        <f>INDICADORES!Q43</f>
        <v>548756716.79999995</v>
      </c>
      <c r="L8" s="163"/>
      <c r="M8" s="212"/>
      <c r="N8" s="288">
        <f>(M8/(INDICADORES!$C$168*100))*'Tener en cuenta'!B8</f>
        <v>0</v>
      </c>
      <c r="O8" s="260"/>
      <c r="P8" s="293">
        <f>SCE!F8</f>
        <v>0</v>
      </c>
      <c r="R8" s="54" t="str">
        <f>INDICADORES!I43</f>
        <v>indeterminado</v>
      </c>
      <c r="S8" s="76" t="str">
        <f>INDICADORES!J43</f>
        <v>indeterminado</v>
      </c>
      <c r="T8" s="37" t="str">
        <f>INDICADORES!K43</f>
        <v>indeterminado</v>
      </c>
      <c r="U8" s="81">
        <f>INDICADORES!L43</f>
        <v>0</v>
      </c>
      <c r="V8" s="37" t="str">
        <f>INDICADORES!M43</f>
        <v>indeterminado</v>
      </c>
      <c r="W8" s="37" t="str">
        <f>INDICADORES!N43</f>
        <v>indeterminado</v>
      </c>
      <c r="Y8" s="75"/>
      <c r="Z8" s="75"/>
      <c r="AA8" s="75"/>
      <c r="AB8" s="153"/>
      <c r="AC8" s="153"/>
      <c r="AF8" s="189">
        <v>1.51</v>
      </c>
      <c r="AG8" s="189" t="s">
        <v>89</v>
      </c>
      <c r="AH8" s="192">
        <v>40</v>
      </c>
    </row>
    <row r="9" spans="1:35" x14ac:dyDescent="0.2">
      <c r="A9" s="82">
        <v>7</v>
      </c>
      <c r="B9" s="220"/>
      <c r="C9" s="33" t="s">
        <v>67</v>
      </c>
      <c r="D9" s="322"/>
      <c r="E9" s="343"/>
      <c r="F9" s="333"/>
      <c r="G9" s="344"/>
      <c r="H9" s="345"/>
      <c r="I9" s="346"/>
      <c r="J9" s="79" t="str">
        <f>INDICADORES!AD57</f>
        <v>20XX</v>
      </c>
      <c r="K9" s="265">
        <f>INDICADORES!Q51</f>
        <v>548756716.79999995</v>
      </c>
      <c r="L9" s="159"/>
      <c r="M9" s="208"/>
      <c r="N9" s="284">
        <f>(M9/(INDICADORES!$C$168*100))*'Tener en cuenta'!B9</f>
        <v>0</v>
      </c>
      <c r="O9" s="256"/>
      <c r="P9" s="289">
        <f>SCE!F9</f>
        <v>0</v>
      </c>
      <c r="R9" s="54" t="str">
        <f>INDICADORES!I51</f>
        <v>indeterminado</v>
      </c>
      <c r="S9" s="76" t="str">
        <f>INDICADORES!J51</f>
        <v>indeterminado</v>
      </c>
      <c r="T9" s="37" t="str">
        <f>INDICADORES!K51</f>
        <v>indeterminado</v>
      </c>
      <c r="U9" s="81">
        <f>INDICADORES!L51</f>
        <v>0</v>
      </c>
      <c r="V9" s="37" t="str">
        <f>INDICADORES!M51</f>
        <v>indeterminado</v>
      </c>
      <c r="W9" s="37" t="str">
        <f>INDICADORES!N51</f>
        <v>indeterminado</v>
      </c>
    </row>
    <row r="10" spans="1:35" ht="13.5" thickBot="1" x14ac:dyDescent="0.25">
      <c r="A10" s="82">
        <v>8</v>
      </c>
      <c r="B10" s="221"/>
      <c r="C10" s="33" t="s">
        <v>68</v>
      </c>
      <c r="D10" s="325"/>
      <c r="E10" s="326"/>
      <c r="F10" s="339"/>
      <c r="G10" s="328"/>
      <c r="H10" s="329"/>
      <c r="I10" s="330"/>
      <c r="J10" s="155" t="str">
        <f>INDICADORES!AD64</f>
        <v>20XX</v>
      </c>
      <c r="K10" s="266">
        <f>INDICADORES!Q58</f>
        <v>548756716.79999995</v>
      </c>
      <c r="L10" s="161"/>
      <c r="M10" s="210"/>
      <c r="N10" s="286">
        <f>(M10/(INDICADORES!$C$168*100))*'Tener en cuenta'!B10</f>
        <v>0</v>
      </c>
      <c r="O10" s="258"/>
      <c r="P10" s="291">
        <f>SCE!F10</f>
        <v>0</v>
      </c>
      <c r="R10" s="54" t="str">
        <f>INDICADORES!I58</f>
        <v>indeterminado</v>
      </c>
      <c r="S10" s="76" t="str">
        <f>INDICADORES!J58</f>
        <v>indeterminado</v>
      </c>
      <c r="T10" s="37" t="str">
        <f>INDICADORES!K58</f>
        <v>indeterminado</v>
      </c>
      <c r="U10" s="81">
        <f>INDICADORES!L58</f>
        <v>0</v>
      </c>
      <c r="V10" s="37" t="str">
        <f>INDICADORES!M58</f>
        <v>indeterminado</v>
      </c>
      <c r="W10" s="37" t="str">
        <f>INDICADORES!N58</f>
        <v>indeterminado</v>
      </c>
      <c r="Y10" s="478" t="s">
        <v>37</v>
      </c>
      <c r="Z10" s="479"/>
      <c r="AA10" s="33">
        <v>1</v>
      </c>
      <c r="AB10" s="464" t="s">
        <v>32</v>
      </c>
      <c r="AC10" s="463"/>
      <c r="AF10" s="463" t="s">
        <v>90</v>
      </c>
      <c r="AG10" s="463"/>
      <c r="AH10" s="463"/>
    </row>
    <row r="11" spans="1:35" ht="15" x14ac:dyDescent="0.2">
      <c r="A11" s="82">
        <v>9</v>
      </c>
      <c r="B11" s="220"/>
      <c r="C11" s="55" t="s">
        <v>71</v>
      </c>
      <c r="D11" s="331"/>
      <c r="E11" s="332"/>
      <c r="F11" s="323"/>
      <c r="G11" s="334"/>
      <c r="H11" s="335"/>
      <c r="I11" s="336"/>
      <c r="J11" s="157" t="str">
        <f>INDICADORES!AD72</f>
        <v>20XX</v>
      </c>
      <c r="K11" s="265">
        <f>INDICADORES!Q66</f>
        <v>548756716.79999995</v>
      </c>
      <c r="L11" s="162"/>
      <c r="M11" s="211"/>
      <c r="N11" s="287">
        <f>(M11/(INDICADORES!$C$168*100))*'Tener en cuenta'!B11</f>
        <v>0</v>
      </c>
      <c r="O11" s="259"/>
      <c r="P11" s="292">
        <f>SCE!F11</f>
        <v>0</v>
      </c>
      <c r="R11" s="54" t="str">
        <f>INDICADORES!I66</f>
        <v>indeterminado</v>
      </c>
      <c r="S11" s="76" t="str">
        <f>INDICADORES!J66</f>
        <v>indeterminado</v>
      </c>
      <c r="T11" s="37" t="str">
        <f>INDICADORES!K66</f>
        <v>indeterminado</v>
      </c>
      <c r="U11" s="81">
        <f>INDICADORES!L66</f>
        <v>0</v>
      </c>
      <c r="V11" s="37" t="str">
        <f>INDICADORES!M66</f>
        <v>indeterminado</v>
      </c>
      <c r="W11" s="37" t="str">
        <f>INDICADORES!N66</f>
        <v>indeterminado</v>
      </c>
      <c r="Y11" s="484"/>
      <c r="Z11" s="485"/>
      <c r="AA11" s="33">
        <v>2</v>
      </c>
      <c r="AB11" s="464" t="s">
        <v>38</v>
      </c>
      <c r="AC11" s="463"/>
      <c r="AF11" s="187" t="s">
        <v>86</v>
      </c>
      <c r="AG11" s="188" t="s">
        <v>87</v>
      </c>
      <c r="AH11" s="188" t="s">
        <v>88</v>
      </c>
    </row>
    <row r="12" spans="1:35" ht="13.5" thickBot="1" x14ac:dyDescent="0.25">
      <c r="A12" s="82">
        <v>10</v>
      </c>
      <c r="B12" s="221"/>
      <c r="C12" s="33" t="s">
        <v>72</v>
      </c>
      <c r="D12" s="337"/>
      <c r="E12" s="338"/>
      <c r="F12" s="327"/>
      <c r="G12" s="340"/>
      <c r="H12" s="341"/>
      <c r="I12" s="342"/>
      <c r="J12" s="158" t="str">
        <f>INDICADORES!AD79</f>
        <v>20XX</v>
      </c>
      <c r="K12" s="266">
        <f>INDICADORES!Q73</f>
        <v>548756716.79999995</v>
      </c>
      <c r="L12" s="163"/>
      <c r="M12" s="212"/>
      <c r="N12" s="288">
        <f>(M12/(INDICADORES!$C$168*100))*'Tener en cuenta'!B12</f>
        <v>0</v>
      </c>
      <c r="O12" s="260"/>
      <c r="P12" s="293">
        <f>SCE!F12</f>
        <v>0</v>
      </c>
      <c r="R12" s="54" t="str">
        <f>INDICADORES!I73</f>
        <v>indeterminado</v>
      </c>
      <c r="S12" s="76" t="str">
        <f>INDICADORES!J73</f>
        <v>indeterminado</v>
      </c>
      <c r="T12" s="37" t="str">
        <f>INDICADORES!K73</f>
        <v>indeterminado</v>
      </c>
      <c r="U12" s="81">
        <f>INDICADORES!L73</f>
        <v>0</v>
      </c>
      <c r="V12" s="37" t="str">
        <f>INDICADORES!M73</f>
        <v>indeterminado</v>
      </c>
      <c r="W12" s="37" t="str">
        <f>INDICADORES!N73</f>
        <v>indeterminado</v>
      </c>
      <c r="AF12" s="189">
        <v>0</v>
      </c>
      <c r="AG12" s="189">
        <v>5</v>
      </c>
      <c r="AH12" s="190">
        <v>20</v>
      </c>
    </row>
    <row r="13" spans="1:35" x14ac:dyDescent="0.2">
      <c r="A13" s="82">
        <v>11</v>
      </c>
      <c r="B13" s="220"/>
      <c r="C13" s="33" t="s">
        <v>73</v>
      </c>
      <c r="D13" s="322"/>
      <c r="E13" s="343"/>
      <c r="F13" s="333"/>
      <c r="G13" s="344"/>
      <c r="H13" s="345"/>
      <c r="I13" s="346"/>
      <c r="J13" s="79" t="str">
        <f>INDICADORES!AD87</f>
        <v>20XX</v>
      </c>
      <c r="K13" s="265">
        <f>INDICADORES!Q81</f>
        <v>548756716.79999995</v>
      </c>
      <c r="L13" s="159"/>
      <c r="M13" s="208"/>
      <c r="N13" s="284">
        <f>(M13/(INDICADORES!$C$168*100))*'Tener en cuenta'!B13</f>
        <v>0</v>
      </c>
      <c r="O13" s="256"/>
      <c r="P13" s="289">
        <f>SCE!F13</f>
        <v>0</v>
      </c>
      <c r="R13" s="54" t="str">
        <f>INDICADORES!I81</f>
        <v>indeterminado</v>
      </c>
      <c r="S13" s="76" t="str">
        <f>INDICADORES!J81</f>
        <v>indeterminado</v>
      </c>
      <c r="T13" s="37" t="str">
        <f>INDICADORES!K81</f>
        <v>indeterminado</v>
      </c>
      <c r="U13" s="81">
        <f>INDICADORES!L81</f>
        <v>0</v>
      </c>
      <c r="V13" s="37" t="str">
        <f>INDICADORES!M81</f>
        <v>indeterminado</v>
      </c>
      <c r="W13" s="37" t="str">
        <f>INDICADORES!N81</f>
        <v>indeterminado</v>
      </c>
      <c r="Y13" s="478" t="s">
        <v>45</v>
      </c>
      <c r="Z13" s="479"/>
      <c r="AA13" s="42">
        <v>1</v>
      </c>
      <c r="AB13" s="41" t="s">
        <v>44</v>
      </c>
      <c r="AC13" s="137" t="s">
        <v>104</v>
      </c>
      <c r="AF13" s="189">
        <v>6</v>
      </c>
      <c r="AG13" s="189">
        <v>10</v>
      </c>
      <c r="AH13" s="190">
        <v>30</v>
      </c>
    </row>
    <row r="14" spans="1:35" ht="13.5" thickBot="1" x14ac:dyDescent="0.25">
      <c r="A14" s="32">
        <v>12</v>
      </c>
      <c r="B14" s="221"/>
      <c r="C14" s="55" t="s">
        <v>74</v>
      </c>
      <c r="D14" s="347"/>
      <c r="E14" s="338"/>
      <c r="F14" s="339"/>
      <c r="G14" s="340"/>
      <c r="H14" s="341"/>
      <c r="I14" s="342"/>
      <c r="J14" s="158" t="str">
        <f>INDICADORES!AD94</f>
        <v>20XX</v>
      </c>
      <c r="K14" s="266">
        <f>INDICADORES!Q88</f>
        <v>548756716.79999995</v>
      </c>
      <c r="L14" s="163"/>
      <c r="M14" s="212"/>
      <c r="N14" s="288">
        <f>(M14/(INDICADORES!$C$168*100))*'Tener en cuenta'!B14</f>
        <v>0</v>
      </c>
      <c r="O14" s="260"/>
      <c r="P14" s="293">
        <f>SCE!F14</f>
        <v>0</v>
      </c>
      <c r="R14" s="54" t="str">
        <f>INDICADORES!I88</f>
        <v>indeterminado</v>
      </c>
      <c r="S14" s="76" t="str">
        <f>INDICADORES!J88</f>
        <v>indeterminado</v>
      </c>
      <c r="T14" s="37" t="str">
        <f>INDICADORES!K88</f>
        <v>indeterminado</v>
      </c>
      <c r="U14" s="81">
        <f>INDICADORES!L88</f>
        <v>0</v>
      </c>
      <c r="V14" s="37" t="str">
        <f>INDICADORES!M88</f>
        <v>indeterminado</v>
      </c>
      <c r="W14" s="37" t="str">
        <f>INDICADORES!N88</f>
        <v>indeterminado</v>
      </c>
      <c r="Y14" s="480"/>
      <c r="Z14" s="481"/>
      <c r="AA14" s="42">
        <v>2</v>
      </c>
      <c r="AB14" s="41" t="s">
        <v>63</v>
      </c>
      <c r="AC14" s="137" t="s">
        <v>103</v>
      </c>
      <c r="AF14" s="189">
        <v>11</v>
      </c>
      <c r="AG14" s="189" t="s">
        <v>89</v>
      </c>
      <c r="AH14" s="192">
        <v>40</v>
      </c>
    </row>
    <row r="15" spans="1:35" x14ac:dyDescent="0.2">
      <c r="A15" s="32">
        <v>13</v>
      </c>
      <c r="B15" s="219"/>
      <c r="C15" s="33">
        <v>1</v>
      </c>
      <c r="D15" s="56">
        <v>45568</v>
      </c>
      <c r="E15" s="77" t="s">
        <v>148</v>
      </c>
      <c r="F15" s="84" t="s">
        <v>149</v>
      </c>
      <c r="G15" s="109">
        <v>45463</v>
      </c>
      <c r="H15" s="156" t="s">
        <v>151</v>
      </c>
      <c r="I15" s="294" t="s">
        <v>150</v>
      </c>
      <c r="J15" s="79">
        <f>INDICADORES!AD101</f>
        <v>2023</v>
      </c>
      <c r="K15" s="263">
        <f>INDICADORES!Q95</f>
        <v>548756716.79999995</v>
      </c>
      <c r="L15" s="159"/>
      <c r="M15" s="208"/>
      <c r="N15" s="284">
        <f>(M15/(INDICADORES!$C$168*100))*'Tener en cuenta'!B15</f>
        <v>0</v>
      </c>
      <c r="O15" s="256"/>
      <c r="P15" s="289">
        <f>SCE!F15</f>
        <v>0</v>
      </c>
      <c r="R15" s="54">
        <f>INDICADORES!I95</f>
        <v>1.6904089322791731</v>
      </c>
      <c r="S15" s="76">
        <f>INDICADORES!J95</f>
        <v>0.46833654907153083</v>
      </c>
      <c r="T15" s="37">
        <f>INDICADORES!K95</f>
        <v>4.7978010321599811</v>
      </c>
      <c r="U15" s="81">
        <f>INDICADORES!L95</f>
        <v>3053867089</v>
      </c>
      <c r="V15" s="37">
        <f>INDICADORES!M95</f>
        <v>0.11094071311139884</v>
      </c>
      <c r="W15" s="37">
        <f>INDICADORES!N95</f>
        <v>4.7873715250157579E-2</v>
      </c>
      <c r="Y15" s="482"/>
      <c r="Z15" s="483"/>
      <c r="AA15" s="42">
        <v>3</v>
      </c>
      <c r="AB15" s="41" t="s">
        <v>47</v>
      </c>
      <c r="AC15" s="137" t="s">
        <v>47</v>
      </c>
    </row>
    <row r="16" spans="1:35" x14ac:dyDescent="0.2">
      <c r="A16" s="32">
        <v>14</v>
      </c>
      <c r="B16" s="216"/>
      <c r="C16" s="33">
        <v>2</v>
      </c>
      <c r="D16" s="56">
        <v>45562</v>
      </c>
      <c r="E16" s="78" t="s">
        <v>152</v>
      </c>
      <c r="F16" s="84" t="s">
        <v>153</v>
      </c>
      <c r="G16" s="110">
        <v>45546</v>
      </c>
      <c r="H16" s="34" t="s">
        <v>151</v>
      </c>
      <c r="I16" s="224" t="s">
        <v>150</v>
      </c>
      <c r="J16" s="80">
        <f>INDICADORES!AD108</f>
        <v>2023</v>
      </c>
      <c r="K16" s="263">
        <f>INDICADORES!Q102</f>
        <v>548756716.79999995</v>
      </c>
      <c r="L16" s="160"/>
      <c r="M16" s="209"/>
      <c r="N16" s="285">
        <f>(M16/(INDICADORES!$C$168*100))*'Tener en cuenta'!B16</f>
        <v>0</v>
      </c>
      <c r="O16" s="257"/>
      <c r="P16" s="290">
        <f>SCE!F16</f>
        <v>0</v>
      </c>
      <c r="R16" s="54">
        <f>INDICADORES!I102</f>
        <v>3.036311099356336</v>
      </c>
      <c r="S16" s="76">
        <f>INDICADORES!J102</f>
        <v>0.31465900902506394</v>
      </c>
      <c r="T16" s="37">
        <f>INDICADORES!K102</f>
        <v>3.4641306887238001</v>
      </c>
      <c r="U16" s="81">
        <f>INDICADORES!L102</f>
        <v>12948863997</v>
      </c>
      <c r="V16" s="37">
        <f>INDICADORES!M102</f>
        <v>0.10671770964460817</v>
      </c>
      <c r="W16" s="37">
        <f>INDICADORES!N102</f>
        <v>6.9991430792160622E-2</v>
      </c>
      <c r="AF16" s="463" t="s">
        <v>91</v>
      </c>
      <c r="AG16" s="463"/>
      <c r="AH16" s="463"/>
    </row>
    <row r="17" spans="1:35" x14ac:dyDescent="0.2">
      <c r="A17" s="32">
        <v>15</v>
      </c>
      <c r="B17" s="216"/>
      <c r="C17" s="55">
        <v>3</v>
      </c>
      <c r="D17" s="56">
        <v>45581</v>
      </c>
      <c r="E17" s="78" t="s">
        <v>154</v>
      </c>
      <c r="F17" s="84" t="s">
        <v>155</v>
      </c>
      <c r="G17" s="110">
        <v>45384</v>
      </c>
      <c r="H17" s="34" t="s">
        <v>151</v>
      </c>
      <c r="I17" s="224" t="s">
        <v>156</v>
      </c>
      <c r="J17" s="80">
        <f>INDICADORES!AD115</f>
        <v>2023</v>
      </c>
      <c r="K17" s="263">
        <f>INDICADORES!Q109</f>
        <v>548756716.79999995</v>
      </c>
      <c r="L17" s="160"/>
      <c r="M17" s="209"/>
      <c r="N17" s="285">
        <f>(M17/(INDICADORES!$C$168*100))*'Tener en cuenta'!B17</f>
        <v>0</v>
      </c>
      <c r="O17" s="257"/>
      <c r="P17" s="290">
        <f>SCE!F18</f>
        <v>0</v>
      </c>
      <c r="R17" s="54">
        <f>INDICADORES!I109</f>
        <v>2.3183678126354335</v>
      </c>
      <c r="S17" s="76">
        <f>INDICADORES!J109</f>
        <v>0.36689645373048752</v>
      </c>
      <c r="T17" s="37">
        <f>INDICADORES!K109</f>
        <v>1655.0218340611355</v>
      </c>
      <c r="U17" s="81">
        <f>INDICADORES!L109</f>
        <v>600757000</v>
      </c>
      <c r="V17" s="37">
        <f>INDICADORES!M109</f>
        <v>0.10962791817409738</v>
      </c>
      <c r="W17" s="37">
        <f>INDICADORES!N109</f>
        <v>7.4540580047119137E-2</v>
      </c>
      <c r="Y17" s="304" t="s">
        <v>138</v>
      </c>
      <c r="Z17" s="242"/>
      <c r="AA17" s="242"/>
      <c r="AB17" s="305" t="s">
        <v>139</v>
      </c>
      <c r="AC17" s="243"/>
    </row>
    <row r="18" spans="1:35" x14ac:dyDescent="0.2">
      <c r="A18" s="32">
        <v>16</v>
      </c>
      <c r="B18" s="216"/>
      <c r="C18" s="33">
        <v>4</v>
      </c>
      <c r="D18" s="56">
        <v>45581</v>
      </c>
      <c r="E18" s="78" t="s">
        <v>157</v>
      </c>
      <c r="F18" s="84" t="s">
        <v>158</v>
      </c>
      <c r="G18" s="110">
        <v>45414</v>
      </c>
      <c r="H18" s="34" t="s">
        <v>151</v>
      </c>
      <c r="I18" s="224" t="s">
        <v>156</v>
      </c>
      <c r="J18" s="80">
        <f>INDICADORES!AD122</f>
        <v>2023</v>
      </c>
      <c r="K18" s="263">
        <f>INDICADORES!Q116</f>
        <v>548756716.79999995</v>
      </c>
      <c r="L18" s="160"/>
      <c r="M18" s="209"/>
      <c r="N18" s="285">
        <f>(M18/(INDICADORES!$C$168*100))*'Tener en cuenta'!B18</f>
        <v>0</v>
      </c>
      <c r="O18" s="257"/>
      <c r="P18" s="290">
        <f>SCE!F19</f>
        <v>0</v>
      </c>
      <c r="R18" s="54">
        <f>INDICADORES!I116</f>
        <v>8.6330146190905044</v>
      </c>
      <c r="S18" s="76">
        <f>INDICADORES!J116</f>
        <v>7.1301201543165951E-2</v>
      </c>
      <c r="T18" s="37">
        <f>INDICADORES!K116</f>
        <v>230.43631442822834</v>
      </c>
      <c r="U18" s="81">
        <f>INDICADORES!L116</f>
        <v>872995515</v>
      </c>
      <c r="V18" s="37">
        <f>INDICADORES!M116</f>
        <v>0.82736314117205512</v>
      </c>
      <c r="W18" s="37">
        <f>INDICADORES!N116</f>
        <v>0.76765814307852787</v>
      </c>
      <c r="Y18" s="304" t="s">
        <v>105</v>
      </c>
      <c r="Z18" s="242"/>
      <c r="AA18" s="242"/>
      <c r="AB18" s="305" t="s">
        <v>140</v>
      </c>
      <c r="AC18" s="42"/>
    </row>
    <row r="19" spans="1:35" x14ac:dyDescent="0.2">
      <c r="A19" s="32">
        <v>17</v>
      </c>
      <c r="B19" s="216" t="s">
        <v>171</v>
      </c>
      <c r="C19" s="33">
        <v>5</v>
      </c>
      <c r="D19" s="56">
        <v>45568</v>
      </c>
      <c r="E19" s="78" t="s">
        <v>159</v>
      </c>
      <c r="F19" s="84" t="s">
        <v>160</v>
      </c>
      <c r="G19" s="110">
        <v>45398</v>
      </c>
      <c r="H19" s="34" t="s">
        <v>151</v>
      </c>
      <c r="I19" s="224" t="s">
        <v>156</v>
      </c>
      <c r="J19" s="80">
        <f>INDICADORES!AD129</f>
        <v>2023</v>
      </c>
      <c r="K19" s="263" t="e">
        <f>INDICADORES!Q123</f>
        <v>#VALUE!</v>
      </c>
      <c r="L19" s="160"/>
      <c r="M19" s="209"/>
      <c r="N19" s="285" t="e">
        <f>(M19/(INDICADORES!$C$168*100))*'Tener en cuenta'!B19</f>
        <v>#VALUE!</v>
      </c>
      <c r="O19" s="257"/>
      <c r="P19" s="290">
        <f>SCE!F20</f>
        <v>0</v>
      </c>
      <c r="R19" s="54">
        <f>INDICADORES!I123</f>
        <v>1.7324698588307126</v>
      </c>
      <c r="S19" s="76">
        <f>INDICADORES!J123</f>
        <v>0.5713289184612127</v>
      </c>
      <c r="T19" s="37">
        <f>INDICADORES!K123</f>
        <v>7.3475395887231185</v>
      </c>
      <c r="U19" s="81">
        <f>INDICADORES!L123</f>
        <v>1302791518</v>
      </c>
      <c r="V19" s="37">
        <f>INDICADORES!M123</f>
        <v>0.44112198805433317</v>
      </c>
      <c r="W19" s="37">
        <f>INDICADORES!N123</f>
        <v>0.17909623970979099</v>
      </c>
      <c r="AF19" s="463" t="s">
        <v>92</v>
      </c>
      <c r="AG19" s="463"/>
      <c r="AH19" s="463"/>
    </row>
    <row r="20" spans="1:35" ht="15" x14ac:dyDescent="0.2">
      <c r="A20" s="32">
        <v>18</v>
      </c>
      <c r="B20" s="216"/>
      <c r="C20" s="55">
        <v>6</v>
      </c>
      <c r="D20" s="56">
        <v>45565</v>
      </c>
      <c r="E20" s="78" t="s">
        <v>161</v>
      </c>
      <c r="F20" s="84" t="s">
        <v>163</v>
      </c>
      <c r="G20" s="110">
        <v>45404</v>
      </c>
      <c r="H20" s="34" t="s">
        <v>151</v>
      </c>
      <c r="I20" s="224" t="s">
        <v>162</v>
      </c>
      <c r="J20" s="80">
        <f>INDICADORES!AD136</f>
        <v>2023</v>
      </c>
      <c r="K20" s="263">
        <f>INDICADORES!Q130</f>
        <v>548756716.79999995</v>
      </c>
      <c r="L20" s="160"/>
      <c r="M20" s="209"/>
      <c r="N20" s="285">
        <f>(M20/(INDICADORES!$C$168*100))*'Tener en cuenta'!B20</f>
        <v>0</v>
      </c>
      <c r="O20" s="257"/>
      <c r="P20" s="290">
        <f>SCE!F21</f>
        <v>0</v>
      </c>
      <c r="R20" s="54">
        <f>INDICADORES!I130</f>
        <v>1.9305604684972268</v>
      </c>
      <c r="S20" s="76">
        <f>INDICADORES!J130</f>
        <v>0.48183747232115343</v>
      </c>
      <c r="T20" s="37">
        <f>INDICADORES!K130</f>
        <v>4.6717373040158137</v>
      </c>
      <c r="U20" s="81">
        <f>INDICADORES!L130</f>
        <v>6414999672</v>
      </c>
      <c r="V20" s="37">
        <f>INDICADORES!M130</f>
        <v>0.29569694747392916</v>
      </c>
      <c r="W20" s="37">
        <f>INDICADORES!N130</f>
        <v>0.14840070300679872</v>
      </c>
      <c r="Y20" s="137">
        <v>2436003</v>
      </c>
      <c r="Z20" s="295" t="s">
        <v>170</v>
      </c>
      <c r="AA20" s="113"/>
      <c r="AB20" s="114" t="s">
        <v>66</v>
      </c>
      <c r="AC20" s="115"/>
      <c r="AF20" s="187" t="s">
        <v>86</v>
      </c>
      <c r="AG20" s="188" t="s">
        <v>87</v>
      </c>
      <c r="AH20" s="188" t="s">
        <v>88</v>
      </c>
    </row>
    <row r="21" spans="1:35" x14ac:dyDescent="0.2">
      <c r="A21" s="32">
        <v>19</v>
      </c>
      <c r="B21" s="216"/>
      <c r="C21" s="33">
        <v>7</v>
      </c>
      <c r="D21" s="56">
        <v>45584</v>
      </c>
      <c r="E21" s="78" t="s">
        <v>164</v>
      </c>
      <c r="F21" s="84" t="s">
        <v>166</v>
      </c>
      <c r="G21" s="110">
        <v>45461</v>
      </c>
      <c r="H21" s="34" t="s">
        <v>151</v>
      </c>
      <c r="I21" s="224" t="s">
        <v>167</v>
      </c>
      <c r="J21" s="80">
        <f>INDICADORES!AD143</f>
        <v>2023</v>
      </c>
      <c r="K21" s="263">
        <f>INDICADORES!Q137</f>
        <v>548756716.79999995</v>
      </c>
      <c r="L21" s="160"/>
      <c r="M21" s="209"/>
      <c r="N21" s="285">
        <f>(M21/(INDICADORES!$C$168*100))*'Tener en cuenta'!B21</f>
        <v>0</v>
      </c>
      <c r="O21" s="257"/>
      <c r="P21" s="290"/>
      <c r="R21" s="54">
        <f>INDICADORES!I137</f>
        <v>18.628752209718925</v>
      </c>
      <c r="S21" s="76">
        <f>INDICADORES!J137</f>
        <v>0.19061960709417675</v>
      </c>
      <c r="T21" s="37">
        <f>INDICADORES!K137</f>
        <v>144.70828362144283</v>
      </c>
      <c r="U21" s="81">
        <f>INDICADORES!L137</f>
        <v>4057957875</v>
      </c>
      <c r="V21" s="37">
        <f>INDICADORES!M137</f>
        <v>1.1550761653407358</v>
      </c>
      <c r="W21" s="37">
        <f>INDICADORES!N137</f>
        <v>0.94298980446869463</v>
      </c>
      <c r="Y21" s="137">
        <v>2440453</v>
      </c>
      <c r="Z21" s="296"/>
      <c r="AA21" s="116"/>
      <c r="AB21" s="138" t="s">
        <v>130</v>
      </c>
      <c r="AC21" s="117"/>
      <c r="AF21" s="189">
        <v>0</v>
      </c>
      <c r="AG21" s="189">
        <v>3</v>
      </c>
      <c r="AH21" s="190">
        <v>60</v>
      </c>
    </row>
    <row r="22" spans="1:35" x14ac:dyDescent="0.2">
      <c r="A22" s="32">
        <v>20</v>
      </c>
      <c r="B22" s="216"/>
      <c r="C22" s="33">
        <v>8</v>
      </c>
      <c r="D22" s="56">
        <v>45575</v>
      </c>
      <c r="E22" s="78" t="s">
        <v>168</v>
      </c>
      <c r="F22" s="84" t="s">
        <v>169</v>
      </c>
      <c r="G22" s="110">
        <v>45418</v>
      </c>
      <c r="H22" s="34" t="s">
        <v>151</v>
      </c>
      <c r="I22" s="224" t="s">
        <v>162</v>
      </c>
      <c r="J22" s="80">
        <f>INDICADORES!AD150</f>
        <v>2023</v>
      </c>
      <c r="K22" s="263">
        <f>INDICADORES!Q144</f>
        <v>548756716.79999995</v>
      </c>
      <c r="L22" s="160"/>
      <c r="M22" s="209"/>
      <c r="N22" s="285">
        <f>(M22/(INDICADORES!$C$168*100))*'Tener en cuenta'!B22</f>
        <v>0</v>
      </c>
      <c r="O22" s="257"/>
      <c r="P22" s="290">
        <f>SCE!F26</f>
        <v>0</v>
      </c>
      <c r="R22" s="54">
        <f>INDICADORES!I144</f>
        <v>2.0344418683995795</v>
      </c>
      <c r="S22" s="76">
        <f>INDICADORES!J144</f>
        <v>0.44721835718776004</v>
      </c>
      <c r="T22" s="37">
        <f>INDICADORES!K144</f>
        <v>1027.1590019027849</v>
      </c>
      <c r="U22" s="81">
        <f>INDICADORES!L144</f>
        <v>21508556000</v>
      </c>
      <c r="V22" s="37">
        <f>INDICADORES!M144</f>
        <v>0.2257119434208516</v>
      </c>
      <c r="W22" s="37">
        <f>INDICADORES!N144</f>
        <v>0.11794011588043558</v>
      </c>
      <c r="AF22" s="189">
        <v>4</v>
      </c>
      <c r="AG22" s="189">
        <v>6</v>
      </c>
      <c r="AH22" s="190">
        <v>80</v>
      </c>
    </row>
    <row r="23" spans="1:35" x14ac:dyDescent="0.2">
      <c r="A23" s="32">
        <v>21</v>
      </c>
      <c r="B23" s="216"/>
      <c r="C23" s="55">
        <v>16</v>
      </c>
      <c r="D23" s="317"/>
      <c r="E23" s="318"/>
      <c r="F23" s="319"/>
      <c r="G23" s="320"/>
      <c r="H23" s="324"/>
      <c r="I23" s="348"/>
      <c r="J23" s="80" t="str">
        <f>INDICADORES!AD157</f>
        <v>20XX</v>
      </c>
      <c r="K23" s="263">
        <f>INDICADORES!Q151</f>
        <v>548756716.79999995</v>
      </c>
      <c r="L23" s="160"/>
      <c r="M23" s="209"/>
      <c r="N23" s="285">
        <f>(M23/(INDICADORES!$C$168*100))*'Tener en cuenta'!B23</f>
        <v>0</v>
      </c>
      <c r="O23" s="257"/>
      <c r="P23" s="290">
        <f>SCE!F27</f>
        <v>0</v>
      </c>
      <c r="R23" s="54" t="str">
        <f>INDICADORES!I151</f>
        <v>indeterminado</v>
      </c>
      <c r="S23" s="76" t="str">
        <f>INDICADORES!J151</f>
        <v>indeterminado</v>
      </c>
      <c r="T23" s="37" t="str">
        <f>INDICADORES!K151</f>
        <v>indeterminado</v>
      </c>
      <c r="U23" s="81">
        <f>INDICADORES!L151</f>
        <v>0</v>
      </c>
      <c r="V23" s="37" t="str">
        <f>INDICADORES!M151</f>
        <v>indeterminado</v>
      </c>
      <c r="W23" s="37" t="str">
        <f>INDICADORES!N151</f>
        <v>indeterminado</v>
      </c>
      <c r="Y23" s="177">
        <v>357</v>
      </c>
      <c r="Z23" s="113"/>
      <c r="AA23" s="114" t="s">
        <v>76</v>
      </c>
      <c r="AB23" s="113"/>
      <c r="AC23" s="115"/>
      <c r="AF23" s="189">
        <v>7</v>
      </c>
      <c r="AG23" s="189">
        <v>10</v>
      </c>
      <c r="AH23" s="190">
        <v>100</v>
      </c>
    </row>
    <row r="24" spans="1:35" x14ac:dyDescent="0.2">
      <c r="A24" s="32">
        <v>22</v>
      </c>
      <c r="B24" s="216"/>
      <c r="C24" s="33">
        <v>17</v>
      </c>
      <c r="D24" s="322"/>
      <c r="E24" s="318"/>
      <c r="F24" s="323"/>
      <c r="G24" s="324"/>
      <c r="H24" s="324"/>
      <c r="I24" s="348"/>
      <c r="J24" s="80" t="str">
        <f>INDICADORES!AD164</f>
        <v>20XX</v>
      </c>
      <c r="K24" s="263">
        <f>INDICADORES!Q158</f>
        <v>548756716.79999995</v>
      </c>
      <c r="L24" s="160"/>
      <c r="M24" s="209"/>
      <c r="N24" s="285">
        <f>(M24/(INDICADORES!$C$168*100))*'Tener en cuenta'!B24</f>
        <v>0</v>
      </c>
      <c r="O24" s="257"/>
      <c r="P24" s="290">
        <f>SCE!F28</f>
        <v>0</v>
      </c>
      <c r="R24" s="54" t="str">
        <f>INDICADORES!I158</f>
        <v>indeterminado</v>
      </c>
      <c r="S24" s="76" t="str">
        <f>INDICADORES!J158</f>
        <v>indeterminado</v>
      </c>
      <c r="T24" s="37" t="str">
        <f>INDICADORES!K158</f>
        <v>indeterminado</v>
      </c>
      <c r="U24" s="81">
        <f>INDICADORES!L158</f>
        <v>0</v>
      </c>
      <c r="V24" s="37" t="str">
        <f>INDICADORES!M158</f>
        <v>indeterminado</v>
      </c>
      <c r="W24" s="37" t="str">
        <f>INDICADORES!N158</f>
        <v>indeterminado</v>
      </c>
      <c r="Y24" s="178">
        <v>560</v>
      </c>
      <c r="Z24" s="116"/>
      <c r="AA24" s="138" t="s">
        <v>77</v>
      </c>
      <c r="AB24" s="116"/>
      <c r="AC24" s="117"/>
      <c r="AF24" s="189">
        <v>11</v>
      </c>
      <c r="AG24" s="189" t="s">
        <v>89</v>
      </c>
      <c r="AH24" s="192">
        <v>120</v>
      </c>
    </row>
    <row r="25" spans="1:35" x14ac:dyDescent="0.2">
      <c r="G25" s="82"/>
      <c r="H25" s="82"/>
      <c r="I25" s="83"/>
      <c r="Y25" s="178">
        <v>561</v>
      </c>
      <c r="Z25" s="116"/>
      <c r="AA25" s="138" t="s">
        <v>131</v>
      </c>
      <c r="AB25" s="116"/>
      <c r="AC25" s="117"/>
    </row>
    <row r="26" spans="1:35" ht="15" x14ac:dyDescent="0.2">
      <c r="G26" s="166" t="s">
        <v>145</v>
      </c>
      <c r="Y26" s="178">
        <v>534</v>
      </c>
      <c r="Z26" s="116"/>
      <c r="AA26" s="138" t="s">
        <v>132</v>
      </c>
      <c r="AB26" s="116"/>
      <c r="AC26" s="117"/>
      <c r="AG26" s="193" t="s">
        <v>93</v>
      </c>
      <c r="AH26" s="192">
        <f>AH24+AH17+AH14+AH8</f>
        <v>200</v>
      </c>
    </row>
    <row r="27" spans="1:35" x14ac:dyDescent="0.2">
      <c r="C27" s="33">
        <v>4</v>
      </c>
      <c r="D27" s="317"/>
      <c r="E27" s="318"/>
      <c r="F27" s="319"/>
      <c r="G27" s="324"/>
      <c r="H27" s="324"/>
      <c r="I27" s="349"/>
      <c r="R27" s="54" t="str">
        <f>INDICADORES!I28</f>
        <v>indeterminado</v>
      </c>
      <c r="S27" s="76" t="str">
        <f>INDICADORES!J28</f>
        <v>indeterminado</v>
      </c>
      <c r="T27" s="37" t="str">
        <f>INDICADORES!K28</f>
        <v>indeterminado</v>
      </c>
      <c r="U27" s="81">
        <f>INDICADORES!L28</f>
        <v>0</v>
      </c>
      <c r="V27" s="37" t="str">
        <f>INDICADORES!M28</f>
        <v>indeterminado</v>
      </c>
      <c r="W27" s="37" t="str">
        <f>INDICADORES!N28</f>
        <v>indeterminado</v>
      </c>
    </row>
    <row r="28" spans="1:35" x14ac:dyDescent="0.2">
      <c r="C28" s="33">
        <v>5</v>
      </c>
      <c r="D28" s="322"/>
      <c r="E28" s="318"/>
      <c r="F28" s="323"/>
      <c r="G28" s="324"/>
      <c r="H28" s="324"/>
      <c r="I28" s="349"/>
      <c r="R28" s="54" t="str">
        <f>INDICADORES!I50</f>
        <v>indeterminado</v>
      </c>
      <c r="S28" s="76" t="str">
        <f>INDICADORES!J50</f>
        <v>indeterminado</v>
      </c>
      <c r="T28" s="37" t="str">
        <f>INDICADORES!K50</f>
        <v>indeterminado</v>
      </c>
      <c r="U28" s="81">
        <f>INDICADORES!L50</f>
        <v>0</v>
      </c>
      <c r="V28" s="37" t="str">
        <f>INDICADORES!M50</f>
        <v>indeterminado</v>
      </c>
      <c r="W28" s="37" t="str">
        <f>INDICADORES!N50</f>
        <v>indeterminado</v>
      </c>
      <c r="AF28" s="463" t="s">
        <v>94</v>
      </c>
      <c r="AG28" s="463"/>
      <c r="AH28" s="463"/>
    </row>
    <row r="29" spans="1:35" ht="15" x14ac:dyDescent="0.2">
      <c r="C29" s="33">
        <v>6</v>
      </c>
      <c r="D29" s="322"/>
      <c r="E29" s="318"/>
      <c r="F29" s="323"/>
      <c r="G29" s="324"/>
      <c r="H29" s="324"/>
      <c r="I29" s="349"/>
      <c r="R29" s="54" t="str">
        <f>INDICADORES!I65</f>
        <v>indeterminado</v>
      </c>
      <c r="S29" s="76" t="str">
        <f>INDICADORES!J65</f>
        <v>indeterminado</v>
      </c>
      <c r="T29" s="37" t="str">
        <f>INDICADORES!K65</f>
        <v>indeterminado</v>
      </c>
      <c r="U29" s="81">
        <f>INDICADORES!L65</f>
        <v>0</v>
      </c>
      <c r="V29" s="37" t="str">
        <f>INDICADORES!M65</f>
        <v>indeterminado</v>
      </c>
      <c r="W29" s="37" t="str">
        <f>INDICADORES!N65</f>
        <v>indeterminado</v>
      </c>
      <c r="AF29" s="187" t="s">
        <v>86</v>
      </c>
      <c r="AG29" s="188" t="s">
        <v>87</v>
      </c>
      <c r="AH29" s="188" t="s">
        <v>88</v>
      </c>
      <c r="AI29" s="188" t="s">
        <v>6</v>
      </c>
    </row>
    <row r="30" spans="1:35" ht="33.75" x14ac:dyDescent="0.2">
      <c r="C30" s="33">
        <v>7</v>
      </c>
      <c r="D30" s="322"/>
      <c r="E30" s="318"/>
      <c r="F30" s="323"/>
      <c r="G30" s="324"/>
      <c r="H30" s="324"/>
      <c r="I30" s="349"/>
      <c r="R30" s="54" t="str">
        <f>INDICADORES!I80</f>
        <v>indeterminado</v>
      </c>
      <c r="S30" s="76" t="str">
        <f>INDICADORES!J80</f>
        <v>indeterminado</v>
      </c>
      <c r="T30" s="37" t="str">
        <f>INDICADORES!K80</f>
        <v>indeterminado</v>
      </c>
      <c r="U30" s="81">
        <f>INDICADORES!L80</f>
        <v>0</v>
      </c>
      <c r="V30" s="37" t="str">
        <f>INDICADORES!M80</f>
        <v>indeterminado</v>
      </c>
      <c r="W30" s="37" t="str">
        <f>INDICADORES!N80</f>
        <v>indeterminado</v>
      </c>
      <c r="Y30" s="82"/>
      <c r="AB30" s="82"/>
      <c r="AF30" s="189">
        <v>0</v>
      </c>
      <c r="AG30" s="189">
        <v>1</v>
      </c>
      <c r="AH30" s="194">
        <v>457297264</v>
      </c>
      <c r="AI30" s="195" t="s">
        <v>95</v>
      </c>
    </row>
    <row r="31" spans="1:35" ht="22.5" x14ac:dyDescent="0.2">
      <c r="Y31" s="308" t="s">
        <v>136</v>
      </c>
      <c r="Z31" s="33"/>
      <c r="AA31" s="33"/>
      <c r="AB31" s="137" t="s">
        <v>134</v>
      </c>
      <c r="AF31" s="189">
        <v>1.01</v>
      </c>
      <c r="AG31" s="189">
        <v>5</v>
      </c>
      <c r="AH31" s="196"/>
      <c r="AI31" s="195" t="s">
        <v>96</v>
      </c>
    </row>
    <row r="32" spans="1:35" x14ac:dyDescent="0.2">
      <c r="Y32" s="137">
        <v>2020</v>
      </c>
      <c r="Z32" s="33"/>
      <c r="AA32" s="33"/>
      <c r="AB32" s="137" t="s">
        <v>134</v>
      </c>
      <c r="AF32" s="189">
        <v>5.01</v>
      </c>
      <c r="AG32" s="189" t="s">
        <v>89</v>
      </c>
      <c r="AH32" s="196"/>
      <c r="AI32" s="195" t="s">
        <v>97</v>
      </c>
    </row>
    <row r="33" spans="25:28" x14ac:dyDescent="0.2">
      <c r="Y33" s="33">
        <v>2021</v>
      </c>
      <c r="Z33" s="33"/>
      <c r="AA33" s="33"/>
      <c r="AB33" s="137" t="s">
        <v>134</v>
      </c>
    </row>
    <row r="34" spans="25:28" x14ac:dyDescent="0.2">
      <c r="Y34" s="33">
        <v>2022</v>
      </c>
      <c r="Z34" s="33"/>
      <c r="AA34" s="33"/>
      <c r="AB34" s="137" t="s">
        <v>134</v>
      </c>
    </row>
    <row r="35" spans="25:28" x14ac:dyDescent="0.2">
      <c r="Y35" s="33">
        <v>2023</v>
      </c>
      <c r="Z35" s="33"/>
      <c r="AA35" s="33"/>
      <c r="AB35" s="137" t="s">
        <v>134</v>
      </c>
    </row>
    <row r="36" spans="25:28" x14ac:dyDescent="0.2">
      <c r="Y36" s="33">
        <v>2024</v>
      </c>
      <c r="Z36" s="33"/>
      <c r="AA36" s="33"/>
      <c r="AB36" s="137" t="s">
        <v>134</v>
      </c>
    </row>
  </sheetData>
  <autoFilter ref="A1:AC1" xr:uid="{00000000-0009-0000-0000-000001000000}">
    <filterColumn colId="24" showButton="0"/>
    <filterColumn colId="27" showButton="0"/>
  </autoFilter>
  <mergeCells count="32">
    <mergeCell ref="AF28:AH28"/>
    <mergeCell ref="L1:L2"/>
    <mergeCell ref="M1:M2"/>
    <mergeCell ref="AF1:AI1"/>
    <mergeCell ref="AF2:AH2"/>
    <mergeCell ref="AF10:AH10"/>
    <mergeCell ref="AF16:AH16"/>
    <mergeCell ref="AF19:AH19"/>
    <mergeCell ref="Y13:Z15"/>
    <mergeCell ref="Y10:Z11"/>
    <mergeCell ref="AB10:AC10"/>
    <mergeCell ref="AB11:AC11"/>
    <mergeCell ref="AB1:AC1"/>
    <mergeCell ref="AB2:AC2"/>
    <mergeCell ref="AB3:AC3"/>
    <mergeCell ref="AB4:AC4"/>
    <mergeCell ref="J1:J2"/>
    <mergeCell ref="A1:A2"/>
    <mergeCell ref="Q1:Q2"/>
    <mergeCell ref="AB5:AC7"/>
    <mergeCell ref="AA5:AA7"/>
    <mergeCell ref="Y1:Z7"/>
    <mergeCell ref="C1:C2"/>
    <mergeCell ref="D1:D2"/>
    <mergeCell ref="G1:G2"/>
    <mergeCell ref="H1:H2"/>
    <mergeCell ref="I1:I2"/>
    <mergeCell ref="E1:E2"/>
    <mergeCell ref="F1:F2"/>
    <mergeCell ref="O1:O2"/>
    <mergeCell ref="P1:P2"/>
    <mergeCell ref="K1:K2"/>
  </mergeCells>
  <conditionalFormatting sqref="D3:D24">
    <cfRule type="expression" dxfId="43" priority="457">
      <formula>($D3-$B$2)&gt;=-30</formula>
    </cfRule>
    <cfRule type="expression" dxfId="42" priority="456">
      <formula>($D3-$B$2)&lt;-30</formula>
    </cfRule>
  </conditionalFormatting>
  <conditionalFormatting sqref="D27:D30">
    <cfRule type="expression" dxfId="41" priority="35">
      <formula>($D27-$B$2)&lt;-30</formula>
    </cfRule>
    <cfRule type="expression" dxfId="40" priority="36">
      <formula>($D27-$B$2)&gt;=-30</formula>
    </cfRule>
  </conditionalFormatting>
  <conditionalFormatting sqref="E3:E24 G3:I24">
    <cfRule type="containsText" dxfId="39" priority="121" operator="containsText" text="NO">
      <formula>NOT(ISERROR(SEARCH("NO",E3)))</formula>
    </cfRule>
    <cfRule type="containsText" dxfId="38" priority="122" operator="containsText" text="SI">
      <formula>NOT(ISERROR(SEARCH("SI",E3)))</formula>
    </cfRule>
  </conditionalFormatting>
  <conditionalFormatting sqref="E27:E30 G27:I30">
    <cfRule type="containsText" dxfId="37" priority="30" operator="containsText" text="SI">
      <formula>NOT(ISERROR(SEARCH("SI",E27)))</formula>
    </cfRule>
    <cfRule type="containsText" dxfId="36" priority="29" operator="containsText" text="NO">
      <formula>NOT(ISERROR(SEARCH("NO",E27)))</formula>
    </cfRule>
  </conditionalFormatting>
  <conditionalFormatting sqref="F3:F24">
    <cfRule type="containsText" dxfId="35" priority="15" operator="containsText" text=" ">
      <formula>NOT(ISERROR(SEARCH(" ",F3)))</formula>
    </cfRule>
    <cfRule type="containsBlanks" dxfId="34" priority="16">
      <formula>LEN(TRIM(F3))=0</formula>
    </cfRule>
  </conditionalFormatting>
  <conditionalFormatting sqref="F27:F30">
    <cfRule type="containsText" dxfId="33" priority="13" operator="containsText" text=" ">
      <formula>NOT(ISERROR(SEARCH(" ",F27)))</formula>
    </cfRule>
    <cfRule type="containsBlanks" dxfId="32" priority="14">
      <formula>LEN(TRIM(F27))=0</formula>
    </cfRule>
  </conditionalFormatting>
  <conditionalFormatting sqref="L3:P24">
    <cfRule type="containsText" dxfId="31" priority="22" operator="containsText" text="SI">
      <formula>NOT(ISERROR(SEARCH("SI",L3)))</formula>
    </cfRule>
    <cfRule type="containsText" dxfId="30" priority="21" operator="containsText" text="NO">
      <formula>NOT(ISERROR(SEARCH("NO",L3)))</formula>
    </cfRule>
  </conditionalFormatting>
  <conditionalFormatting sqref="R3:R24">
    <cfRule type="expression" dxfId="29" priority="11">
      <formula>$R3&lt;$R$2</formula>
    </cfRule>
    <cfRule type="expression" dxfId="28" priority="12">
      <formula>$R3&gt;=$R$2</formula>
    </cfRule>
  </conditionalFormatting>
  <conditionalFormatting sqref="R27:R30">
    <cfRule type="expression" dxfId="27" priority="9">
      <formula>$R27&lt;$R$2</formula>
    </cfRule>
    <cfRule type="expression" dxfId="26" priority="10">
      <formula>$R27&gt;=$R$2</formula>
    </cfRule>
  </conditionalFormatting>
  <conditionalFormatting sqref="S3:S24">
    <cfRule type="expression" dxfId="25" priority="110">
      <formula>$S3&gt;$S$2</formula>
    </cfRule>
    <cfRule type="expression" dxfId="24" priority="138">
      <formula>$S3&lt;=$S$2</formula>
    </cfRule>
  </conditionalFormatting>
  <conditionalFormatting sqref="S27:S30">
    <cfRule type="expression" dxfId="23" priority="7">
      <formula>$S27&gt;$S$2</formula>
    </cfRule>
    <cfRule type="expression" dxfId="22" priority="8">
      <formula>$S27&lt;=$S$2</formula>
    </cfRule>
  </conditionalFormatting>
  <conditionalFormatting sqref="T3:T24">
    <cfRule type="expression" dxfId="21" priority="342">
      <formula>$T$3&lt;$T$2</formula>
    </cfRule>
    <cfRule type="expression" dxfId="20" priority="347">
      <formula>$T3&gt;=$T$2</formula>
    </cfRule>
  </conditionalFormatting>
  <conditionalFormatting sqref="T27:T30">
    <cfRule type="expression" dxfId="19" priority="5">
      <formula>$T$3&lt;$T$2</formula>
    </cfRule>
    <cfRule type="expression" dxfId="18" priority="6">
      <formula>$T27&gt;=$T$2</formula>
    </cfRule>
  </conditionalFormatting>
  <conditionalFormatting sqref="V3:V24">
    <cfRule type="expression" dxfId="13" priority="114">
      <formula>$V3&lt;$V$2</formula>
    </cfRule>
    <cfRule type="expression" dxfId="12" priority="427">
      <formula>$V3&gt;=$V$2</formula>
    </cfRule>
  </conditionalFormatting>
  <conditionalFormatting sqref="V27:V30">
    <cfRule type="expression" dxfId="11" priority="4">
      <formula>$V27&gt;=$V$2</formula>
    </cfRule>
    <cfRule type="expression" dxfId="10" priority="3">
      <formula>$V27&lt;$V$2</formula>
    </cfRule>
  </conditionalFormatting>
  <conditionalFormatting sqref="W3:W24">
    <cfRule type="expression" dxfId="9" priority="423">
      <formula>$W3&gt;=$W$2</formula>
    </cfRule>
    <cfRule type="expression" dxfId="8" priority="112">
      <formula>$W3&lt;$W$2</formula>
    </cfRule>
  </conditionalFormatting>
  <conditionalFormatting sqref="W27:W30">
    <cfRule type="expression" dxfId="7" priority="2">
      <formula>$W27&gt;=$W$2</formula>
    </cfRule>
    <cfRule type="expression" dxfId="6" priority="1">
      <formula>$W27&lt;$W$2</formula>
    </cfRule>
  </conditionalFormatting>
  <printOptions horizontalCentered="1" verticalCentered="1"/>
  <pageMargins left="0.31496062992125984" right="0.31496062992125984" top="0.35433070866141736" bottom="0.35433070866141736" header="0.31496062992125984" footer="0.31496062992125984"/>
  <pageSetup paperSize="9" scale="47" orientation="landscape" r:id="rId1"/>
  <headerFooter>
    <oddHeader>&amp;LResumen evaluación de proponentes</oddHeader>
    <oddFooter>&amp;R&amp;P de &amp;N</oddFooter>
  </headerFooter>
  <colBreaks count="1" manualBreakCount="1">
    <brk id="24" max="1048575" man="1"/>
  </colBreaks>
  <legacyDrawing r:id="rId2"/>
  <extLst>
    <ext xmlns:x14="http://schemas.microsoft.com/office/spreadsheetml/2009/9/main" uri="{78C0D931-6437-407d-A8EE-F0AAD7539E65}">
      <x14:conditionalFormattings>
        <x14:conditionalFormatting xmlns:xm="http://schemas.microsoft.com/office/excel/2006/main">
          <x14:cfRule type="expression" priority="19" id="{1CB43FBA-D8E3-46D0-BFFE-49F9EC63FC29}">
            <xm:f>$U3&gt;=INDICADORES!$C$170*1000</xm:f>
            <x14:dxf>
              <fill>
                <patternFill>
                  <bgColor theme="9" tint="0.59996337778862885"/>
                </patternFill>
              </fill>
            </x14:dxf>
          </x14:cfRule>
          <x14:cfRule type="expression" priority="20" id="{D59308A0-2E20-4C45-8F92-1FC32AF041BD}">
            <xm:f>$U3&lt;INDICADORES!$C$170*1000</xm:f>
            <x14:dxf>
              <fill>
                <patternFill>
                  <bgColor theme="5" tint="0.79998168889431442"/>
                </patternFill>
              </fill>
            </x14:dxf>
          </x14:cfRule>
          <xm:sqref>U3:U24</xm:sqref>
        </x14:conditionalFormatting>
        <x14:conditionalFormatting xmlns:xm="http://schemas.microsoft.com/office/excel/2006/main">
          <x14:cfRule type="expression" priority="18" id="{B32162D0-9A52-4EA1-98D7-F8359F4740C5}">
            <xm:f>$U27&lt;INDICADORES!$C$170*1000</xm:f>
            <x14:dxf>
              <fill>
                <patternFill>
                  <bgColor theme="5" tint="0.79998168889431442"/>
                </patternFill>
              </fill>
            </x14:dxf>
          </x14:cfRule>
          <x14:cfRule type="expression" priority="17" id="{BA7BC20B-33B0-491B-B3F8-E40A9D3495A5}">
            <xm:f>$U27&gt;=INDICADORES!$C$170*1000</xm:f>
            <x14:dxf>
              <fill>
                <patternFill>
                  <bgColor theme="9" tint="0.59996337778862885"/>
                </patternFill>
              </fill>
            </x14:dxf>
          </x14:cfRule>
          <xm:sqref>U27:U30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P31"/>
  <sheetViews>
    <sheetView workbookViewId="0">
      <pane xSplit="7" ySplit="2" topLeftCell="H3" activePane="bottomRight" state="frozen"/>
      <selection pane="topRight" activeCell="G1" sqref="G1"/>
      <selection pane="bottomLeft" activeCell="A3" sqref="A3"/>
      <selection pane="bottomRight" activeCell="E30" sqref="E30"/>
    </sheetView>
  </sheetViews>
  <sheetFormatPr baseColWidth="10" defaultRowHeight="12.75" x14ac:dyDescent="0.2"/>
  <cols>
    <col min="1" max="1" width="3.42578125" style="32" customWidth="1"/>
    <col min="2" max="2" width="3" style="32" bestFit="1" customWidth="1"/>
    <col min="3" max="3" width="2" style="32" bestFit="1" customWidth="1"/>
    <col min="4" max="4" width="11.42578125" style="32"/>
    <col min="5" max="5" width="42" style="32" bestFit="1" customWidth="1"/>
    <col min="6" max="6" width="13.5703125" style="32" customWidth="1"/>
    <col min="7" max="7" width="15.85546875" style="32" customWidth="1"/>
    <col min="8" max="8" width="9.7109375" style="32" bestFit="1" customWidth="1"/>
    <col min="9" max="9" width="6.5703125" style="32" bestFit="1" customWidth="1"/>
    <col min="10" max="10" width="15.5703125" style="32" customWidth="1"/>
    <col min="11" max="11" width="10" style="32" customWidth="1"/>
    <col min="12" max="12" width="6" style="32" customWidth="1"/>
    <col min="13" max="13" width="12" style="32" customWidth="1"/>
    <col min="14" max="14" width="10" style="32" bestFit="1" customWidth="1"/>
    <col min="15" max="15" width="7.5703125" style="32" bestFit="1" customWidth="1"/>
    <col min="16" max="16" width="10.7109375" style="32" bestFit="1" customWidth="1"/>
    <col min="17" max="16384" width="11.42578125" style="32"/>
  </cols>
  <sheetData>
    <row r="2" spans="1:16" s="185" customFormat="1" ht="51" x14ac:dyDescent="0.2">
      <c r="A2" s="185" t="s">
        <v>29</v>
      </c>
      <c r="C2" s="185" t="s">
        <v>29</v>
      </c>
      <c r="D2" s="185" t="s">
        <v>106</v>
      </c>
      <c r="E2" s="185" t="s">
        <v>107</v>
      </c>
      <c r="F2" s="275" t="s">
        <v>128</v>
      </c>
      <c r="G2" s="74" t="s">
        <v>118</v>
      </c>
      <c r="H2" s="74" t="s">
        <v>117</v>
      </c>
      <c r="I2" s="74" t="s">
        <v>129</v>
      </c>
      <c r="J2" s="182" t="s">
        <v>109</v>
      </c>
      <c r="K2" s="74" t="s">
        <v>110</v>
      </c>
      <c r="L2" s="74" t="s">
        <v>111</v>
      </c>
      <c r="M2" s="74" t="s">
        <v>112</v>
      </c>
      <c r="N2" s="74" t="s">
        <v>113</v>
      </c>
      <c r="O2" s="74" t="s">
        <v>114</v>
      </c>
      <c r="P2" s="74" t="s">
        <v>115</v>
      </c>
    </row>
    <row r="3" spans="1:16" s="185" customFormat="1" x14ac:dyDescent="0.2">
      <c r="A3" s="32">
        <v>1</v>
      </c>
      <c r="B3" s="55">
        <v>1</v>
      </c>
      <c r="C3" s="32"/>
      <c r="D3" s="77"/>
      <c r="E3" s="248"/>
      <c r="F3" s="276">
        <f>G3</f>
        <v>0</v>
      </c>
      <c r="G3" s="244">
        <f t="shared" ref="G3:G15" si="0">H3*L3*O3</f>
        <v>0</v>
      </c>
      <c r="H3" s="249">
        <f t="shared" ref="H3:H17" si="1">IFERROR(J3/(I3*30),0)</f>
        <v>0</v>
      </c>
      <c r="I3" s="250"/>
      <c r="J3" s="251"/>
      <c r="K3" s="252"/>
      <c r="L3" s="253"/>
      <c r="M3" s="252"/>
      <c r="N3" s="247">
        <f t="shared" ref="N3:N13" si="2">M3-K3</f>
        <v>0</v>
      </c>
      <c r="O3" s="247">
        <f t="shared" ref="O3:O13" si="3">(I3*30)-N3</f>
        <v>0</v>
      </c>
      <c r="P3" s="254"/>
    </row>
    <row r="4" spans="1:16" s="185" customFormat="1" x14ac:dyDescent="0.2">
      <c r="A4" s="32">
        <v>2</v>
      </c>
      <c r="B4" s="33">
        <v>2</v>
      </c>
      <c r="C4" s="32"/>
      <c r="D4" s="77"/>
      <c r="E4" s="248"/>
      <c r="F4" s="276">
        <f t="shared" ref="F4:F27" si="4">G4</f>
        <v>0</v>
      </c>
      <c r="G4" s="244">
        <f t="shared" si="0"/>
        <v>0</v>
      </c>
      <c r="H4" s="249">
        <f t="shared" si="1"/>
        <v>0</v>
      </c>
      <c r="I4" s="250"/>
      <c r="J4" s="251"/>
      <c r="K4" s="252"/>
      <c r="L4" s="253"/>
      <c r="M4" s="252"/>
      <c r="N4" s="247">
        <f t="shared" si="2"/>
        <v>0</v>
      </c>
      <c r="O4" s="247">
        <f t="shared" si="3"/>
        <v>0</v>
      </c>
      <c r="P4" s="254"/>
    </row>
    <row r="5" spans="1:16" s="185" customFormat="1" x14ac:dyDescent="0.2">
      <c r="A5" s="32">
        <v>3</v>
      </c>
      <c r="B5" s="33">
        <v>3</v>
      </c>
      <c r="C5" s="32"/>
      <c r="D5" s="77"/>
      <c r="E5" s="248"/>
      <c r="F5" s="276">
        <f t="shared" si="4"/>
        <v>0</v>
      </c>
      <c r="G5" s="244">
        <f t="shared" si="0"/>
        <v>0</v>
      </c>
      <c r="H5" s="249">
        <f t="shared" si="1"/>
        <v>0</v>
      </c>
      <c r="I5" s="250"/>
      <c r="J5" s="251"/>
      <c r="K5" s="252"/>
      <c r="L5" s="253"/>
      <c r="M5" s="252"/>
      <c r="N5" s="247">
        <f t="shared" si="2"/>
        <v>0</v>
      </c>
      <c r="O5" s="247">
        <f t="shared" si="3"/>
        <v>0</v>
      </c>
      <c r="P5" s="254"/>
    </row>
    <row r="6" spans="1:16" s="185" customFormat="1" x14ac:dyDescent="0.2">
      <c r="A6" s="82">
        <v>4</v>
      </c>
      <c r="B6" s="55" t="s">
        <v>69</v>
      </c>
      <c r="C6" s="32"/>
      <c r="D6" s="77"/>
      <c r="E6" s="248"/>
      <c r="F6" s="276">
        <f t="shared" si="4"/>
        <v>0</v>
      </c>
      <c r="G6" s="244">
        <f t="shared" si="0"/>
        <v>0</v>
      </c>
      <c r="H6" s="249">
        <f t="shared" si="1"/>
        <v>0</v>
      </c>
      <c r="I6" s="250"/>
      <c r="J6" s="251"/>
      <c r="K6" s="252"/>
      <c r="L6" s="253"/>
      <c r="M6" s="252"/>
      <c r="N6" s="247">
        <f t="shared" si="2"/>
        <v>0</v>
      </c>
      <c r="O6" s="247">
        <f t="shared" si="3"/>
        <v>0</v>
      </c>
      <c r="P6" s="254"/>
    </row>
    <row r="7" spans="1:16" s="185" customFormat="1" x14ac:dyDescent="0.2">
      <c r="A7" s="82">
        <v>5</v>
      </c>
      <c r="B7" s="55" t="s">
        <v>70</v>
      </c>
      <c r="C7" s="32"/>
      <c r="D7" s="77"/>
      <c r="E7" s="248"/>
      <c r="F7" s="276">
        <f t="shared" si="4"/>
        <v>0</v>
      </c>
      <c r="G7" s="244">
        <f t="shared" si="0"/>
        <v>0</v>
      </c>
      <c r="H7" s="249">
        <f t="shared" si="1"/>
        <v>0</v>
      </c>
      <c r="I7" s="250"/>
      <c r="J7" s="251"/>
      <c r="K7" s="252"/>
      <c r="L7" s="253"/>
      <c r="M7" s="252"/>
      <c r="N7" s="247">
        <f t="shared" si="2"/>
        <v>0</v>
      </c>
      <c r="O7" s="247">
        <f t="shared" si="3"/>
        <v>0</v>
      </c>
      <c r="P7" s="254"/>
    </row>
    <row r="8" spans="1:16" s="185" customFormat="1" x14ac:dyDescent="0.2">
      <c r="A8" s="82">
        <v>6</v>
      </c>
      <c r="B8" s="154" t="s">
        <v>75</v>
      </c>
      <c r="C8" s="32"/>
      <c r="D8" s="77"/>
      <c r="E8" s="248"/>
      <c r="F8" s="276">
        <f t="shared" si="4"/>
        <v>0</v>
      </c>
      <c r="G8" s="244">
        <f t="shared" si="0"/>
        <v>0</v>
      </c>
      <c r="H8" s="249">
        <f t="shared" si="1"/>
        <v>0</v>
      </c>
      <c r="I8" s="250"/>
      <c r="J8" s="251"/>
      <c r="K8" s="252"/>
      <c r="L8" s="253"/>
      <c r="M8" s="252"/>
      <c r="N8" s="247">
        <f t="shared" si="2"/>
        <v>0</v>
      </c>
      <c r="O8" s="247">
        <f t="shared" si="3"/>
        <v>0</v>
      </c>
      <c r="P8" s="254"/>
    </row>
    <row r="9" spans="1:16" s="185" customFormat="1" x14ac:dyDescent="0.2">
      <c r="A9" s="82">
        <v>7</v>
      </c>
      <c r="B9" s="33" t="s">
        <v>67</v>
      </c>
      <c r="C9" s="32"/>
      <c r="D9" s="77"/>
      <c r="E9" s="248"/>
      <c r="F9" s="276">
        <f t="shared" si="4"/>
        <v>0</v>
      </c>
      <c r="G9" s="244">
        <f t="shared" si="0"/>
        <v>0</v>
      </c>
      <c r="H9" s="249">
        <f t="shared" si="1"/>
        <v>0</v>
      </c>
      <c r="I9" s="250"/>
      <c r="J9" s="251"/>
      <c r="K9" s="252"/>
      <c r="L9" s="253"/>
      <c r="M9" s="252"/>
      <c r="N9" s="247">
        <f t="shared" si="2"/>
        <v>0</v>
      </c>
      <c r="O9" s="247">
        <f t="shared" si="3"/>
        <v>0</v>
      </c>
      <c r="P9" s="254"/>
    </row>
    <row r="10" spans="1:16" s="185" customFormat="1" x14ac:dyDescent="0.2">
      <c r="A10" s="82">
        <v>8</v>
      </c>
      <c r="B10" s="33" t="s">
        <v>68</v>
      </c>
      <c r="C10" s="32"/>
      <c r="D10" s="77"/>
      <c r="E10" s="248"/>
      <c r="F10" s="276">
        <f t="shared" si="4"/>
        <v>0</v>
      </c>
      <c r="G10" s="244">
        <f t="shared" si="0"/>
        <v>0</v>
      </c>
      <c r="H10" s="249">
        <f t="shared" si="1"/>
        <v>0</v>
      </c>
      <c r="I10" s="250"/>
      <c r="J10" s="251"/>
      <c r="K10" s="252"/>
      <c r="L10" s="253"/>
      <c r="M10" s="252"/>
      <c r="N10" s="247">
        <f t="shared" si="2"/>
        <v>0</v>
      </c>
      <c r="O10" s="247">
        <f t="shared" si="3"/>
        <v>0</v>
      </c>
      <c r="P10" s="254"/>
    </row>
    <row r="11" spans="1:16" s="185" customFormat="1" x14ac:dyDescent="0.2">
      <c r="A11" s="82">
        <v>9</v>
      </c>
      <c r="B11" s="55" t="s">
        <v>71</v>
      </c>
      <c r="C11" s="32"/>
      <c r="D11" s="77"/>
      <c r="E11" s="248"/>
      <c r="F11" s="276">
        <f t="shared" si="4"/>
        <v>0</v>
      </c>
      <c r="G11" s="244">
        <f t="shared" si="0"/>
        <v>0</v>
      </c>
      <c r="H11" s="249">
        <f t="shared" si="1"/>
        <v>0</v>
      </c>
      <c r="I11" s="250"/>
      <c r="J11" s="251"/>
      <c r="K11" s="252"/>
      <c r="L11" s="253"/>
      <c r="M11" s="252"/>
      <c r="N11" s="247">
        <f t="shared" si="2"/>
        <v>0</v>
      </c>
      <c r="O11" s="247">
        <f t="shared" si="3"/>
        <v>0</v>
      </c>
      <c r="P11" s="254"/>
    </row>
    <row r="12" spans="1:16" s="185" customFormat="1" x14ac:dyDescent="0.2">
      <c r="A12" s="82">
        <v>10</v>
      </c>
      <c r="B12" s="33" t="s">
        <v>72</v>
      </c>
      <c r="C12" s="32"/>
      <c r="D12" s="77"/>
      <c r="E12" s="248"/>
      <c r="F12" s="276">
        <f t="shared" si="4"/>
        <v>0</v>
      </c>
      <c r="G12" s="244">
        <f t="shared" si="0"/>
        <v>0</v>
      </c>
      <c r="H12" s="249">
        <f t="shared" si="1"/>
        <v>0</v>
      </c>
      <c r="I12" s="250"/>
      <c r="J12" s="251"/>
      <c r="K12" s="252"/>
      <c r="L12" s="253"/>
      <c r="M12" s="252"/>
      <c r="N12" s="247">
        <f t="shared" si="2"/>
        <v>0</v>
      </c>
      <c r="O12" s="247">
        <f t="shared" si="3"/>
        <v>0</v>
      </c>
      <c r="P12" s="254"/>
    </row>
    <row r="13" spans="1:16" s="185" customFormat="1" x14ac:dyDescent="0.2">
      <c r="A13" s="82">
        <v>11</v>
      </c>
      <c r="B13" s="33" t="s">
        <v>73</v>
      </c>
      <c r="C13" s="32"/>
      <c r="D13" s="77"/>
      <c r="E13" s="248"/>
      <c r="F13" s="276">
        <f t="shared" si="4"/>
        <v>0</v>
      </c>
      <c r="G13" s="244">
        <f t="shared" si="0"/>
        <v>0</v>
      </c>
      <c r="H13" s="249">
        <f t="shared" si="1"/>
        <v>0</v>
      </c>
      <c r="I13" s="250"/>
      <c r="J13" s="251"/>
      <c r="K13" s="252"/>
      <c r="L13" s="253"/>
      <c r="M13" s="252"/>
      <c r="N13" s="247">
        <f t="shared" si="2"/>
        <v>0</v>
      </c>
      <c r="O13" s="247">
        <f t="shared" si="3"/>
        <v>0</v>
      </c>
      <c r="P13" s="254"/>
    </row>
    <row r="14" spans="1:16" s="185" customFormat="1" x14ac:dyDescent="0.2">
      <c r="A14" s="32">
        <v>12</v>
      </c>
      <c r="B14" s="55" t="s">
        <v>74</v>
      </c>
      <c r="C14" s="32"/>
      <c r="D14" s="77"/>
      <c r="E14" s="248"/>
      <c r="F14" s="276">
        <f t="shared" si="4"/>
        <v>0</v>
      </c>
      <c r="G14" s="244">
        <f t="shared" si="0"/>
        <v>0</v>
      </c>
      <c r="H14" s="249">
        <f t="shared" si="1"/>
        <v>0</v>
      </c>
      <c r="I14" s="250"/>
      <c r="J14" s="251"/>
      <c r="K14" s="252"/>
      <c r="L14" s="253"/>
      <c r="M14" s="252"/>
      <c r="N14" s="247">
        <f t="shared" ref="N14" si="5">M14-K14</f>
        <v>0</v>
      </c>
      <c r="O14" s="247">
        <f t="shared" ref="O14" si="6">(I14*30)-N14</f>
        <v>0</v>
      </c>
      <c r="P14" s="254"/>
    </row>
    <row r="15" spans="1:16" x14ac:dyDescent="0.2">
      <c r="A15" s="32">
        <v>13</v>
      </c>
      <c r="B15" s="33">
        <v>8</v>
      </c>
      <c r="C15" s="32">
        <v>1</v>
      </c>
      <c r="D15" s="77"/>
      <c r="E15" s="248"/>
      <c r="F15" s="276">
        <f t="shared" si="4"/>
        <v>0</v>
      </c>
      <c r="G15" s="244">
        <f t="shared" si="0"/>
        <v>0</v>
      </c>
      <c r="H15" s="249">
        <f t="shared" si="1"/>
        <v>0</v>
      </c>
      <c r="I15" s="250"/>
      <c r="J15" s="274"/>
      <c r="K15" s="252"/>
      <c r="L15" s="253"/>
      <c r="M15" s="252"/>
      <c r="N15" s="247">
        <f>M15-K15</f>
        <v>0</v>
      </c>
      <c r="O15" s="247">
        <f>(I15*30)-N15</f>
        <v>0</v>
      </c>
      <c r="P15" s="254"/>
    </row>
    <row r="16" spans="1:16" x14ac:dyDescent="0.2">
      <c r="A16" s="501">
        <v>14</v>
      </c>
      <c r="B16" s="489">
        <v>9</v>
      </c>
      <c r="C16" s="490">
        <v>2</v>
      </c>
      <c r="D16" s="492"/>
      <c r="E16" s="495"/>
      <c r="F16" s="498">
        <f>SUM(G16:G17)</f>
        <v>0</v>
      </c>
      <c r="G16" s="244">
        <f>H16*L16*O16</f>
        <v>0</v>
      </c>
      <c r="H16" s="249">
        <f t="shared" si="1"/>
        <v>0</v>
      </c>
      <c r="I16" s="250"/>
      <c r="J16" s="251"/>
      <c r="K16" s="252"/>
      <c r="L16" s="253"/>
      <c r="M16" s="252"/>
      <c r="N16" s="247">
        <f t="shared" ref="N16:N28" si="7">M16-K16</f>
        <v>0</v>
      </c>
      <c r="O16" s="247">
        <f t="shared" ref="O16:O28" si="8">(I16*30)-N16</f>
        <v>0</v>
      </c>
      <c r="P16" s="254"/>
    </row>
    <row r="17" spans="1:16" x14ac:dyDescent="0.2">
      <c r="A17" s="501"/>
      <c r="B17" s="491"/>
      <c r="C17" s="490"/>
      <c r="D17" s="494"/>
      <c r="E17" s="497"/>
      <c r="F17" s="502"/>
      <c r="G17" s="244">
        <f>H17*L17*O17</f>
        <v>0</v>
      </c>
      <c r="H17" s="249">
        <f t="shared" si="1"/>
        <v>0</v>
      </c>
      <c r="I17" s="250"/>
      <c r="J17" s="251"/>
      <c r="K17" s="252"/>
      <c r="L17" s="253"/>
      <c r="M17" s="252"/>
      <c r="N17" s="247">
        <f t="shared" ref="N17" si="9">M17-K17</f>
        <v>0</v>
      </c>
      <c r="O17" s="247">
        <f t="shared" ref="O17" si="10">(I17*30)-N17</f>
        <v>0</v>
      </c>
      <c r="P17" s="254"/>
    </row>
    <row r="18" spans="1:16" x14ac:dyDescent="0.2">
      <c r="A18" s="32">
        <v>15</v>
      </c>
      <c r="B18" s="55">
        <v>10</v>
      </c>
      <c r="C18" s="32">
        <v>3</v>
      </c>
      <c r="D18" s="78"/>
      <c r="E18" s="167"/>
      <c r="F18" s="276">
        <f t="shared" si="4"/>
        <v>0</v>
      </c>
      <c r="G18" s="244">
        <f t="shared" ref="G18:G28" si="11">H18*L18*O18</f>
        <v>0</v>
      </c>
      <c r="H18" s="249">
        <f>IFERROR(J18/(173),0)</f>
        <v>0</v>
      </c>
      <c r="I18" s="250"/>
      <c r="J18" s="251"/>
      <c r="K18" s="252"/>
      <c r="L18" s="253"/>
      <c r="M18" s="252"/>
      <c r="N18" s="247">
        <f>M18-K18</f>
        <v>0</v>
      </c>
      <c r="O18" s="277">
        <f>(I18)-N18</f>
        <v>0</v>
      </c>
      <c r="P18" s="254"/>
    </row>
    <row r="19" spans="1:16" x14ac:dyDescent="0.2">
      <c r="A19" s="32">
        <v>16</v>
      </c>
      <c r="B19" s="33">
        <v>11</v>
      </c>
      <c r="C19" s="32">
        <v>4</v>
      </c>
      <c r="D19" s="78"/>
      <c r="E19" s="167"/>
      <c r="F19" s="276">
        <f t="shared" si="4"/>
        <v>0</v>
      </c>
      <c r="G19" s="244">
        <f t="shared" si="11"/>
        <v>0</v>
      </c>
      <c r="H19" s="249">
        <f>IFERROR(J19/(I19*30),0)</f>
        <v>0</v>
      </c>
      <c r="I19" s="250"/>
      <c r="J19" s="274"/>
      <c r="K19" s="252"/>
      <c r="L19" s="253"/>
      <c r="M19" s="252"/>
      <c r="N19" s="247">
        <f t="shared" si="7"/>
        <v>0</v>
      </c>
      <c r="O19" s="247">
        <f t="shared" si="8"/>
        <v>0</v>
      </c>
      <c r="P19" s="254"/>
    </row>
    <row r="20" spans="1:16" x14ac:dyDescent="0.2">
      <c r="A20" s="32">
        <v>17</v>
      </c>
      <c r="B20" s="33">
        <v>12</v>
      </c>
      <c r="C20" s="32">
        <v>5</v>
      </c>
      <c r="D20" s="78"/>
      <c r="E20" s="167"/>
      <c r="F20" s="276">
        <f t="shared" si="4"/>
        <v>0</v>
      </c>
      <c r="G20" s="244">
        <f t="shared" si="11"/>
        <v>0</v>
      </c>
      <c r="H20" s="249">
        <f>IFERROR(J20/(I20*30),0)</f>
        <v>0</v>
      </c>
      <c r="I20" s="250"/>
      <c r="J20" s="274"/>
      <c r="K20" s="252"/>
      <c r="L20" s="253"/>
      <c r="M20" s="252"/>
      <c r="N20" s="247">
        <f t="shared" si="7"/>
        <v>0</v>
      </c>
      <c r="O20" s="247">
        <f t="shared" si="8"/>
        <v>0</v>
      </c>
      <c r="P20" s="254"/>
    </row>
    <row r="21" spans="1:16" x14ac:dyDescent="0.2">
      <c r="A21" s="32">
        <v>18</v>
      </c>
      <c r="B21" s="55">
        <v>13</v>
      </c>
      <c r="C21" s="32">
        <v>6</v>
      </c>
      <c r="D21" s="78"/>
      <c r="E21" s="167"/>
      <c r="F21" s="276">
        <f t="shared" si="4"/>
        <v>0</v>
      </c>
      <c r="G21" s="244">
        <f t="shared" si="11"/>
        <v>0</v>
      </c>
      <c r="H21" s="249">
        <f>IFERROR(J21/(I21*30),0)</f>
        <v>0</v>
      </c>
      <c r="I21" s="250"/>
      <c r="J21" s="251"/>
      <c r="K21" s="252"/>
      <c r="L21" s="253"/>
      <c r="M21" s="252"/>
      <c r="N21" s="247">
        <f t="shared" si="7"/>
        <v>0</v>
      </c>
      <c r="O21" s="247">
        <f t="shared" si="8"/>
        <v>0</v>
      </c>
      <c r="P21" s="254" t="s">
        <v>127</v>
      </c>
    </row>
    <row r="22" spans="1:16" x14ac:dyDescent="0.2">
      <c r="A22" s="488">
        <v>19</v>
      </c>
      <c r="B22" s="489">
        <v>14</v>
      </c>
      <c r="C22" s="32">
        <v>7</v>
      </c>
      <c r="D22" s="492"/>
      <c r="E22" s="495"/>
      <c r="F22" s="498">
        <f>SUM(G22:G25)</f>
        <v>0</v>
      </c>
      <c r="G22" s="244">
        <f t="shared" si="11"/>
        <v>0</v>
      </c>
      <c r="H22" s="249">
        <f>IFERROR(J22/(I22*30),0)</f>
        <v>0</v>
      </c>
      <c r="I22" s="250"/>
      <c r="J22" s="251"/>
      <c r="K22" s="252"/>
      <c r="L22" s="253"/>
      <c r="M22" s="252"/>
      <c r="N22" s="247">
        <f t="shared" si="7"/>
        <v>0</v>
      </c>
      <c r="O22" s="247">
        <f t="shared" si="8"/>
        <v>0</v>
      </c>
      <c r="P22" s="254"/>
    </row>
    <row r="23" spans="1:16" x14ac:dyDescent="0.2">
      <c r="A23" s="488"/>
      <c r="B23" s="490"/>
      <c r="D23" s="493"/>
      <c r="E23" s="496"/>
      <c r="F23" s="499"/>
      <c r="G23" s="244">
        <f t="shared" ref="G23:G25" si="12">H23*L23*O23</f>
        <v>0</v>
      </c>
      <c r="H23" s="249">
        <f t="shared" ref="H23:H25" si="13">IFERROR(J23/(I23*30),0)</f>
        <v>0</v>
      </c>
      <c r="I23" s="250"/>
      <c r="J23" s="251"/>
      <c r="K23" s="252"/>
      <c r="L23" s="253"/>
      <c r="M23" s="252"/>
      <c r="N23" s="247">
        <f t="shared" ref="N23:N25" si="14">M23-K23</f>
        <v>0</v>
      </c>
      <c r="O23" s="247">
        <f t="shared" ref="O23:O25" si="15">(I23*30)-N23</f>
        <v>0</v>
      </c>
      <c r="P23" s="254"/>
    </row>
    <row r="24" spans="1:16" x14ac:dyDescent="0.2">
      <c r="A24" s="488"/>
      <c r="B24" s="490"/>
      <c r="D24" s="493"/>
      <c r="E24" s="496"/>
      <c r="F24" s="500"/>
      <c r="G24" s="244">
        <f t="shared" si="12"/>
        <v>0</v>
      </c>
      <c r="H24" s="249">
        <f t="shared" si="13"/>
        <v>0</v>
      </c>
      <c r="I24" s="250"/>
      <c r="J24" s="251"/>
      <c r="K24" s="252"/>
      <c r="L24" s="253"/>
      <c r="M24" s="252"/>
      <c r="N24" s="247">
        <f t="shared" si="14"/>
        <v>0</v>
      </c>
      <c r="O24" s="247">
        <f t="shared" si="15"/>
        <v>0</v>
      </c>
      <c r="P24" s="254"/>
    </row>
    <row r="25" spans="1:16" x14ac:dyDescent="0.2">
      <c r="A25" s="488"/>
      <c r="B25" s="491"/>
      <c r="D25" s="494"/>
      <c r="E25" s="497"/>
      <c r="F25" s="466"/>
      <c r="G25" s="244">
        <f t="shared" si="12"/>
        <v>0</v>
      </c>
      <c r="H25" s="249">
        <f t="shared" si="13"/>
        <v>0</v>
      </c>
      <c r="I25" s="250"/>
      <c r="J25" s="251"/>
      <c r="K25" s="252"/>
      <c r="L25" s="253"/>
      <c r="M25" s="252"/>
      <c r="N25" s="247">
        <f t="shared" si="14"/>
        <v>0</v>
      </c>
      <c r="O25" s="247">
        <f t="shared" si="15"/>
        <v>0</v>
      </c>
      <c r="P25" s="254"/>
    </row>
    <row r="26" spans="1:16" x14ac:dyDescent="0.2">
      <c r="A26" s="32">
        <v>20</v>
      </c>
      <c r="B26" s="33">
        <v>15</v>
      </c>
      <c r="D26" s="77"/>
      <c r="E26" s="248"/>
      <c r="F26" s="276">
        <f t="shared" si="4"/>
        <v>0</v>
      </c>
      <c r="G26" s="244">
        <f t="shared" si="11"/>
        <v>0</v>
      </c>
      <c r="H26" s="249">
        <f>IFERROR(J26/(I26*30),0)</f>
        <v>0</v>
      </c>
      <c r="I26" s="250"/>
      <c r="J26" s="251"/>
      <c r="K26" s="252"/>
      <c r="L26" s="253"/>
      <c r="M26" s="252"/>
      <c r="N26" s="247">
        <f t="shared" si="7"/>
        <v>0</v>
      </c>
      <c r="O26" s="247">
        <f t="shared" si="8"/>
        <v>0</v>
      </c>
      <c r="P26" s="254"/>
    </row>
    <row r="27" spans="1:16" x14ac:dyDescent="0.2">
      <c r="A27" s="32">
        <v>21</v>
      </c>
      <c r="B27" s="55">
        <v>16</v>
      </c>
      <c r="D27" s="77"/>
      <c r="E27" s="248"/>
      <c r="F27" s="276">
        <f t="shared" si="4"/>
        <v>0</v>
      </c>
      <c r="G27" s="244">
        <f t="shared" si="11"/>
        <v>0</v>
      </c>
      <c r="H27" s="249">
        <f>IFERROR(J27/(I27*30),0)</f>
        <v>0</v>
      </c>
      <c r="I27" s="250"/>
      <c r="J27" s="251"/>
      <c r="K27" s="252"/>
      <c r="L27" s="253"/>
      <c r="M27" s="252"/>
      <c r="N27" s="247">
        <f t="shared" si="7"/>
        <v>0</v>
      </c>
      <c r="O27" s="247">
        <f t="shared" si="8"/>
        <v>0</v>
      </c>
      <c r="P27" s="254"/>
    </row>
    <row r="28" spans="1:16" x14ac:dyDescent="0.2">
      <c r="A28" s="32">
        <v>22</v>
      </c>
      <c r="B28" s="33">
        <v>17</v>
      </c>
      <c r="D28" s="77"/>
      <c r="E28" s="248"/>
      <c r="F28" s="276">
        <f>G28</f>
        <v>0</v>
      </c>
      <c r="G28" s="244">
        <f t="shared" si="11"/>
        <v>0</v>
      </c>
      <c r="H28" s="249">
        <f>IFERROR(J28/(I28*30),0)</f>
        <v>0</v>
      </c>
      <c r="I28" s="250"/>
      <c r="J28" s="251"/>
      <c r="K28" s="252"/>
      <c r="L28" s="253"/>
      <c r="M28" s="252"/>
      <c r="N28" s="247">
        <f t="shared" si="7"/>
        <v>0</v>
      </c>
      <c r="O28" s="247">
        <f t="shared" si="8"/>
        <v>0</v>
      </c>
      <c r="P28" s="254"/>
    </row>
    <row r="30" spans="1:16" ht="51" x14ac:dyDescent="0.2">
      <c r="E30" s="255" t="s">
        <v>116</v>
      </c>
      <c r="F30" s="255"/>
      <c r="G30" s="74" t="s">
        <v>118</v>
      </c>
      <c r="H30" s="74" t="s">
        <v>117</v>
      </c>
      <c r="I30" s="182" t="s">
        <v>108</v>
      </c>
      <c r="J30" s="182" t="s">
        <v>109</v>
      </c>
      <c r="K30" s="74" t="s">
        <v>110</v>
      </c>
      <c r="L30" s="74" t="s">
        <v>111</v>
      </c>
      <c r="M30" s="74" t="s">
        <v>112</v>
      </c>
      <c r="N30" s="74" t="s">
        <v>113</v>
      </c>
      <c r="O30" s="74" t="s">
        <v>114</v>
      </c>
      <c r="P30" s="74" t="s">
        <v>115</v>
      </c>
    </row>
    <row r="31" spans="1:16" x14ac:dyDescent="0.2">
      <c r="G31" s="244">
        <f>H31*L31*360</f>
        <v>600000000</v>
      </c>
      <c r="H31" s="244">
        <f>J31/(I31*30)</f>
        <v>2083333.3333333333</v>
      </c>
      <c r="I31" s="190">
        <v>16</v>
      </c>
      <c r="J31" s="244">
        <v>1000000000</v>
      </c>
      <c r="K31" s="245">
        <v>41620</v>
      </c>
      <c r="L31" s="246">
        <v>0.8</v>
      </c>
      <c r="M31" s="245">
        <v>41671</v>
      </c>
      <c r="N31" s="247">
        <f>M31-K31</f>
        <v>51</v>
      </c>
      <c r="O31" s="247">
        <f>(I31*30)-N31</f>
        <v>429</v>
      </c>
      <c r="P31" s="34" t="s">
        <v>98</v>
      </c>
    </row>
  </sheetData>
  <autoFilter ref="A2:P2" xr:uid="{00000000-0009-0000-0000-000002000000}"/>
  <mergeCells count="11">
    <mergeCell ref="A16:A17"/>
    <mergeCell ref="F16:F17"/>
    <mergeCell ref="E16:E17"/>
    <mergeCell ref="D16:D17"/>
    <mergeCell ref="C16:C17"/>
    <mergeCell ref="B16:B17"/>
    <mergeCell ref="A22:A25"/>
    <mergeCell ref="B22:B25"/>
    <mergeCell ref="D22:D25"/>
    <mergeCell ref="E22:E25"/>
    <mergeCell ref="F22:F25"/>
  </mergeCells>
  <conditionalFormatting sqref="D3:E16">
    <cfRule type="containsText" dxfId="5" priority="7" operator="containsText" text="NO">
      <formula>NOT(ISERROR(SEARCH("NO",D3)))</formula>
    </cfRule>
    <cfRule type="containsText" dxfId="4" priority="8" operator="containsText" text="SI">
      <formula>NOT(ISERROR(SEARCH("SI",D3)))</formula>
    </cfRule>
  </conditionalFormatting>
  <conditionalFormatting sqref="D18:E22">
    <cfRule type="containsText" dxfId="3" priority="11" operator="containsText" text="NO">
      <formula>NOT(ISERROR(SEARCH("NO",D18)))</formula>
    </cfRule>
    <cfRule type="containsText" dxfId="2" priority="12" operator="containsText" text="SI">
      <formula>NOT(ISERROR(SEARCH("SI",D18)))</formula>
    </cfRule>
  </conditionalFormatting>
  <conditionalFormatting sqref="D26:E28">
    <cfRule type="containsText" dxfId="1" priority="1" operator="containsText" text="NO">
      <formula>NOT(ISERROR(SEARCH("NO",D26)))</formula>
    </cfRule>
    <cfRule type="containsText" dxfId="0" priority="2" operator="containsText" text="SI">
      <formula>NOT(ISERROR(SEARCH("SI",D26)))</formula>
    </cfRule>
  </conditionalFormatting>
  <printOptions horizontalCentered="1"/>
  <pageMargins left="0.51181102362204722" right="0.51181102362204722" top="0.55118110236220474" bottom="0.55118110236220474" header="0.31496062992125984" footer="0.31496062992125984"/>
  <pageSetup paperSize="9" scale="8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44"/>
  <sheetViews>
    <sheetView showGridLines="0" workbookViewId="0">
      <pane xSplit="1" ySplit="2" topLeftCell="B3" activePane="bottomRight" state="frozen"/>
      <selection pane="topRight" activeCell="B1" sqref="B1"/>
      <selection pane="bottomLeft" activeCell="A3" sqref="A3"/>
      <selection pane="bottomRight" activeCell="F35" sqref="F35"/>
    </sheetView>
  </sheetViews>
  <sheetFormatPr baseColWidth="10" defaultRowHeight="12.75" x14ac:dyDescent="0.2"/>
  <cols>
    <col min="1" max="1" width="11.42578125" style="99"/>
    <col min="2" max="2" width="3.5703125" style="99" customWidth="1"/>
    <col min="3" max="3" width="3.140625" style="99" customWidth="1"/>
    <col min="4" max="4" width="12.42578125" style="99" customWidth="1"/>
    <col min="5" max="5" width="24.140625" style="99" customWidth="1"/>
    <col min="6" max="6" width="19.140625" style="99" customWidth="1"/>
    <col min="7" max="7" width="13.5703125" style="99" customWidth="1"/>
    <col min="8" max="8" width="2.5703125" style="99" customWidth="1"/>
    <col min="9" max="9" width="2" style="99" bestFit="1" customWidth="1"/>
    <col min="10" max="10" width="11.5703125" style="99" bestFit="1" customWidth="1"/>
    <col min="11" max="11" width="41.140625" style="99" customWidth="1"/>
    <col min="12" max="12" width="12.7109375" style="99" customWidth="1"/>
    <col min="13" max="13" width="11.7109375" style="99" customWidth="1"/>
    <col min="14" max="14" width="21.28515625" style="99" customWidth="1"/>
    <col min="15" max="16384" width="11.42578125" style="99"/>
  </cols>
  <sheetData>
    <row r="1" spans="1:13" ht="10.5" customHeight="1" x14ac:dyDescent="0.2">
      <c r="A1" s="268" t="s">
        <v>119</v>
      </c>
      <c r="C1" s="509" t="s">
        <v>29</v>
      </c>
      <c r="D1" s="510" t="s">
        <v>56</v>
      </c>
      <c r="E1" s="512" t="s">
        <v>3</v>
      </c>
      <c r="F1" s="513"/>
      <c r="G1" s="510" t="s">
        <v>45</v>
      </c>
    </row>
    <row r="2" spans="1:13" ht="12.75" customHeight="1" x14ac:dyDescent="0.2">
      <c r="C2" s="509"/>
      <c r="D2" s="509"/>
      <c r="E2" s="514"/>
      <c r="F2" s="515"/>
      <c r="G2" s="509"/>
      <c r="L2" s="312" t="s">
        <v>141</v>
      </c>
      <c r="M2" s="312" t="s">
        <v>29</v>
      </c>
    </row>
    <row r="3" spans="1:13" hidden="1" x14ac:dyDescent="0.2">
      <c r="C3" s="100"/>
      <c r="D3" s="101"/>
      <c r="E3" s="503"/>
      <c r="F3" s="504"/>
      <c r="G3" s="267"/>
      <c r="L3" s="313" t="s">
        <v>142</v>
      </c>
      <c r="M3" s="313">
        <f>COUNTA(G3:G23)</f>
        <v>8</v>
      </c>
    </row>
    <row r="4" spans="1:13" hidden="1" x14ac:dyDescent="0.2">
      <c r="C4" s="100"/>
      <c r="D4" s="102"/>
      <c r="E4" s="503"/>
      <c r="F4" s="504"/>
      <c r="G4" s="267"/>
      <c r="L4" s="313" t="s">
        <v>143</v>
      </c>
      <c r="M4" s="313">
        <f>COUNTA(G27:G33)</f>
        <v>0</v>
      </c>
    </row>
    <row r="5" spans="1:13" hidden="1" x14ac:dyDescent="0.2">
      <c r="C5" s="100"/>
      <c r="D5" s="102"/>
      <c r="E5" s="503"/>
      <c r="F5" s="504"/>
      <c r="G5" s="267"/>
      <c r="L5" s="313" t="s">
        <v>144</v>
      </c>
      <c r="M5" s="313">
        <f>SUM(M3:M4)</f>
        <v>8</v>
      </c>
    </row>
    <row r="6" spans="1:13" hidden="1" x14ac:dyDescent="0.2">
      <c r="C6" s="100"/>
      <c r="D6" s="102"/>
      <c r="E6" s="165"/>
      <c r="F6" s="505"/>
      <c r="G6" s="511"/>
    </row>
    <row r="7" spans="1:13" hidden="1" x14ac:dyDescent="0.2">
      <c r="C7" s="100"/>
      <c r="D7" s="102"/>
      <c r="E7" s="165"/>
      <c r="F7" s="516"/>
      <c r="G7" s="500"/>
    </row>
    <row r="8" spans="1:13" hidden="1" x14ac:dyDescent="0.2">
      <c r="C8" s="100"/>
      <c r="D8" s="102"/>
      <c r="E8" s="165"/>
      <c r="F8" s="506"/>
      <c r="G8" s="466"/>
    </row>
    <row r="9" spans="1:13" ht="18" hidden="1" customHeight="1" x14ac:dyDescent="0.2">
      <c r="C9" s="100"/>
      <c r="D9" s="102"/>
      <c r="E9" s="165"/>
      <c r="F9" s="505"/>
      <c r="G9" s="511"/>
    </row>
    <row r="10" spans="1:13" ht="18" hidden="1" customHeight="1" x14ac:dyDescent="0.2">
      <c r="C10" s="100"/>
      <c r="D10" s="102"/>
      <c r="E10" s="165"/>
      <c r="F10" s="506"/>
      <c r="G10" s="466"/>
    </row>
    <row r="11" spans="1:13" ht="12.75" hidden="1" customHeight="1" x14ac:dyDescent="0.2">
      <c r="C11" s="100"/>
      <c r="D11" s="102"/>
      <c r="E11" s="165"/>
      <c r="F11" s="505"/>
      <c r="G11" s="507"/>
    </row>
    <row r="12" spans="1:13" hidden="1" x14ac:dyDescent="0.2">
      <c r="C12" s="100"/>
      <c r="D12" s="102"/>
      <c r="E12" s="165"/>
      <c r="F12" s="506"/>
      <c r="G12" s="508"/>
    </row>
    <row r="13" spans="1:13" ht="12.75" hidden="1" customHeight="1" x14ac:dyDescent="0.2">
      <c r="C13" s="100"/>
      <c r="D13" s="102"/>
      <c r="E13" s="165"/>
      <c r="F13" s="505"/>
      <c r="G13" s="507"/>
    </row>
    <row r="14" spans="1:13" hidden="1" x14ac:dyDescent="0.2">
      <c r="C14" s="100"/>
      <c r="D14" s="102"/>
      <c r="E14" s="165"/>
      <c r="F14" s="506"/>
      <c r="G14" s="508"/>
    </row>
    <row r="15" spans="1:13" x14ac:dyDescent="0.2">
      <c r="C15" s="100">
        <v>1</v>
      </c>
      <c r="D15" s="102" t="s">
        <v>148</v>
      </c>
      <c r="E15" s="503" t="s">
        <v>149</v>
      </c>
      <c r="F15" s="504"/>
      <c r="G15" s="267" t="s">
        <v>44</v>
      </c>
    </row>
    <row r="16" spans="1:13" x14ac:dyDescent="0.2">
      <c r="C16" s="100">
        <v>2</v>
      </c>
      <c r="D16" s="102" t="s">
        <v>152</v>
      </c>
      <c r="E16" s="503" t="s">
        <v>153</v>
      </c>
      <c r="F16" s="504"/>
      <c r="G16" s="267" t="s">
        <v>44</v>
      </c>
    </row>
    <row r="17" spans="1:7" x14ac:dyDescent="0.2">
      <c r="C17" s="100">
        <v>3</v>
      </c>
      <c r="D17" s="102" t="s">
        <v>154</v>
      </c>
      <c r="E17" s="503" t="s">
        <v>155</v>
      </c>
      <c r="F17" s="504"/>
      <c r="G17" s="267" t="s">
        <v>44</v>
      </c>
    </row>
    <row r="18" spans="1:7" ht="21.75" customHeight="1" x14ac:dyDescent="0.2">
      <c r="C18" s="100">
        <v>4</v>
      </c>
      <c r="D18" s="102" t="s">
        <v>157</v>
      </c>
      <c r="E18" s="503" t="s">
        <v>158</v>
      </c>
      <c r="F18" s="504"/>
      <c r="G18" s="267" t="s">
        <v>44</v>
      </c>
    </row>
    <row r="19" spans="1:7" x14ac:dyDescent="0.2">
      <c r="C19" s="100">
        <v>5</v>
      </c>
      <c r="D19" s="102" t="s">
        <v>159</v>
      </c>
      <c r="E19" s="503" t="s">
        <v>160</v>
      </c>
      <c r="F19" s="504"/>
      <c r="G19" s="267" t="s">
        <v>44</v>
      </c>
    </row>
    <row r="20" spans="1:7" x14ac:dyDescent="0.2">
      <c r="C20" s="100">
        <v>6</v>
      </c>
      <c r="D20" s="104" t="s">
        <v>161</v>
      </c>
      <c r="E20" s="503" t="s">
        <v>163</v>
      </c>
      <c r="F20" s="504"/>
      <c r="G20" s="267" t="s">
        <v>44</v>
      </c>
    </row>
    <row r="21" spans="1:7" x14ac:dyDescent="0.2">
      <c r="C21" s="100">
        <v>7</v>
      </c>
      <c r="D21" s="102" t="s">
        <v>164</v>
      </c>
      <c r="E21" s="503" t="s">
        <v>165</v>
      </c>
      <c r="F21" s="504"/>
      <c r="G21" s="267" t="s">
        <v>44</v>
      </c>
    </row>
    <row r="22" spans="1:7" x14ac:dyDescent="0.2">
      <c r="C22" s="100">
        <v>8</v>
      </c>
      <c r="D22" s="102" t="s">
        <v>168</v>
      </c>
      <c r="E22" s="503" t="s">
        <v>169</v>
      </c>
      <c r="F22" s="504"/>
      <c r="G22" s="267" t="s">
        <v>44</v>
      </c>
    </row>
    <row r="23" spans="1:7" x14ac:dyDescent="0.2">
      <c r="C23" s="100"/>
      <c r="D23" s="102"/>
      <c r="E23" s="503"/>
      <c r="F23" s="504"/>
      <c r="G23" s="267"/>
    </row>
    <row r="25" spans="1:7" ht="11.25" customHeight="1" x14ac:dyDescent="0.2">
      <c r="A25" s="268" t="s">
        <v>120</v>
      </c>
      <c r="C25" s="509" t="s">
        <v>29</v>
      </c>
      <c r="D25" s="510" t="s">
        <v>56</v>
      </c>
      <c r="E25" s="512" t="s">
        <v>3</v>
      </c>
      <c r="F25" s="513"/>
      <c r="G25" s="510" t="s">
        <v>45</v>
      </c>
    </row>
    <row r="26" spans="1:7" ht="7.5" customHeight="1" x14ac:dyDescent="0.2">
      <c r="C26" s="509"/>
      <c r="D26" s="509"/>
      <c r="E26" s="514"/>
      <c r="F26" s="515"/>
      <c r="G26" s="509"/>
    </row>
    <row r="27" spans="1:7" hidden="1" x14ac:dyDescent="0.2">
      <c r="C27" s="100"/>
      <c r="D27" s="102"/>
      <c r="E27" s="165"/>
      <c r="F27" s="505"/>
      <c r="G27" s="507"/>
    </row>
    <row r="28" spans="1:7" hidden="1" x14ac:dyDescent="0.2">
      <c r="C28" s="100"/>
      <c r="D28" s="102"/>
      <c r="E28" s="165"/>
      <c r="F28" s="506"/>
      <c r="G28" s="508"/>
    </row>
    <row r="29" spans="1:7" x14ac:dyDescent="0.2">
      <c r="C29" s="100"/>
      <c r="D29" s="102"/>
      <c r="E29" s="503"/>
      <c r="F29" s="504"/>
      <c r="G29" s="267"/>
    </row>
    <row r="30" spans="1:7" x14ac:dyDescent="0.2">
      <c r="C30" s="100"/>
      <c r="D30" s="102"/>
      <c r="E30" s="503"/>
      <c r="F30" s="504"/>
      <c r="G30" s="267"/>
    </row>
    <row r="31" spans="1:7" x14ac:dyDescent="0.2">
      <c r="C31" s="100"/>
      <c r="D31" s="102"/>
      <c r="E31" s="503"/>
      <c r="F31" s="504"/>
      <c r="G31" s="267"/>
    </row>
    <row r="32" spans="1:7" x14ac:dyDescent="0.2">
      <c r="C32" s="100"/>
      <c r="D32" s="102"/>
      <c r="E32" s="103"/>
      <c r="F32" s="103"/>
      <c r="G32" s="103"/>
    </row>
    <row r="33" spans="3:14" x14ac:dyDescent="0.2">
      <c r="C33" s="100"/>
      <c r="D33" s="102"/>
      <c r="E33" s="103"/>
      <c r="F33" s="103"/>
      <c r="G33" s="103"/>
    </row>
    <row r="34" spans="3:14" x14ac:dyDescent="0.2">
      <c r="C34" s="271"/>
      <c r="D34" s="272"/>
      <c r="E34" s="273"/>
      <c r="F34" s="273"/>
      <c r="G34" s="273"/>
    </row>
    <row r="35" spans="3:14" x14ac:dyDescent="0.2">
      <c r="C35" s="271"/>
      <c r="D35" s="272"/>
      <c r="E35" s="273"/>
      <c r="F35" s="273"/>
      <c r="G35" s="273"/>
      <c r="J35" s="268" t="s">
        <v>121</v>
      </c>
    </row>
    <row r="36" spans="3:14" x14ac:dyDescent="0.2">
      <c r="I36" s="278" t="s">
        <v>29</v>
      </c>
      <c r="J36" s="270" t="s">
        <v>56</v>
      </c>
      <c r="K36" s="270" t="s">
        <v>3</v>
      </c>
      <c r="L36" s="270" t="s">
        <v>122</v>
      </c>
      <c r="M36" s="270" t="s">
        <v>45</v>
      </c>
      <c r="N36" s="270" t="s">
        <v>123</v>
      </c>
    </row>
    <row r="37" spans="3:14" x14ac:dyDescent="0.2">
      <c r="I37" s="100">
        <v>1</v>
      </c>
      <c r="J37" s="279"/>
      <c r="K37" s="280"/>
      <c r="L37" s="281"/>
      <c r="M37" s="282"/>
      <c r="N37" s="282"/>
    </row>
    <row r="38" spans="3:14" x14ac:dyDescent="0.2">
      <c r="I38" s="100">
        <v>2</v>
      </c>
      <c r="J38" s="279"/>
      <c r="K38" s="280"/>
      <c r="L38" s="281"/>
      <c r="M38" s="282"/>
      <c r="N38" s="282"/>
    </row>
    <row r="39" spans="3:14" x14ac:dyDescent="0.2">
      <c r="I39" s="100">
        <v>3</v>
      </c>
      <c r="J39" s="279"/>
      <c r="K39" s="280"/>
      <c r="L39" s="281"/>
      <c r="M39" s="282"/>
      <c r="N39" s="282"/>
    </row>
    <row r="40" spans="3:14" x14ac:dyDescent="0.2">
      <c r="I40" s="100">
        <v>4</v>
      </c>
      <c r="J40" s="279"/>
      <c r="K40" s="280"/>
      <c r="L40" s="283"/>
      <c r="M40" s="282"/>
      <c r="N40" s="282"/>
    </row>
    <row r="41" spans="3:14" x14ac:dyDescent="0.2">
      <c r="I41" s="100">
        <v>5</v>
      </c>
      <c r="J41" s="279"/>
      <c r="K41" s="280"/>
      <c r="L41" s="283"/>
      <c r="M41" s="282"/>
      <c r="N41" s="282"/>
    </row>
    <row r="42" spans="3:14" x14ac:dyDescent="0.2">
      <c r="I42" s="100">
        <v>6</v>
      </c>
      <c r="J42" s="279"/>
      <c r="K42" s="280"/>
      <c r="L42" s="281"/>
      <c r="M42" s="282"/>
      <c r="N42" s="282"/>
    </row>
    <row r="43" spans="3:14" x14ac:dyDescent="0.2">
      <c r="I43" s="100">
        <v>7</v>
      </c>
      <c r="J43" s="279"/>
      <c r="K43" s="280"/>
      <c r="L43" s="283"/>
      <c r="M43" s="282"/>
      <c r="N43" s="280"/>
    </row>
    <row r="44" spans="3:14" x14ac:dyDescent="0.2">
      <c r="N44" s="269"/>
    </row>
  </sheetData>
  <mergeCells count="33">
    <mergeCell ref="E23:F23"/>
    <mergeCell ref="F13:F14"/>
    <mergeCell ref="G13:G14"/>
    <mergeCell ref="E5:F5"/>
    <mergeCell ref="E1:F2"/>
    <mergeCell ref="F6:F8"/>
    <mergeCell ref="G6:G8"/>
    <mergeCell ref="C1:C2"/>
    <mergeCell ref="D1:D2"/>
    <mergeCell ref="G1:G2"/>
    <mergeCell ref="E3:F3"/>
    <mergeCell ref="E4:F4"/>
    <mergeCell ref="C25:C26"/>
    <mergeCell ref="D25:D26"/>
    <mergeCell ref="G25:G26"/>
    <mergeCell ref="F9:F10"/>
    <mergeCell ref="G9:G10"/>
    <mergeCell ref="F11:F12"/>
    <mergeCell ref="G11:G12"/>
    <mergeCell ref="E25:F26"/>
    <mergeCell ref="E15:F15"/>
    <mergeCell ref="E16:F16"/>
    <mergeCell ref="E17:F17"/>
    <mergeCell ref="E18:F18"/>
    <mergeCell ref="E19:F19"/>
    <mergeCell ref="E20:F20"/>
    <mergeCell ref="E21:F21"/>
    <mergeCell ref="E22:F22"/>
    <mergeCell ref="E29:F29"/>
    <mergeCell ref="E30:F30"/>
    <mergeCell ref="E31:F31"/>
    <mergeCell ref="F27:F28"/>
    <mergeCell ref="G27:G28"/>
  </mergeCells>
  <pageMargins left="0.70866141732283472" right="0.70866141732283472" top="0.74803149606299213" bottom="0.74803149606299213" header="0.31496062992125984" footer="0.31496062992125984"/>
  <pageSetup paperSize="9" scale="90" orientation="landscape" r:id="rId1"/>
  <colBreaks count="1" manualBreakCount="1">
    <brk id="8"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'Tener en cuenta'!$AC$13:$AC$15</xm:f>
          </x14:formula1>
          <xm:sqref>M37:M43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INDICADORES</vt:lpstr>
      <vt:lpstr>Tener en cuenta</vt:lpstr>
      <vt:lpstr>SCE</vt:lpstr>
      <vt:lpstr>resumen</vt:lpstr>
      <vt:lpstr>INDICADORES!Área_de_impresión</vt:lpstr>
      <vt:lpstr>INDICADORES!Títulos_a_imprimir</vt:lpstr>
    </vt:vector>
  </TitlesOfParts>
  <Company>DAPD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DAPD</dc:creator>
  <cp:lastModifiedBy>Omar Fabian Montes Plata</cp:lastModifiedBy>
  <cp:lastPrinted>2024-01-11T17:39:29Z</cp:lastPrinted>
  <dcterms:created xsi:type="dcterms:W3CDTF">2014-05-15T14:50:14Z</dcterms:created>
  <dcterms:modified xsi:type="dcterms:W3CDTF">2024-11-06T22:36:33Z</dcterms:modified>
</cp:coreProperties>
</file>