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2024\SABANETA\MANTENIMIENTO SEDES LICITACIÓN\INFORME FINAL DE EVALUACIO OBRA SEDES\"/>
    </mc:Choice>
  </mc:AlternateContent>
  <xr:revisionPtr revIDLastSave="0" documentId="13_ncr:1_{2835B493-2095-4FB2-8522-8EFECF211C1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DATOS INICIALES" sheetId="5" r:id="rId1"/>
    <sheet name="CAPACIDAD FINANCIERA" sheetId="3" r:id="rId2"/>
    <sheet name="CAPACIDAD RESIDUAL" sheetId="1" r:id="rId3"/>
    <sheet name="1" sheetId="6" r:id="rId4"/>
    <sheet name="2" sheetId="8" r:id="rId5"/>
    <sheet name="3" sheetId="23" r:id="rId6"/>
    <sheet name="4" sheetId="24" r:id="rId7"/>
    <sheet name="5" sheetId="25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29" i="25" l="1"/>
  <c r="N128" i="25"/>
  <c r="N127" i="25"/>
  <c r="N126" i="25"/>
  <c r="N78" i="25"/>
  <c r="N77" i="25"/>
  <c r="N76" i="25"/>
  <c r="N75" i="25"/>
  <c r="N129" i="24"/>
  <c r="N128" i="24"/>
  <c r="N127" i="24"/>
  <c r="N126" i="24"/>
  <c r="N78" i="24"/>
  <c r="N77" i="24"/>
  <c r="N76" i="24"/>
  <c r="N75" i="24"/>
  <c r="N62" i="23"/>
  <c r="N61" i="23"/>
  <c r="N62" i="8"/>
  <c r="N61" i="8"/>
  <c r="N60" i="8"/>
  <c r="N78" i="6"/>
  <c r="N77" i="6"/>
  <c r="N76" i="6"/>
  <c r="N75" i="6"/>
  <c r="N74" i="6"/>
  <c r="N128" i="6"/>
  <c r="N129" i="6"/>
  <c r="N282" i="25" l="1"/>
  <c r="M282" i="25"/>
  <c r="N281" i="25"/>
  <c r="M281" i="25"/>
  <c r="N280" i="25"/>
  <c r="M280" i="25"/>
  <c r="N279" i="25"/>
  <c r="M279" i="25"/>
  <c r="N278" i="25"/>
  <c r="M278" i="25"/>
  <c r="H271" i="25"/>
  <c r="G258" i="25"/>
  <c r="G249" i="25"/>
  <c r="C245" i="25"/>
  <c r="F240" i="25"/>
  <c r="F239" i="25"/>
  <c r="F238" i="25"/>
  <c r="F237" i="25"/>
  <c r="F236" i="25"/>
  <c r="N231" i="25"/>
  <c r="M231" i="25"/>
  <c r="N230" i="25"/>
  <c r="M230" i="25"/>
  <c r="N229" i="25"/>
  <c r="M229" i="25"/>
  <c r="N228" i="25"/>
  <c r="M228" i="25"/>
  <c r="N227" i="25"/>
  <c r="N233" i="25" s="1"/>
  <c r="M227" i="25"/>
  <c r="H220" i="25"/>
  <c r="G207" i="25"/>
  <c r="G198" i="25"/>
  <c r="C194" i="25"/>
  <c r="F189" i="25"/>
  <c r="F188" i="25"/>
  <c r="F187" i="25"/>
  <c r="F186" i="25"/>
  <c r="F185" i="25"/>
  <c r="N180" i="25"/>
  <c r="M180" i="25"/>
  <c r="N179" i="25"/>
  <c r="M179" i="25"/>
  <c r="N178" i="25"/>
  <c r="M178" i="25"/>
  <c r="N177" i="25"/>
  <c r="M177" i="25"/>
  <c r="N176" i="25"/>
  <c r="N182" i="25" s="1"/>
  <c r="M176" i="25"/>
  <c r="H169" i="25"/>
  <c r="G156" i="25"/>
  <c r="G147" i="25"/>
  <c r="C143" i="25"/>
  <c r="F138" i="25"/>
  <c r="F137" i="25"/>
  <c r="F136" i="25"/>
  <c r="F135" i="25"/>
  <c r="F134" i="25"/>
  <c r="M129" i="25"/>
  <c r="M128" i="25"/>
  <c r="H118" i="25"/>
  <c r="I86" i="25" s="1"/>
  <c r="G105" i="25"/>
  <c r="G96" i="25"/>
  <c r="I83" i="25" s="1"/>
  <c r="C92" i="25"/>
  <c r="F87" i="25"/>
  <c r="F86" i="25"/>
  <c r="F85" i="25"/>
  <c r="F84" i="25"/>
  <c r="F83" i="25"/>
  <c r="M78" i="25"/>
  <c r="M77" i="25"/>
  <c r="M76" i="25"/>
  <c r="M75" i="25"/>
  <c r="H67" i="25"/>
  <c r="I35" i="25" s="1"/>
  <c r="G54" i="25"/>
  <c r="G45" i="25"/>
  <c r="I32" i="25" s="1"/>
  <c r="C41" i="25"/>
  <c r="F36" i="25"/>
  <c r="F35" i="25"/>
  <c r="F34" i="25"/>
  <c r="F33" i="25"/>
  <c r="F32" i="25"/>
  <c r="A28" i="25"/>
  <c r="A27" i="25"/>
  <c r="A26" i="25"/>
  <c r="A25" i="25"/>
  <c r="A24" i="25"/>
  <c r="F20" i="25"/>
  <c r="F19" i="25"/>
  <c r="F18" i="25"/>
  <c r="F17" i="25"/>
  <c r="F16" i="25"/>
  <c r="D16" i="25"/>
  <c r="E8" i="25"/>
  <c r="E6" i="25"/>
  <c r="M126" i="25" s="1"/>
  <c r="E5" i="25"/>
  <c r="G100" i="25" s="1"/>
  <c r="A3" i="25"/>
  <c r="A2" i="25"/>
  <c r="N282" i="24"/>
  <c r="M282" i="24"/>
  <c r="N281" i="24"/>
  <c r="M281" i="24"/>
  <c r="N280" i="24"/>
  <c r="M280" i="24"/>
  <c r="N279" i="24"/>
  <c r="M279" i="24"/>
  <c r="N278" i="24"/>
  <c r="N284" i="24" s="1"/>
  <c r="M278" i="24"/>
  <c r="H271" i="24"/>
  <c r="G258" i="24"/>
  <c r="G249" i="24"/>
  <c r="C245" i="24"/>
  <c r="F240" i="24"/>
  <c r="F239" i="24"/>
  <c r="F238" i="24"/>
  <c r="F237" i="24"/>
  <c r="F236" i="24"/>
  <c r="N231" i="24"/>
  <c r="M231" i="24"/>
  <c r="N230" i="24"/>
  <c r="M230" i="24"/>
  <c r="N229" i="24"/>
  <c r="M229" i="24"/>
  <c r="N228" i="24"/>
  <c r="M228" i="24"/>
  <c r="N227" i="24"/>
  <c r="N233" i="24" s="1"/>
  <c r="M227" i="24"/>
  <c r="H220" i="24"/>
  <c r="G207" i="24"/>
  <c r="G198" i="24"/>
  <c r="C194" i="24"/>
  <c r="F189" i="24"/>
  <c r="F188" i="24"/>
  <c r="F187" i="24"/>
  <c r="F186" i="24"/>
  <c r="F185" i="24"/>
  <c r="N180" i="24"/>
  <c r="M180" i="24"/>
  <c r="N179" i="24"/>
  <c r="M179" i="24"/>
  <c r="N178" i="24"/>
  <c r="M178" i="24"/>
  <c r="N177" i="24"/>
  <c r="M177" i="24"/>
  <c r="N176" i="24"/>
  <c r="M176" i="24"/>
  <c r="H169" i="24"/>
  <c r="G156" i="24"/>
  <c r="G147" i="24"/>
  <c r="C143" i="24"/>
  <c r="F138" i="24"/>
  <c r="F137" i="24"/>
  <c r="F136" i="24"/>
  <c r="F135" i="24"/>
  <c r="F134" i="24"/>
  <c r="M129" i="24"/>
  <c r="M128" i="24"/>
  <c r="H118" i="24"/>
  <c r="I86" i="24" s="1"/>
  <c r="G105" i="24"/>
  <c r="G96" i="24"/>
  <c r="I83" i="24" s="1"/>
  <c r="C92" i="24"/>
  <c r="F87" i="24"/>
  <c r="F86" i="24"/>
  <c r="F85" i="24"/>
  <c r="F84" i="24"/>
  <c r="F83" i="24"/>
  <c r="M78" i="24"/>
  <c r="M77" i="24"/>
  <c r="M76" i="24"/>
  <c r="M75" i="24"/>
  <c r="H67" i="24"/>
  <c r="I35" i="24" s="1"/>
  <c r="G54" i="24"/>
  <c r="G45" i="24"/>
  <c r="I32" i="24" s="1"/>
  <c r="C41" i="24"/>
  <c r="F36" i="24"/>
  <c r="F35" i="24"/>
  <c r="F34" i="24"/>
  <c r="F33" i="24"/>
  <c r="F32" i="24"/>
  <c r="A28" i="24"/>
  <c r="A236" i="24" s="1"/>
  <c r="A27" i="24"/>
  <c r="A26" i="24"/>
  <c r="A25" i="24"/>
  <c r="A83" i="24" s="1"/>
  <c r="H110" i="24" s="1"/>
  <c r="A24" i="24"/>
  <c r="A32" i="24" s="1"/>
  <c r="F20" i="24"/>
  <c r="F19" i="24"/>
  <c r="F18" i="24"/>
  <c r="F17" i="24"/>
  <c r="F16" i="24"/>
  <c r="D16" i="24"/>
  <c r="E8" i="24"/>
  <c r="E6" i="24"/>
  <c r="M127" i="24" s="1"/>
  <c r="E5" i="24"/>
  <c r="G100" i="24" s="1"/>
  <c r="A3" i="24"/>
  <c r="A2" i="24"/>
  <c r="M62" i="23"/>
  <c r="M61" i="23"/>
  <c r="H51" i="23"/>
  <c r="I19" i="23" s="1"/>
  <c r="H44" i="23"/>
  <c r="H43" i="23"/>
  <c r="G38" i="23"/>
  <c r="G29" i="23"/>
  <c r="C25" i="23"/>
  <c r="F20" i="23"/>
  <c r="D20" i="23"/>
  <c r="G32" i="23" s="1"/>
  <c r="F19" i="23"/>
  <c r="F18" i="23"/>
  <c r="D18" i="23"/>
  <c r="F17" i="23"/>
  <c r="F16" i="23"/>
  <c r="D16" i="23"/>
  <c r="E8" i="23"/>
  <c r="E6" i="23"/>
  <c r="M58" i="23" s="1"/>
  <c r="N58" i="23" s="1"/>
  <c r="E5" i="23"/>
  <c r="G33" i="23" s="1"/>
  <c r="D20" i="8"/>
  <c r="A3" i="6"/>
  <c r="A2" i="6"/>
  <c r="H10" i="1"/>
  <c r="E9" i="23" l="1"/>
  <c r="A13" i="23" s="1"/>
  <c r="E9" i="24"/>
  <c r="A13" i="24" s="1"/>
  <c r="A134" i="24"/>
  <c r="N26" i="24"/>
  <c r="J26" i="24"/>
  <c r="I26" i="24"/>
  <c r="F26" i="24"/>
  <c r="E26" i="24"/>
  <c r="C26" i="24"/>
  <c r="K27" i="24"/>
  <c r="N27" i="24"/>
  <c r="H27" i="24"/>
  <c r="F27" i="24"/>
  <c r="C27" i="24"/>
  <c r="K26" i="25"/>
  <c r="A134" i="25"/>
  <c r="N26" i="25"/>
  <c r="J26" i="25"/>
  <c r="I26" i="25"/>
  <c r="F26" i="25"/>
  <c r="E26" i="25"/>
  <c r="C26" i="25"/>
  <c r="K27" i="25"/>
  <c r="N27" i="25"/>
  <c r="H27" i="25"/>
  <c r="C27" i="25"/>
  <c r="A236" i="25"/>
  <c r="N28" i="25"/>
  <c r="J28" i="25"/>
  <c r="I28" i="25"/>
  <c r="F28" i="25"/>
  <c r="E28" i="25"/>
  <c r="C28" i="25"/>
  <c r="J24" i="25"/>
  <c r="H15" i="1" s="1"/>
  <c r="E9" i="25"/>
  <c r="A13" i="25" s="1"/>
  <c r="M74" i="25"/>
  <c r="N284" i="25"/>
  <c r="M74" i="24"/>
  <c r="N74" i="24" s="1"/>
  <c r="N80" i="24" s="1"/>
  <c r="I36" i="24" s="1"/>
  <c r="K24" i="24" s="1"/>
  <c r="N182" i="24"/>
  <c r="G49" i="24"/>
  <c r="H39" i="23"/>
  <c r="H40" i="23" s="1"/>
  <c r="I17" i="23" s="1"/>
  <c r="M59" i="23"/>
  <c r="N59" i="23" s="1"/>
  <c r="M60" i="23"/>
  <c r="N60" i="23" s="1"/>
  <c r="H45" i="23"/>
  <c r="H46" i="23" s="1"/>
  <c r="I18" i="23" s="1"/>
  <c r="N64" i="23"/>
  <c r="I20" i="23" s="1"/>
  <c r="H26" i="25"/>
  <c r="H28" i="25"/>
  <c r="D134" i="25"/>
  <c r="I136" i="25"/>
  <c r="C28" i="24"/>
  <c r="I28" i="24"/>
  <c r="H26" i="24"/>
  <c r="J27" i="24"/>
  <c r="E28" i="24"/>
  <c r="J28" i="24"/>
  <c r="J24" i="24"/>
  <c r="F28" i="24"/>
  <c r="N28" i="24"/>
  <c r="J25" i="24"/>
  <c r="H28" i="24"/>
  <c r="J238" i="25"/>
  <c r="I237" i="25"/>
  <c r="D240" i="25"/>
  <c r="G252" i="25" s="1"/>
  <c r="H259" i="25" s="1"/>
  <c r="H260" i="25" s="1"/>
  <c r="I238" i="25"/>
  <c r="D236" i="25"/>
  <c r="D238" i="25"/>
  <c r="I236" i="25"/>
  <c r="H264" i="25"/>
  <c r="I239" i="25"/>
  <c r="K236" i="25"/>
  <c r="H263" i="25"/>
  <c r="H265" i="25" s="1"/>
  <c r="H266" i="25" s="1"/>
  <c r="I240" i="25"/>
  <c r="M127" i="25"/>
  <c r="G253" i="25"/>
  <c r="G24" i="25"/>
  <c r="G26" i="25"/>
  <c r="E27" i="25"/>
  <c r="I27" i="25"/>
  <c r="G28" i="25"/>
  <c r="K28" i="25"/>
  <c r="A32" i="25"/>
  <c r="I135" i="25"/>
  <c r="J136" i="25"/>
  <c r="G202" i="25"/>
  <c r="G49" i="25"/>
  <c r="A83" i="25"/>
  <c r="M125" i="25"/>
  <c r="N125" i="25" s="1"/>
  <c r="J25" i="25"/>
  <c r="F27" i="25"/>
  <c r="J27" i="25"/>
  <c r="I134" i="25"/>
  <c r="D136" i="25"/>
  <c r="I138" i="25"/>
  <c r="G151" i="25"/>
  <c r="H161" i="25"/>
  <c r="H163" i="25" s="1"/>
  <c r="H164" i="25" s="1"/>
  <c r="A185" i="25"/>
  <c r="G25" i="25"/>
  <c r="G27" i="25"/>
  <c r="K134" i="25"/>
  <c r="I137" i="25"/>
  <c r="H59" i="24"/>
  <c r="D34" i="24"/>
  <c r="E24" i="24" s="1"/>
  <c r="D36" i="24"/>
  <c r="D32" i="24"/>
  <c r="C24" i="24" s="1"/>
  <c r="H60" i="24"/>
  <c r="J238" i="24"/>
  <c r="I237" i="24"/>
  <c r="D240" i="24"/>
  <c r="G252" i="24" s="1"/>
  <c r="H259" i="24" s="1"/>
  <c r="H260" i="24" s="1"/>
  <c r="I238" i="24"/>
  <c r="D236" i="24"/>
  <c r="H264" i="24"/>
  <c r="I239" i="24"/>
  <c r="K236" i="24"/>
  <c r="H263" i="24"/>
  <c r="H265" i="24" s="1"/>
  <c r="H266" i="24" s="1"/>
  <c r="I240" i="24"/>
  <c r="D238" i="24"/>
  <c r="I236" i="24"/>
  <c r="H162" i="24"/>
  <c r="I137" i="24"/>
  <c r="K134" i="24"/>
  <c r="H161" i="24"/>
  <c r="H163" i="24" s="1"/>
  <c r="H164" i="24" s="1"/>
  <c r="I138" i="24"/>
  <c r="D136" i="24"/>
  <c r="I134" i="24"/>
  <c r="J136" i="24"/>
  <c r="I135" i="24"/>
  <c r="D138" i="24"/>
  <c r="G150" i="24" s="1"/>
  <c r="H157" i="24" s="1"/>
  <c r="H158" i="24" s="1"/>
  <c r="I136" i="24"/>
  <c r="D134" i="24"/>
  <c r="H111" i="24"/>
  <c r="H112" i="24" s="1"/>
  <c r="H113" i="24" s="1"/>
  <c r="I85" i="24" s="1"/>
  <c r="I25" i="24" s="1"/>
  <c r="M125" i="24"/>
  <c r="N125" i="24" s="1"/>
  <c r="G253" i="24"/>
  <c r="G24" i="24"/>
  <c r="G26" i="24"/>
  <c r="K26" i="24"/>
  <c r="E27" i="24"/>
  <c r="I27" i="24"/>
  <c r="G28" i="24"/>
  <c r="K28" i="24"/>
  <c r="D83" i="24"/>
  <c r="C25" i="24" s="1"/>
  <c r="D87" i="24"/>
  <c r="G202" i="24"/>
  <c r="M126" i="24"/>
  <c r="G151" i="24"/>
  <c r="A185" i="24"/>
  <c r="G25" i="24"/>
  <c r="G27" i="24"/>
  <c r="D85" i="24"/>
  <c r="E25" i="24" s="1"/>
  <c r="I16" i="23"/>
  <c r="E15" i="1"/>
  <c r="H13" i="1"/>
  <c r="I12" i="1"/>
  <c r="G10" i="1"/>
  <c r="E10" i="1"/>
  <c r="F10" i="1"/>
  <c r="H12" i="1"/>
  <c r="E12" i="1"/>
  <c r="E13" i="1"/>
  <c r="G13" i="1"/>
  <c r="I10" i="1"/>
  <c r="E16" i="1"/>
  <c r="N74" i="25" l="1"/>
  <c r="N80" i="25" s="1"/>
  <c r="I36" i="25" s="1"/>
  <c r="K24" i="25" s="1"/>
  <c r="I15" i="1" s="1"/>
  <c r="H162" i="25"/>
  <c r="D138" i="25"/>
  <c r="G150" i="25" s="1"/>
  <c r="H157" i="25" s="1"/>
  <c r="H158" i="25" s="1"/>
  <c r="N131" i="25"/>
  <c r="I87" i="25" s="1"/>
  <c r="K25" i="25" s="1"/>
  <c r="N131" i="24"/>
  <c r="I87" i="24" s="1"/>
  <c r="K25" i="24" s="1"/>
  <c r="K16" i="23"/>
  <c r="H110" i="25"/>
  <c r="D85" i="25"/>
  <c r="E25" i="25" s="1"/>
  <c r="D87" i="25"/>
  <c r="D83" i="25"/>
  <c r="C25" i="25" s="1"/>
  <c r="H111" i="25"/>
  <c r="D36" i="25"/>
  <c r="D32" i="25"/>
  <c r="C24" i="25" s="1"/>
  <c r="H59" i="25"/>
  <c r="H60" i="25"/>
  <c r="D34" i="25"/>
  <c r="E24" i="25" s="1"/>
  <c r="D189" i="25"/>
  <c r="G201" i="25" s="1"/>
  <c r="H208" i="25" s="1"/>
  <c r="H209" i="25" s="1"/>
  <c r="I187" i="25"/>
  <c r="D185" i="25"/>
  <c r="H213" i="25"/>
  <c r="I188" i="25"/>
  <c r="K185" i="25"/>
  <c r="J187" i="25"/>
  <c r="I186" i="25"/>
  <c r="H212" i="25"/>
  <c r="H214" i="25" s="1"/>
  <c r="H215" i="25" s="1"/>
  <c r="I189" i="25"/>
  <c r="D187" i="25"/>
  <c r="I185" i="25"/>
  <c r="G48" i="24"/>
  <c r="H55" i="24" s="1"/>
  <c r="H56" i="24" s="1"/>
  <c r="I33" i="24" s="1"/>
  <c r="F24" i="24"/>
  <c r="D189" i="24"/>
  <c r="G201" i="24" s="1"/>
  <c r="H208" i="24" s="1"/>
  <c r="H209" i="24" s="1"/>
  <c r="I187" i="24"/>
  <c r="D185" i="24"/>
  <c r="H213" i="24"/>
  <c r="I188" i="24"/>
  <c r="K185" i="24"/>
  <c r="H212" i="24"/>
  <c r="H214" i="24" s="1"/>
  <c r="H215" i="24" s="1"/>
  <c r="I189" i="24"/>
  <c r="D187" i="24"/>
  <c r="I185" i="24"/>
  <c r="J187" i="24"/>
  <c r="I186" i="24"/>
  <c r="G99" i="24"/>
  <c r="H106" i="24" s="1"/>
  <c r="H107" i="24" s="1"/>
  <c r="I84" i="24" s="1"/>
  <c r="F25" i="24"/>
  <c r="H61" i="24"/>
  <c r="H62" i="24" s="1"/>
  <c r="I34" i="24" s="1"/>
  <c r="I24" i="24" s="1"/>
  <c r="N282" i="6"/>
  <c r="N281" i="6"/>
  <c r="N280" i="6"/>
  <c r="N279" i="6"/>
  <c r="N278" i="6"/>
  <c r="N231" i="6"/>
  <c r="N230" i="6"/>
  <c r="N229" i="6"/>
  <c r="N228" i="6"/>
  <c r="N227" i="6"/>
  <c r="N180" i="6"/>
  <c r="N179" i="6"/>
  <c r="N178" i="6"/>
  <c r="G12" i="1"/>
  <c r="I16" i="1"/>
  <c r="J10" i="1"/>
  <c r="I13" i="1"/>
  <c r="K10" i="1" l="1"/>
  <c r="J18" i="23"/>
  <c r="H112" i="25"/>
  <c r="H113" i="25" s="1"/>
  <c r="I85" i="25" s="1"/>
  <c r="I25" i="25" s="1"/>
  <c r="H61" i="25"/>
  <c r="H62" i="25" s="1"/>
  <c r="I34" i="25" s="1"/>
  <c r="I24" i="25" s="1"/>
  <c r="G99" i="25"/>
  <c r="H106" i="25" s="1"/>
  <c r="H107" i="25" s="1"/>
  <c r="I84" i="25" s="1"/>
  <c r="F25" i="25"/>
  <c r="G48" i="25"/>
  <c r="H55" i="25" s="1"/>
  <c r="H56" i="25" s="1"/>
  <c r="I33" i="25" s="1"/>
  <c r="F24" i="25"/>
  <c r="H24" i="24"/>
  <c r="K32" i="24"/>
  <c r="H25" i="24"/>
  <c r="K83" i="24"/>
  <c r="F29" i="24"/>
  <c r="D20" i="24" s="1"/>
  <c r="E8" i="6"/>
  <c r="E6" i="6"/>
  <c r="M125" i="6" s="1"/>
  <c r="N125" i="6" s="1"/>
  <c r="E5" i="6"/>
  <c r="AG16" i="3"/>
  <c r="AF16" i="3"/>
  <c r="AB16" i="3"/>
  <c r="Y16" i="3"/>
  <c r="X16" i="3"/>
  <c r="U16" i="3"/>
  <c r="T16" i="3"/>
  <c r="Q16" i="3"/>
  <c r="P16" i="3"/>
  <c r="J16" i="3"/>
  <c r="AC16" i="3" s="1"/>
  <c r="I16" i="3"/>
  <c r="N16" i="3" s="1"/>
  <c r="AG15" i="3"/>
  <c r="AF15" i="3"/>
  <c r="AB15" i="3"/>
  <c r="AB14" i="3" s="1"/>
  <c r="Y15" i="3"/>
  <c r="X15" i="3"/>
  <c r="U15" i="3"/>
  <c r="T15" i="3"/>
  <c r="T14" i="3" s="1"/>
  <c r="Q15" i="3"/>
  <c r="P15" i="3"/>
  <c r="J15" i="3"/>
  <c r="AC15" i="3" s="1"/>
  <c r="I15" i="3"/>
  <c r="N15" i="3" s="1"/>
  <c r="AG13" i="3"/>
  <c r="AF13" i="3"/>
  <c r="AB13" i="3"/>
  <c r="Y13" i="3"/>
  <c r="X13" i="3"/>
  <c r="U13" i="3"/>
  <c r="T13" i="3"/>
  <c r="Q13" i="3"/>
  <c r="P13" i="3"/>
  <c r="J13" i="3"/>
  <c r="AC13" i="3" s="1"/>
  <c r="I13" i="3"/>
  <c r="N13" i="3" s="1"/>
  <c r="AG12" i="3"/>
  <c r="AF12" i="3"/>
  <c r="AB12" i="3"/>
  <c r="Y12" i="3"/>
  <c r="X12" i="3"/>
  <c r="U12" i="3"/>
  <c r="T12" i="3"/>
  <c r="Q12" i="3"/>
  <c r="P12" i="3"/>
  <c r="J12" i="3"/>
  <c r="AC12" i="3" s="1"/>
  <c r="I12" i="3"/>
  <c r="N12" i="3" s="1"/>
  <c r="N11" i="3" s="1"/>
  <c r="AG10" i="3"/>
  <c r="AF10" i="3"/>
  <c r="AH10" i="3" s="1"/>
  <c r="AI10" i="3" s="1"/>
  <c r="AB10" i="3"/>
  <c r="Y10" i="3"/>
  <c r="X10" i="3"/>
  <c r="U10" i="3"/>
  <c r="T10" i="3"/>
  <c r="Q10" i="3"/>
  <c r="P10" i="3"/>
  <c r="J10" i="3"/>
  <c r="AC10" i="3" s="1"/>
  <c r="I10" i="3"/>
  <c r="N10" i="3" s="1"/>
  <c r="AG9" i="3"/>
  <c r="AF9" i="3"/>
  <c r="AH9" i="3" s="1"/>
  <c r="AI9" i="3" s="1"/>
  <c r="AB9" i="3"/>
  <c r="Y9" i="3"/>
  <c r="X9" i="3"/>
  <c r="Z9" i="3" s="1"/>
  <c r="AA9" i="3" s="1"/>
  <c r="T9" i="3"/>
  <c r="U9" i="3"/>
  <c r="V9" i="3" s="1"/>
  <c r="W9" i="3" s="1"/>
  <c r="Q9" i="3"/>
  <c r="P9" i="3"/>
  <c r="R9" i="3" s="1"/>
  <c r="S9" i="3" s="1"/>
  <c r="I9" i="3"/>
  <c r="N9" i="3" s="1"/>
  <c r="J9" i="3"/>
  <c r="AC9" i="3" s="1"/>
  <c r="F12" i="1"/>
  <c r="G15" i="1"/>
  <c r="G16" i="1"/>
  <c r="H16" i="1"/>
  <c r="F13" i="1"/>
  <c r="Q11" i="3" l="1"/>
  <c r="Y11" i="3"/>
  <c r="AD9" i="3"/>
  <c r="AC11" i="3"/>
  <c r="X11" i="3"/>
  <c r="F29" i="25"/>
  <c r="D20" i="25" s="1"/>
  <c r="K32" i="25"/>
  <c r="H24" i="25"/>
  <c r="H25" i="25"/>
  <c r="K83" i="25"/>
  <c r="J34" i="24"/>
  <c r="N24" i="24"/>
  <c r="J85" i="24"/>
  <c r="N25" i="24"/>
  <c r="AF14" i="3"/>
  <c r="U14" i="3"/>
  <c r="AG14" i="3"/>
  <c r="Q14" i="3"/>
  <c r="P14" i="3"/>
  <c r="R14" i="3" s="1"/>
  <c r="S14" i="3" s="1"/>
  <c r="V14" i="3"/>
  <c r="W14" i="3" s="1"/>
  <c r="X14" i="3"/>
  <c r="Y14" i="3"/>
  <c r="N14" i="3"/>
  <c r="AC14" i="3"/>
  <c r="P11" i="3"/>
  <c r="T11" i="3"/>
  <c r="AB11" i="3"/>
  <c r="Z11" i="3"/>
  <c r="AA11" i="3" s="1"/>
  <c r="AG11" i="3"/>
  <c r="AF11" i="3"/>
  <c r="U11" i="3"/>
  <c r="R11" i="3"/>
  <c r="S11" i="3" s="1"/>
  <c r="V10" i="3"/>
  <c r="W10" i="3" s="1"/>
  <c r="R10" i="3"/>
  <c r="S10" i="3" s="1"/>
  <c r="Z10" i="3"/>
  <c r="AA10" i="3" s="1"/>
  <c r="AD10" i="3"/>
  <c r="AF8" i="3"/>
  <c r="AG8" i="3"/>
  <c r="AB8" i="3"/>
  <c r="AG7" i="3"/>
  <c r="AF7" i="3"/>
  <c r="AB7" i="3"/>
  <c r="X8" i="3"/>
  <c r="Y8" i="3"/>
  <c r="Y7" i="3"/>
  <c r="X7" i="3"/>
  <c r="T8" i="3"/>
  <c r="T7" i="3"/>
  <c r="T6" i="3" s="1"/>
  <c r="U8" i="3"/>
  <c r="U7" i="3"/>
  <c r="Q8" i="3"/>
  <c r="Q7" i="3"/>
  <c r="P8" i="3"/>
  <c r="P7" i="3"/>
  <c r="O4" i="3"/>
  <c r="O11" i="3" s="1"/>
  <c r="J12" i="1"/>
  <c r="F15" i="1"/>
  <c r="J13" i="1"/>
  <c r="F16" i="1"/>
  <c r="AE10" i="3" l="1"/>
  <c r="AK10" i="3"/>
  <c r="AD11" i="3"/>
  <c r="AE11" i="3" s="1"/>
  <c r="AD14" i="3"/>
  <c r="AH14" i="3"/>
  <c r="AI14" i="3" s="1"/>
  <c r="AE9" i="3"/>
  <c r="AK9" i="3"/>
  <c r="AF6" i="3"/>
  <c r="V11" i="3"/>
  <c r="O14" i="3"/>
  <c r="O9" i="3"/>
  <c r="AJ9" i="3" s="1"/>
  <c r="O10" i="3"/>
  <c r="AJ10" i="3" s="1"/>
  <c r="J34" i="25"/>
  <c r="N24" i="25"/>
  <c r="J85" i="25"/>
  <c r="N25" i="25"/>
  <c r="N29" i="24"/>
  <c r="K16" i="24" s="1"/>
  <c r="Z14" i="3"/>
  <c r="AA14" i="3" s="1"/>
  <c r="AH11" i="3"/>
  <c r="AB6" i="3"/>
  <c r="P6" i="3"/>
  <c r="Q6" i="3"/>
  <c r="AG6" i="3"/>
  <c r="U6" i="3"/>
  <c r="V6" i="3" s="1"/>
  <c r="W6" i="3" s="1"/>
  <c r="X6" i="3"/>
  <c r="Y6" i="3"/>
  <c r="J16" i="1"/>
  <c r="J15" i="1"/>
  <c r="J11" i="1"/>
  <c r="AI11" i="3" l="1"/>
  <c r="AK11" i="3"/>
  <c r="AJ14" i="3"/>
  <c r="W11" i="3"/>
  <c r="AJ11" i="3"/>
  <c r="AE14" i="3"/>
  <c r="AK14" i="3"/>
  <c r="K11" i="1"/>
  <c r="Z6" i="3"/>
  <c r="AA6" i="3" s="1"/>
  <c r="R6" i="3"/>
  <c r="S6" i="3" s="1"/>
  <c r="AH6" i="3"/>
  <c r="AI6" i="3" s="1"/>
  <c r="J18" i="24"/>
  <c r="N29" i="25"/>
  <c r="K16" i="25" s="1"/>
  <c r="J14" i="1"/>
  <c r="K14" i="1" l="1"/>
  <c r="J18" i="25"/>
  <c r="H44" i="8"/>
  <c r="H51" i="8" l="1"/>
  <c r="I19" i="8" s="1"/>
  <c r="H43" i="8"/>
  <c r="H45" i="8" s="1"/>
  <c r="H46" i="8" s="1"/>
  <c r="G38" i="8"/>
  <c r="G29" i="8"/>
  <c r="I16" i="8" s="1"/>
  <c r="C25" i="8"/>
  <c r="F20" i="8"/>
  <c r="G32" i="8"/>
  <c r="F19" i="8"/>
  <c r="F18" i="8"/>
  <c r="D18" i="8"/>
  <c r="F17" i="8"/>
  <c r="F16" i="8"/>
  <c r="D16" i="8"/>
  <c r="E8" i="8"/>
  <c r="E6" i="8"/>
  <c r="M62" i="8" s="1"/>
  <c r="E5" i="8"/>
  <c r="G33" i="8" s="1"/>
  <c r="H9" i="1"/>
  <c r="E9" i="1"/>
  <c r="H39" i="8" l="1"/>
  <c r="H40" i="8" s="1"/>
  <c r="M59" i="8"/>
  <c r="N59" i="8" s="1"/>
  <c r="M61" i="8"/>
  <c r="E9" i="8"/>
  <c r="A13" i="8" s="1"/>
  <c r="I18" i="8"/>
  <c r="M58" i="8"/>
  <c r="N58" i="8" s="1"/>
  <c r="M60" i="8"/>
  <c r="G9" i="1"/>
  <c r="I17" i="8" l="1"/>
  <c r="N64" i="8"/>
  <c r="I20" i="8" s="1"/>
  <c r="F9" i="1"/>
  <c r="I9" i="1"/>
  <c r="K16" i="8" l="1"/>
  <c r="M282" i="6"/>
  <c r="M281" i="6"/>
  <c r="M280" i="6"/>
  <c r="M279" i="6"/>
  <c r="M278" i="6"/>
  <c r="N284" i="6" s="1"/>
  <c r="H271" i="6"/>
  <c r="G258" i="6"/>
  <c r="G253" i="6"/>
  <c r="G249" i="6"/>
  <c r="C245" i="6"/>
  <c r="F240" i="6"/>
  <c r="F239" i="6"/>
  <c r="F238" i="6"/>
  <c r="F237" i="6"/>
  <c r="F236" i="6"/>
  <c r="M231" i="6"/>
  <c r="M230" i="6"/>
  <c r="M229" i="6"/>
  <c r="M228" i="6"/>
  <c r="M227" i="6"/>
  <c r="N233" i="6" s="1"/>
  <c r="H220" i="6"/>
  <c r="G207" i="6"/>
  <c r="G202" i="6"/>
  <c r="G198" i="6"/>
  <c r="C194" i="6"/>
  <c r="F189" i="6"/>
  <c r="F188" i="6"/>
  <c r="F187" i="6"/>
  <c r="F186" i="6"/>
  <c r="F185" i="6"/>
  <c r="M180" i="6"/>
  <c r="M179" i="6"/>
  <c r="M178" i="6"/>
  <c r="M177" i="6"/>
  <c r="N177" i="6" s="1"/>
  <c r="M176" i="6"/>
  <c r="N176" i="6" s="1"/>
  <c r="H169" i="6"/>
  <c r="G156" i="6"/>
  <c r="G151" i="6"/>
  <c r="G147" i="6"/>
  <c r="C143" i="6"/>
  <c r="F138" i="6"/>
  <c r="F137" i="6"/>
  <c r="F136" i="6"/>
  <c r="F135" i="6"/>
  <c r="F134" i="6"/>
  <c r="M129" i="6"/>
  <c r="M128" i="6"/>
  <c r="M127" i="6"/>
  <c r="N127" i="6" s="1"/>
  <c r="M126" i="6"/>
  <c r="N126" i="6" s="1"/>
  <c r="H118" i="6"/>
  <c r="I86" i="6" s="1"/>
  <c r="G105" i="6"/>
  <c r="G100" i="6"/>
  <c r="G96" i="6"/>
  <c r="I83" i="6" s="1"/>
  <c r="C92" i="6"/>
  <c r="F87" i="6"/>
  <c r="F86" i="6"/>
  <c r="F85" i="6"/>
  <c r="F84" i="6"/>
  <c r="F83" i="6"/>
  <c r="M78" i="6"/>
  <c r="M77" i="6"/>
  <c r="M76" i="6"/>
  <c r="M75" i="6"/>
  <c r="M74" i="6"/>
  <c r="H67" i="6"/>
  <c r="I35" i="6" s="1"/>
  <c r="G54" i="6"/>
  <c r="G49" i="6"/>
  <c r="G45" i="6"/>
  <c r="I32" i="6" s="1"/>
  <c r="C41" i="6"/>
  <c r="F36" i="6"/>
  <c r="F35" i="6"/>
  <c r="F34" i="6"/>
  <c r="F33" i="6"/>
  <c r="F32" i="6"/>
  <c r="A28" i="6"/>
  <c r="A236" i="6" s="1"/>
  <c r="D240" i="6" s="1"/>
  <c r="G252" i="6" s="1"/>
  <c r="A27" i="6"/>
  <c r="K27" i="6" s="1"/>
  <c r="A26" i="6"/>
  <c r="A25" i="6"/>
  <c r="A24" i="6"/>
  <c r="F20" i="6"/>
  <c r="F19" i="6"/>
  <c r="F18" i="6"/>
  <c r="F17" i="6"/>
  <c r="F16" i="6"/>
  <c r="D16" i="6"/>
  <c r="E9" i="6"/>
  <c r="A13" i="6" s="1"/>
  <c r="J9" i="1"/>
  <c r="K9" i="1" l="1"/>
  <c r="N131" i="6"/>
  <c r="I87" i="6" s="1"/>
  <c r="K25" i="6" s="1"/>
  <c r="N182" i="6"/>
  <c r="J18" i="8"/>
  <c r="N80" i="6"/>
  <c r="I36" i="6" s="1"/>
  <c r="K24" i="6" s="1"/>
  <c r="F27" i="6"/>
  <c r="J27" i="6"/>
  <c r="E28" i="6"/>
  <c r="J28" i="6"/>
  <c r="J24" i="6"/>
  <c r="C27" i="6"/>
  <c r="N27" i="6"/>
  <c r="F28" i="6"/>
  <c r="N28" i="6"/>
  <c r="A134" i="6"/>
  <c r="D138" i="6" s="1"/>
  <c r="G150" i="6" s="1"/>
  <c r="H28" i="6"/>
  <c r="H27" i="6"/>
  <c r="C28" i="6"/>
  <c r="I28" i="6"/>
  <c r="A83" i="6"/>
  <c r="J238" i="6"/>
  <c r="I237" i="6"/>
  <c r="I238" i="6"/>
  <c r="D236" i="6"/>
  <c r="H263" i="6"/>
  <c r="H265" i="6" s="1"/>
  <c r="H266" i="6" s="1"/>
  <c r="I240" i="6"/>
  <c r="D238" i="6"/>
  <c r="H264" i="6"/>
  <c r="I239" i="6"/>
  <c r="K236" i="6"/>
  <c r="I236" i="6"/>
  <c r="G24" i="6"/>
  <c r="E27" i="6"/>
  <c r="I27" i="6"/>
  <c r="G28" i="6"/>
  <c r="K28" i="6"/>
  <c r="A32" i="6"/>
  <c r="D36" i="6" s="1"/>
  <c r="G48" i="6" s="1"/>
  <c r="H55" i="6" s="1"/>
  <c r="J25" i="6"/>
  <c r="D136" i="6"/>
  <c r="E26" i="6" s="1"/>
  <c r="A185" i="6"/>
  <c r="D189" i="6" s="1"/>
  <c r="G201" i="6" s="1"/>
  <c r="G25" i="6"/>
  <c r="G27" i="6"/>
  <c r="H7" i="1"/>
  <c r="I7" i="1"/>
  <c r="I8" i="1"/>
  <c r="E7" i="1"/>
  <c r="E8" i="1"/>
  <c r="I137" i="6" l="1"/>
  <c r="J26" i="6" s="1"/>
  <c r="I138" i="6"/>
  <c r="K26" i="6" s="1"/>
  <c r="H110" i="6"/>
  <c r="D87" i="6"/>
  <c r="D83" i="6"/>
  <c r="C25" i="6" s="1"/>
  <c r="H111" i="6"/>
  <c r="H162" i="6"/>
  <c r="D134" i="6"/>
  <c r="C26" i="6" s="1"/>
  <c r="I134" i="6"/>
  <c r="G26" i="6" s="1"/>
  <c r="D85" i="6"/>
  <c r="E25" i="6" s="1"/>
  <c r="H161" i="6"/>
  <c r="H163" i="6" s="1"/>
  <c r="H164" i="6" s="1"/>
  <c r="I136" i="6" s="1"/>
  <c r="I26" i="6" s="1"/>
  <c r="I187" i="6"/>
  <c r="D185" i="6"/>
  <c r="H213" i="6"/>
  <c r="I188" i="6"/>
  <c r="K185" i="6"/>
  <c r="J187" i="6"/>
  <c r="I186" i="6"/>
  <c r="H212" i="6"/>
  <c r="H214" i="6" s="1"/>
  <c r="H215" i="6" s="1"/>
  <c r="I189" i="6"/>
  <c r="D187" i="6"/>
  <c r="I185" i="6"/>
  <c r="D32" i="6"/>
  <c r="C24" i="6" s="1"/>
  <c r="D34" i="6"/>
  <c r="E24" i="6" s="1"/>
  <c r="H60" i="6"/>
  <c r="H59" i="6"/>
  <c r="H61" i="6" l="1"/>
  <c r="H62" i="6" s="1"/>
  <c r="I34" i="6" s="1"/>
  <c r="I24" i="6" s="1"/>
  <c r="H112" i="6"/>
  <c r="H113" i="6" s="1"/>
  <c r="I85" i="6" s="1"/>
  <c r="I25" i="6" s="1"/>
  <c r="G99" i="6"/>
  <c r="H106" i="6" s="1"/>
  <c r="H107" i="6" s="1"/>
  <c r="I84" i="6" s="1"/>
  <c r="F25" i="6"/>
  <c r="F26" i="6"/>
  <c r="H157" i="6"/>
  <c r="H158" i="6" s="1"/>
  <c r="I135" i="6" s="1"/>
  <c r="H26" i="6" s="1"/>
  <c r="H259" i="6"/>
  <c r="H260" i="6" s="1"/>
  <c r="H56" i="6"/>
  <c r="I33" i="6" s="1"/>
  <c r="H208" i="6"/>
  <c r="H209" i="6" s="1"/>
  <c r="F24" i="6"/>
  <c r="G8" i="1"/>
  <c r="H8" i="1"/>
  <c r="G7" i="1"/>
  <c r="F29" i="6" l="1"/>
  <c r="D20" i="6" s="1"/>
  <c r="K134" i="6"/>
  <c r="H25" i="6"/>
  <c r="K83" i="6"/>
  <c r="K32" i="6"/>
  <c r="H24" i="6"/>
  <c r="F8" i="1"/>
  <c r="F7" i="1"/>
  <c r="N26" i="6" l="1"/>
  <c r="J136" i="6"/>
  <c r="J34" i="6"/>
  <c r="N24" i="6"/>
  <c r="J85" i="6"/>
  <c r="N25" i="6"/>
  <c r="J8" i="1"/>
  <c r="J7" i="1"/>
  <c r="N29" i="6" l="1"/>
  <c r="K16" i="6" s="1"/>
  <c r="J6" i="1"/>
  <c r="K6" i="1" l="1"/>
  <c r="J18" i="6"/>
  <c r="J8" i="3"/>
  <c r="AC8" i="3" s="1"/>
  <c r="I8" i="3"/>
  <c r="N8" i="3" s="1"/>
  <c r="J7" i="3"/>
  <c r="AC7" i="3" s="1"/>
  <c r="I7" i="3"/>
  <c r="N7" i="3" s="1"/>
  <c r="N6" i="3" l="1"/>
  <c r="AC6" i="3"/>
  <c r="O6" i="3" l="1"/>
  <c r="AJ6" i="3" s="1"/>
  <c r="AD6" i="3"/>
  <c r="AE6" i="3" l="1"/>
  <c r="AK6" i="3"/>
</calcChain>
</file>

<file path=xl/sharedStrings.xml><?xml version="1.0" encoding="utf-8"?>
<sst xmlns="http://schemas.openxmlformats.org/spreadsheetml/2006/main" count="1564" uniqueCount="206">
  <si>
    <t>DATOS DEL INTERESADO</t>
  </si>
  <si>
    <t>INFORMACIÓN  FINANCIERA - RUP</t>
  </si>
  <si>
    <t>OFERTA</t>
  </si>
  <si>
    <t>NIT</t>
  </si>
  <si>
    <t>PROPONENTE</t>
  </si>
  <si>
    <t>PORCENTAJE DE PARTICIPACIÓN</t>
  </si>
  <si>
    <t>CAPITAL DE TRABAJO (CT)
CT = (AC - PC)</t>
  </si>
  <si>
    <t>PATRIMONIO (P)
P = (AT - PT)</t>
  </si>
  <si>
    <t>INDICE DE LIQUIDEZ 
(L)</t>
  </si>
  <si>
    <t>INDICE DE ENDEUDAMIENTO 
(IE)</t>
  </si>
  <si>
    <t>RAZON DE COBERTURA DE INTERESES (RCI)</t>
  </si>
  <si>
    <t>RENTABILIDAD DEL PATRIMONIO (ROE)</t>
  </si>
  <si>
    <t>RENTABILIDAD DEL ACTIVO (ROA)</t>
  </si>
  <si>
    <t>Fórmula:
Índice de Liquidez = L
L = (AC / PC)</t>
  </si>
  <si>
    <t>Fórmula:
Índice de Endeudamiento = IE
IE = (PT / AT)</t>
  </si>
  <si>
    <t>Fórmula:
Razón Cobertura Intereses = RCI
RCI = (UO / GI)</t>
  </si>
  <si>
    <t>HÁBIL / NO HÁBIL</t>
  </si>
  <si>
    <t>Fórmula:
Rentabilidad del Patrimonio (ROE)
ROE=(UO/P)</t>
  </si>
  <si>
    <t xml:space="preserve">Fórmula:
Rentabilidad del Activo (ROA)                       
ROA=(UO/AT) </t>
  </si>
  <si>
    <t>RESULTADO</t>
  </si>
  <si>
    <t>EVALUACION CAPACIDAD FINANCIERA</t>
  </si>
  <si>
    <t>MUNICIPIO DE SABANETA</t>
  </si>
  <si>
    <t>Presupuesto estimado del Proceso de Contratación ($COP)</t>
  </si>
  <si>
    <t>Factor</t>
  </si>
  <si>
    <t>Puntaje Máximo</t>
  </si>
  <si>
    <t>Menos de un (1) Año</t>
  </si>
  <si>
    <t>Experiencia (E)</t>
  </si>
  <si>
    <t>Mas de un (1) año</t>
  </si>
  <si>
    <t>Porcentaje de Anticipo (%)</t>
  </si>
  <si>
    <t>Capacidad financiera (CF)</t>
  </si>
  <si>
    <t>Plazo estimado del Proceso de Contratación (meses)</t>
  </si>
  <si>
    <t>Capacidad técnica (CT)</t>
  </si>
  <si>
    <t>Capacidad Residual del Proceso de Contratación ($COP)</t>
  </si>
  <si>
    <t>Total</t>
  </si>
  <si>
    <t>Capacidad de Organización (CO)</t>
  </si>
  <si>
    <t xml:space="preserve">Años de información financiera </t>
  </si>
  <si>
    <t xml:space="preserve">Capacidad de organización (CO) </t>
  </si>
  <si>
    <t>Tipo de información financiera que tiene el proponente o participantes del proponente plural:</t>
  </si>
  <si>
    <t xml:space="preserve">Cinco (5) años o más </t>
  </si>
  <si>
    <t xml:space="preserve">Mayor ingreso operacional de los últimos cinco años </t>
  </si>
  <si>
    <t>Año - Documento Estado de Resultado o Estado Pérdida o Ganancias</t>
  </si>
  <si>
    <t xml:space="preserve">Entre uno (1) y cinco (5) años </t>
  </si>
  <si>
    <t xml:space="preserve">Mayor ingreso operacional de los años de vida del oferente. </t>
  </si>
  <si>
    <t xml:space="preserve">Menos de un (1) año </t>
  </si>
  <si>
    <t>USD 125.000</t>
  </si>
  <si>
    <t>Firmas Estados de Resultados</t>
  </si>
  <si>
    <t>CONTADOR</t>
  </si>
  <si>
    <t>Matricula y Certificado de antecedentes</t>
  </si>
  <si>
    <t>REVISOR FISCAL</t>
  </si>
  <si>
    <t>Capacidad de Organización del proponente o participantes del proponente plural:</t>
  </si>
  <si>
    <t xml:space="preserve">Mayor a </t>
  </si>
  <si>
    <t xml:space="preserve">Menor o igual a </t>
  </si>
  <si>
    <t xml:space="preserve">Puntaje </t>
  </si>
  <si>
    <t>% de Participación en el presente proceso</t>
  </si>
  <si>
    <t>RUP</t>
  </si>
  <si>
    <t>Contratos relacionados con la actividad de la construcción</t>
  </si>
  <si>
    <t>Valor COP</t>
  </si>
  <si>
    <t xml:space="preserve">Mayores </t>
  </si>
  <si>
    <t>Formato 5.1A o Formato 5.1B</t>
  </si>
  <si>
    <t>Valor total de los contratos relacionados con la actividad de la construcción (COP)</t>
  </si>
  <si>
    <t>Factor Experiencia</t>
  </si>
  <si>
    <t>Puntaje por Experiencia</t>
  </si>
  <si>
    <t>Capacidad Financiera (CF)</t>
  </si>
  <si>
    <t>Mayor a igual a</t>
  </si>
  <si>
    <t xml:space="preserve">Menor a </t>
  </si>
  <si>
    <t>Activo Corriente</t>
  </si>
  <si>
    <t>Pasivo Corriente</t>
  </si>
  <si>
    <t>Índice de Liquidez</t>
  </si>
  <si>
    <t>Puntaje por Capacidad Financiera</t>
  </si>
  <si>
    <t>Capacidad Técnica (CT)</t>
  </si>
  <si>
    <t>Desde</t>
  </si>
  <si>
    <t>Hasta</t>
  </si>
  <si>
    <r>
      <rPr>
        <sz val="9"/>
        <color theme="1"/>
        <rFont val="Arial"/>
        <family val="2"/>
      </rPr>
      <t xml:space="preserve">Número de socios y profesionales de la arquitectura, ingeniería y geología vinculados </t>
    </r>
    <r>
      <rPr>
        <b/>
        <sz val="9"/>
        <color theme="1"/>
        <rFont val="Arial"/>
        <family val="2"/>
      </rPr>
      <t>Formato 5.2</t>
    </r>
  </si>
  <si>
    <t>Puntaje por Capacidad Técnica</t>
  </si>
  <si>
    <t>Saldo de los Contratos en Ejecución (SCE)</t>
  </si>
  <si>
    <t>Formato 5.3</t>
  </si>
  <si>
    <t>Contrato No.</t>
  </si>
  <si>
    <t>% de Participación</t>
  </si>
  <si>
    <t>Plazo (meses)</t>
  </si>
  <si>
    <t>Fecha Inicio</t>
  </si>
  <si>
    <t>Suspensión No. 1</t>
  </si>
  <si>
    <t>Reinicio No. 1</t>
  </si>
  <si>
    <t>Suspensión No. 2</t>
  </si>
  <si>
    <t>Reinicio No. 2</t>
  </si>
  <si>
    <t>Plazo por ejecutar
(días)</t>
  </si>
  <si>
    <t>Saldo COP</t>
  </si>
  <si>
    <t>Valor Total Saldo de los Contratos en Ejecución (SCE)</t>
  </si>
  <si>
    <t>VIGENTE</t>
  </si>
  <si>
    <t>CR Total =</t>
  </si>
  <si>
    <t>1.1</t>
  </si>
  <si>
    <t>1.2</t>
  </si>
  <si>
    <t>PROPONENTE:</t>
  </si>
  <si>
    <t>NIT:</t>
  </si>
  <si>
    <t>PARTICIPACION:</t>
  </si>
  <si>
    <t>CELDA EDITABLE</t>
  </si>
  <si>
    <t>ID</t>
  </si>
  <si>
    <t>DATOS PROPONENTE</t>
  </si>
  <si>
    <t>RESUMEN DE EVALUACION</t>
  </si>
  <si>
    <t>Capacidad Residual (CR)</t>
  </si>
  <si>
    <t>EVALUACION</t>
  </si>
  <si>
    <t>CUMPLIMIENTO</t>
  </si>
  <si>
    <t>CAPACIDAD RESIDUAL (CR) - PROPONENTE INDIVIDUAL</t>
  </si>
  <si>
    <t>CAPACIDAD RESIDUAL (CR) - PROPONENTE PLURAL</t>
  </si>
  <si>
    <t>NUMERO DEL CONTRATO</t>
  </si>
  <si>
    <t>OBJETO</t>
  </si>
  <si>
    <t>PRESUPUESTO ESTIMADO</t>
  </si>
  <si>
    <t>Fecha de presentación de la oferta (dd-mm-aaaa)</t>
  </si>
  <si>
    <t>FECHA DE PRESENTACION DE LA OFERTA</t>
  </si>
  <si>
    <t>PLAZO ESTIMADO EN MESES</t>
  </si>
  <si>
    <t>DATOS DEL CONSORCIO</t>
  </si>
  <si>
    <t>RESUMEN DE EVALUACION DEL CONSORCIO</t>
  </si>
  <si>
    <t>NUMERO DE INTEGRANTES:</t>
  </si>
  <si>
    <t>PARTICIPACION</t>
  </si>
  <si>
    <t>TOTAL</t>
  </si>
  <si>
    <t>CO</t>
  </si>
  <si>
    <t>E</t>
  </si>
  <si>
    <t>CF</t>
  </si>
  <si>
    <t>CT</t>
  </si>
  <si>
    <t>SCE</t>
  </si>
  <si>
    <t>CR TOTAL</t>
  </si>
  <si>
    <t>RESUMEN DEL CONSORCIO</t>
  </si>
  <si>
    <t>PROPONENTES</t>
  </si>
  <si>
    <t>N/A</t>
  </si>
  <si>
    <t>Fecha Inicio (dd-mm-aaaa)</t>
  </si>
  <si>
    <t>CRP: Capacidad Residual del proponente
CO: Capacidad de Organización
E: Experiencia 
CF: Capacidad financiera  
CT: Capacidad técnica  
SCE: Saldos de los Contratos en Ejecución</t>
  </si>
  <si>
    <t>LICITACIÓN PÚBLICA SAB-05-008-24</t>
  </si>
  <si>
    <t>REHABILITACIÓN Y MANTENIMIENTO DE LAS VÍAS URBANAS Y RURALES EN EL MUNICIPIO DE SABANETA</t>
  </si>
  <si>
    <t>MABEL ANDREA HINESTROZA</t>
  </si>
  <si>
    <t>NURY CELENY OSPINA</t>
  </si>
  <si>
    <t>LICITACIÓN PÚBLICA SAB-05-009-24</t>
  </si>
  <si>
    <t>RECUPERACIÓN, MANTENIMIENTO, ADECUACIONES Y OBRAS COMPLEMENTARIAS DE LAS SEDES ADMINISTRATIVAS Y BIENES DE USO PUBLICO DEL MUNICIPIO DE SABANETA</t>
  </si>
  <si>
    <t>CONSORCIO JG SAB MANTENIMIENTO</t>
  </si>
  <si>
    <t>JCONSTRUINT S.A.S.</t>
  </si>
  <si>
    <t>GERMINAR PROYECTOS S.A.S</t>
  </si>
  <si>
    <t>CAPITAL DE TRABAJO</t>
  </si>
  <si>
    <t>CAPITAL DE TRABAJO (CT) Y
CAPITAL DE TRABAJO DEMANDADO (CTd)</t>
  </si>
  <si>
    <t>CRITERIO</t>
  </si>
  <si>
    <t>Req. L: &gt; =</t>
  </si>
  <si>
    <t>AC PONDERADO</t>
  </si>
  <si>
    <t>PC PONDERADO</t>
  </si>
  <si>
    <t>Req. IE: &lt; =</t>
  </si>
  <si>
    <t>AT PONDERADO</t>
  </si>
  <si>
    <t>PT PONDERADO</t>
  </si>
  <si>
    <t>Req. RCI: &gt; =</t>
  </si>
  <si>
    <t>Req. CT &gt; =</t>
  </si>
  <si>
    <t>UO PONDERADO</t>
  </si>
  <si>
    <t>GI PONDERADO</t>
  </si>
  <si>
    <t>Req. ROE: &gt; =</t>
  </si>
  <si>
    <t>Req. ROA: &gt; =</t>
  </si>
  <si>
    <t>P PONDERADO</t>
  </si>
  <si>
    <t>Fórmula:
Capital de trabajo = CT
CT= ( AC - PC )</t>
  </si>
  <si>
    <t>CAPACIDAD ORGANIZACIONAL</t>
  </si>
  <si>
    <t>CAPACIDAD FINANCIERA</t>
  </si>
  <si>
    <t>MICRO EMPRESA</t>
  </si>
  <si>
    <t>PEQUEÑA EMPRESA</t>
  </si>
  <si>
    <t>MEDIANA EMPRESA</t>
  </si>
  <si>
    <t>MARY SOL DUQUE HURTADO</t>
  </si>
  <si>
    <t>43.757.484-7</t>
  </si>
  <si>
    <t>901.194.419-2</t>
  </si>
  <si>
    <t>900.834.575-7</t>
  </si>
  <si>
    <t>OFERTA
(Celda editable)</t>
  </si>
  <si>
    <t>PROPONENTE
(Celda editable)</t>
  </si>
  <si>
    <t>NIT
(Celda editable)</t>
  </si>
  <si>
    <t>PORCENTAJE DE PARTICIPACIÓN
(Celda editable)</t>
  </si>
  <si>
    <t>ACTIVO CORRIENTE
(AC)
(Celda editable)</t>
  </si>
  <si>
    <t>ACTIVO TOTAL
(AT)
(Celda editable)</t>
  </si>
  <si>
    <t>PASIVO CORRIENTE
(PC)
(Celda editable)</t>
  </si>
  <si>
    <t>PASIVO TOTAL
(PT)
(Celda editable)</t>
  </si>
  <si>
    <t>UTILIDAD OPERACIONAL
(UO)
(Celda editable)</t>
  </si>
  <si>
    <t>GASTOS DE INTERESES
(GI)
(Celda editable)</t>
  </si>
  <si>
    <t>CLASIFICACIÓN
(Celda editable)</t>
  </si>
  <si>
    <t>INSEREL INGENIERIA EN SERVICIOS ELECTRICOS DE COMUNICACIONES Y DE GAS LTDA</t>
  </si>
  <si>
    <t>800.221.086-3</t>
  </si>
  <si>
    <t>4.1</t>
  </si>
  <si>
    <t>4.2</t>
  </si>
  <si>
    <t>CONSORCIO MANTENIMIENTOS 2024</t>
  </si>
  <si>
    <t>M3 GRUPO EMPRESARIAL S.A.S</t>
  </si>
  <si>
    <t>901.126.277-3</t>
  </si>
  <si>
    <t>ERNEY CASTAÑO GONZALEZ</t>
  </si>
  <si>
    <t>15.438.736-8</t>
  </si>
  <si>
    <t>5.1</t>
  </si>
  <si>
    <t>5.2</t>
  </si>
  <si>
    <t>CONSORCIO AINCO 2024</t>
  </si>
  <si>
    <t>ANGELA MARIA CARDENAS ZAPATA</t>
  </si>
  <si>
    <t>43.150.821-1</t>
  </si>
  <si>
    <t>INCOCAZA S.A.S.</t>
  </si>
  <si>
    <t>900.901.565-0</t>
  </si>
  <si>
    <t>EVALUACION CAPACIDAD ORGANIZACIONAL</t>
  </si>
  <si>
    <t>HELMUT MICHEL TAPIAS GUZMAN</t>
  </si>
  <si>
    <t>ANGIE TATIANA ROMERO SANCHEZ</t>
  </si>
  <si>
    <t>JESUS PANCRACIO BARDO LLAMAS</t>
  </si>
  <si>
    <t>ARLETH ANGELICA RODRIGUEZ TEJEDA</t>
  </si>
  <si>
    <t>PAULA ANDREA RESTREPO GRISALES</t>
  </si>
  <si>
    <t>LILIANA PATRICIA CHAVERRA FRANCO</t>
  </si>
  <si>
    <t>CARMEN ELENA GONZALEZ</t>
  </si>
  <si>
    <t>MARIA ISABEL CASTAÑO OSORIO</t>
  </si>
  <si>
    <t>ISABEL CRISTINA TABARES ROJAS</t>
  </si>
  <si>
    <t>MONICA JANETH VASQUEZ HERNANDEZ</t>
  </si>
  <si>
    <t>SI</t>
  </si>
  <si>
    <t>NO</t>
  </si>
  <si>
    <t>OBSERVACIONES</t>
  </si>
  <si>
    <t>CON OBSERVACIONES?</t>
  </si>
  <si>
    <t>DESCRIPCIÓN DE LAS OBSERVACIONES</t>
  </si>
  <si>
    <t>• Formato 5.C. Saldo de contratos en ejecución (SCE). No es claro en la fecha de reinicio y de suspensión de los contratos en ejecución.</t>
  </si>
  <si>
    <t>Saldo pendiente por ejecutar para contratos supendidos</t>
  </si>
  <si>
    <t>NO SUBSANA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</si>
</sst>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-C0A]d\-mmm\-yyyy"/>
    <numFmt numFmtId="165" formatCode="d/m/yyyy"/>
    <numFmt numFmtId="166" formatCode="0.0"/>
    <numFmt numFmtId="167" formatCode="_-&quot;$&quot;* #,##0_-;\-&quot;$&quot;* #,##0_-;_-&quot;$&quot;* &quot;-&quot;??_-;_-@"/>
    <numFmt numFmtId="168" formatCode="&quot;$&quot;#,##0;[Red]\-&quot;$&quot;#,##0"/>
    <numFmt numFmtId="169" formatCode="_-&quot;$&quot;* #,##0.00_-;\-&quot;$&quot;* #,##0.00_-;_-&quot;$&quot;* &quot;-&quot;??_-;_-@"/>
    <numFmt numFmtId="170" formatCode="#,##0.0"/>
    <numFmt numFmtId="171" formatCode="&quot;$&quot;#,##0"/>
    <numFmt numFmtId="172" formatCode="_-&quot;$&quot;\ * #,##0_-;\-&quot;$&quot;\ * #,##0_-;_-&quot;$&quot;\ * &quot;-&quot;??_-;_-@_-"/>
    <numFmt numFmtId="173" formatCode="_(* #,##0.00_);_(* \(#,##0.0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8"/>
      <color theme="0"/>
      <name val="Arial"/>
      <family val="2"/>
      <charset val="1"/>
    </font>
    <font>
      <b/>
      <sz val="8"/>
      <name val="Arial"/>
      <family val="2"/>
      <charset val="1"/>
    </font>
    <font>
      <b/>
      <sz val="9"/>
      <name val="Arial"/>
      <family val="2"/>
      <charset val="1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11"/>
      <name val="Calibri"/>
      <family val="2"/>
    </font>
    <font>
      <b/>
      <i/>
      <sz val="9"/>
      <color theme="1"/>
      <name val="Arial"/>
      <family val="2"/>
    </font>
    <font>
      <b/>
      <sz val="12"/>
      <color rgb="FF0070C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color theme="0"/>
      <name val="Arial"/>
      <family val="2"/>
      <charset val="1"/>
    </font>
    <font>
      <sz val="11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008000"/>
        <bgColor rgb="FF006100"/>
      </patternFill>
    </fill>
    <fill>
      <patternFill patternType="solid">
        <fgColor rgb="FF92D050"/>
        <bgColor rgb="FFC3D69B"/>
      </patternFill>
    </fill>
    <fill>
      <patternFill patternType="solid">
        <fgColor rgb="FFC0E399"/>
        <bgColor rgb="FFC3D69B"/>
      </patternFill>
    </fill>
    <fill>
      <patternFill patternType="solid">
        <fgColor rgb="FFD6EDBD"/>
        <bgColor rgb="FFD7E4BD"/>
      </patternFill>
    </fill>
    <fill>
      <patternFill patternType="solid">
        <fgColor rgb="FF8496B0"/>
        <bgColor rgb="FF8496B0"/>
      </patternFill>
    </fill>
    <fill>
      <patternFill patternType="solid">
        <fgColor rgb="FFFF0000"/>
        <bgColor rgb="FFFF0000"/>
      </patternFill>
    </fill>
    <fill>
      <patternFill patternType="solid">
        <fgColor rgb="FFC6E0B4"/>
        <bgColor rgb="FFC6E0B4"/>
      </patternFill>
    </fill>
    <fill>
      <patternFill patternType="solid">
        <fgColor rgb="FFDADADA"/>
        <bgColor rgb="FFDADADA"/>
      </patternFill>
    </fill>
    <fill>
      <patternFill patternType="solid">
        <fgColor rgb="FFC5E0B3"/>
        <bgColor rgb="FFC5E0B3"/>
      </patternFill>
    </fill>
    <fill>
      <patternFill patternType="solid">
        <fgColor theme="8" tint="0.59999389629810485"/>
        <bgColor rgb="FF8496B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rgb="FF8496B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</cellStyleXfs>
  <cellXfs count="237">
    <xf numFmtId="0" fontId="0" fillId="0" borderId="0" xfId="0"/>
    <xf numFmtId="0" fontId="6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8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right" vertical="center"/>
    </xf>
    <xf numFmtId="10" fontId="8" fillId="0" borderId="1" xfId="0" applyNumberFormat="1" applyFont="1" applyBorder="1" applyAlignment="1">
      <alignment horizontal="right" vertical="center"/>
    </xf>
    <xf numFmtId="167" fontId="8" fillId="0" borderId="1" xfId="0" applyNumberFormat="1" applyFont="1" applyBorder="1" applyAlignment="1">
      <alignment horizontal="center" vertical="center"/>
    </xf>
    <xf numFmtId="168" fontId="8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8" fillId="0" borderId="12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/>
    <xf numFmtId="0" fontId="8" fillId="0" borderId="12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167" fontId="6" fillId="0" borderId="0" xfId="0" applyNumberFormat="1" applyFont="1" applyAlignment="1">
      <alignment horizontal="center" vertical="center"/>
    </xf>
    <xf numFmtId="3" fontId="8" fillId="6" borderId="1" xfId="0" applyNumberFormat="1" applyFont="1" applyFill="1" applyBorder="1" applyAlignment="1">
      <alignment horizontal="center" vertical="center"/>
    </xf>
    <xf numFmtId="167" fontId="6" fillId="0" borderId="0" xfId="0" applyNumberFormat="1" applyFont="1" applyAlignment="1">
      <alignment horizontal="left" vertical="center"/>
    </xf>
    <xf numFmtId="2" fontId="6" fillId="0" borderId="1" xfId="0" applyNumberFormat="1" applyFont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vertical="top" wrapText="1"/>
    </xf>
    <xf numFmtId="0" fontId="6" fillId="0" borderId="0" xfId="0" applyFont="1" applyAlignment="1">
      <alignment vertical="top" wrapText="1"/>
    </xf>
    <xf numFmtId="0" fontId="6" fillId="0" borderId="12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10" fontId="6" fillId="8" borderId="1" xfId="0" applyNumberFormat="1" applyFont="1" applyFill="1" applyBorder="1" applyAlignment="1">
      <alignment horizontal="center"/>
    </xf>
    <xf numFmtId="167" fontId="6" fillId="8" borderId="1" xfId="0" applyNumberFormat="1" applyFont="1" applyFill="1" applyBorder="1" applyAlignment="1">
      <alignment horizontal="left"/>
    </xf>
    <xf numFmtId="166" fontId="6" fillId="8" borderId="1" xfId="0" applyNumberFormat="1" applyFont="1" applyFill="1" applyBorder="1" applyAlignment="1">
      <alignment horizontal="center"/>
    </xf>
    <xf numFmtId="165" fontId="6" fillId="8" borderId="1" xfId="0" applyNumberFormat="1" applyFont="1" applyFill="1" applyBorder="1" applyAlignment="1">
      <alignment horizontal="center"/>
    </xf>
    <xf numFmtId="165" fontId="6" fillId="10" borderId="1" xfId="0" applyNumberFormat="1" applyFont="1" applyFill="1" applyBorder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167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44" fontId="0" fillId="0" borderId="1" xfId="2" applyFont="1" applyBorder="1" applyAlignment="1">
      <alignment vertical="center"/>
    </xf>
    <xf numFmtId="0" fontId="0" fillId="0" borderId="0" xfId="0" applyAlignment="1">
      <alignment horizontal="center" vertical="center"/>
    </xf>
    <xf numFmtId="3" fontId="6" fillId="0" borderId="1" xfId="0" applyNumberFormat="1" applyFont="1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49" fontId="8" fillId="0" borderId="1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12" borderId="1" xfId="0" applyFill="1" applyBorder="1" applyAlignment="1">
      <alignment horizontal="left" vertical="center"/>
    </xf>
    <xf numFmtId="0" fontId="0" fillId="12" borderId="1" xfId="0" applyFill="1" applyBorder="1" applyAlignment="1">
      <alignment horizontal="left" vertical="center" wrapText="1"/>
    </xf>
    <xf numFmtId="172" fontId="0" fillId="12" borderId="1" xfId="2" applyNumberFormat="1" applyFont="1" applyFill="1" applyBorder="1" applyAlignment="1">
      <alignment horizontal="left" vertical="center"/>
    </xf>
    <xf numFmtId="0" fontId="16" fillId="14" borderId="1" xfId="0" applyFont="1" applyFill="1" applyBorder="1" applyAlignment="1">
      <alignment horizontal="center" vertical="center"/>
    </xf>
    <xf numFmtId="0" fontId="16" fillId="14" borderId="1" xfId="0" applyFont="1" applyFill="1" applyBorder="1" applyAlignment="1">
      <alignment horizontal="center" vertical="center" wrapText="1"/>
    </xf>
    <xf numFmtId="14" fontId="0" fillId="12" borderId="1" xfId="0" applyNumberFormat="1" applyFill="1" applyBorder="1" applyAlignment="1">
      <alignment horizontal="left" vertical="center"/>
    </xf>
    <xf numFmtId="2" fontId="0" fillId="12" borderId="1" xfId="2" applyNumberFormat="1" applyFont="1" applyFill="1" applyBorder="1" applyAlignment="1">
      <alignment horizontal="left" vertical="center"/>
    </xf>
    <xf numFmtId="3" fontId="8" fillId="11" borderId="1" xfId="0" applyNumberFormat="1" applyFont="1" applyFill="1" applyBorder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2" fontId="6" fillId="8" borderId="1" xfId="0" applyNumberFormat="1" applyFont="1" applyFill="1" applyBorder="1" applyAlignment="1">
      <alignment horizontal="center"/>
    </xf>
    <xf numFmtId="169" fontId="6" fillId="8" borderId="1" xfId="0" applyNumberFormat="1" applyFont="1" applyFill="1" applyBorder="1" applyAlignment="1">
      <alignment horizontal="left"/>
    </xf>
    <xf numFmtId="4" fontId="8" fillId="6" borderId="1" xfId="0" applyNumberFormat="1" applyFont="1" applyFill="1" applyBorder="1" applyAlignment="1">
      <alignment horizontal="center" vertical="center"/>
    </xf>
    <xf numFmtId="9" fontId="18" fillId="16" borderId="1" xfId="0" applyNumberFormat="1" applyFont="1" applyFill="1" applyBorder="1" applyAlignment="1">
      <alignment horizontal="center" vertical="center" wrapText="1"/>
    </xf>
    <xf numFmtId="4" fontId="18" fillId="16" borderId="1" xfId="0" applyNumberFormat="1" applyFont="1" applyFill="1" applyBorder="1" applyAlignment="1">
      <alignment horizontal="center" vertical="center" wrapText="1"/>
    </xf>
    <xf numFmtId="3" fontId="18" fillId="16" borderId="1" xfId="0" applyNumberFormat="1" applyFont="1" applyFill="1" applyBorder="1" applyAlignment="1">
      <alignment horizontal="center" vertical="center" wrapText="1"/>
    </xf>
    <xf numFmtId="9" fontId="19" fillId="0" borderId="1" xfId="0" applyNumberFormat="1" applyFont="1" applyBorder="1" applyAlignment="1">
      <alignment horizontal="center" vertical="center" wrapText="1"/>
    </xf>
    <xf numFmtId="4" fontId="19" fillId="0" borderId="1" xfId="0" applyNumberFormat="1" applyFont="1" applyBorder="1" applyAlignment="1">
      <alignment horizontal="center" vertical="center" wrapText="1"/>
    </xf>
    <xf numFmtId="3" fontId="19" fillId="0" borderId="1" xfId="0" applyNumberFormat="1" applyFont="1" applyBorder="1" applyAlignment="1">
      <alignment horizontal="center" vertical="center" wrapText="1"/>
    </xf>
    <xf numFmtId="169" fontId="6" fillId="0" borderId="1" xfId="0" applyNumberFormat="1" applyFont="1" applyBorder="1" applyAlignment="1">
      <alignment horizontal="center" vertical="center"/>
    </xf>
    <xf numFmtId="169" fontId="8" fillId="6" borderId="1" xfId="0" applyNumberFormat="1" applyFont="1" applyFill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/>
    </xf>
    <xf numFmtId="169" fontId="8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6" fillId="8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right" vertical="center"/>
    </xf>
    <xf numFmtId="0" fontId="8" fillId="11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9" fontId="0" fillId="12" borderId="1" xfId="0" applyNumberFormat="1" applyFill="1" applyBorder="1" applyAlignment="1">
      <alignment horizontal="left" vertical="center"/>
    </xf>
    <xf numFmtId="44" fontId="0" fillId="0" borderId="0" xfId="0" applyNumberFormat="1"/>
    <xf numFmtId="0" fontId="5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44" fontId="4" fillId="0" borderId="1" xfId="2" applyFont="1" applyBorder="1" applyAlignment="1" applyProtection="1">
      <alignment horizontal="center" vertical="center" wrapText="1"/>
    </xf>
    <xf numFmtId="0" fontId="0" fillId="17" borderId="1" xfId="0" applyFill="1" applyBorder="1" applyAlignment="1">
      <alignment horizontal="center"/>
    </xf>
    <xf numFmtId="0" fontId="0" fillId="17" borderId="1" xfId="0" applyFill="1" applyBorder="1"/>
    <xf numFmtId="0" fontId="0" fillId="17" borderId="1" xfId="0" applyFill="1" applyBorder="1" applyAlignment="1">
      <alignment horizontal="center" vertical="center"/>
    </xf>
    <xf numFmtId="0" fontId="0" fillId="17" borderId="1" xfId="0" applyFill="1" applyBorder="1" applyAlignment="1">
      <alignment wrapText="1"/>
    </xf>
    <xf numFmtId="10" fontId="0" fillId="17" borderId="1" xfId="3" applyNumberFormat="1" applyFont="1" applyFill="1" applyBorder="1" applyAlignment="1">
      <alignment horizontal="center" vertical="center"/>
    </xf>
    <xf numFmtId="44" fontId="0" fillId="17" borderId="1" xfId="2" applyFont="1" applyFill="1" applyBorder="1"/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10" fontId="0" fillId="18" borderId="1" xfId="3" applyNumberFormat="1" applyFont="1" applyFill="1" applyBorder="1" applyAlignment="1">
      <alignment horizontal="center" vertical="center"/>
    </xf>
    <xf numFmtId="44" fontId="0" fillId="18" borderId="1" xfId="2" applyFont="1" applyFill="1" applyBorder="1"/>
    <xf numFmtId="44" fontId="0" fillId="18" borderId="1" xfId="0" applyNumberFormat="1" applyFill="1" applyBorder="1"/>
    <xf numFmtId="44" fontId="0" fillId="18" borderId="2" xfId="0" applyNumberFormat="1" applyFill="1" applyBorder="1" applyAlignment="1">
      <alignment horizontal="center" vertical="center"/>
    </xf>
    <xf numFmtId="44" fontId="0" fillId="18" borderId="1" xfId="0" applyNumberFormat="1" applyFill="1" applyBorder="1" applyAlignment="1">
      <alignment horizontal="center" vertical="center"/>
    </xf>
    <xf numFmtId="2" fontId="0" fillId="18" borderId="2" xfId="0" applyNumberFormat="1" applyFill="1" applyBorder="1" applyAlignment="1">
      <alignment horizontal="center" vertical="center"/>
    </xf>
    <xf numFmtId="44" fontId="0" fillId="18" borderId="2" xfId="0" applyNumberFormat="1" applyFill="1" applyBorder="1"/>
    <xf numFmtId="2" fontId="0" fillId="18" borderId="1" xfId="0" applyNumberFormat="1" applyFill="1" applyBorder="1" applyAlignment="1">
      <alignment horizontal="center" vertical="center"/>
    </xf>
    <xf numFmtId="44" fontId="0" fillId="17" borderId="1" xfId="0" applyNumberFormat="1" applyFill="1" applyBorder="1"/>
    <xf numFmtId="44" fontId="0" fillId="17" borderId="2" xfId="0" applyNumberFormat="1" applyFill="1" applyBorder="1" applyAlignment="1">
      <alignment horizontal="center" vertical="center"/>
    </xf>
    <xf numFmtId="44" fontId="0" fillId="17" borderId="2" xfId="0" applyNumberFormat="1" applyFill="1" applyBorder="1"/>
    <xf numFmtId="2" fontId="0" fillId="17" borderId="2" xfId="0" applyNumberFormat="1" applyFill="1" applyBorder="1" applyAlignment="1">
      <alignment horizontal="center" vertical="center"/>
    </xf>
    <xf numFmtId="2" fontId="0" fillId="17" borderId="1" xfId="0" applyNumberFormat="1" applyFill="1" applyBorder="1" applyAlignment="1">
      <alignment horizontal="center" vertical="center"/>
    </xf>
    <xf numFmtId="44" fontId="0" fillId="17" borderId="1" xfId="0" applyNumberFormat="1" applyFill="1" applyBorder="1" applyAlignment="1">
      <alignment horizontal="center" vertical="center"/>
    </xf>
    <xf numFmtId="44" fontId="0" fillId="17" borderId="1" xfId="0" applyNumberFormat="1" applyFill="1" applyBorder="1" applyAlignment="1">
      <alignment vertical="center"/>
    </xf>
    <xf numFmtId="0" fontId="0" fillId="18" borderId="1" xfId="0" applyFill="1" applyBorder="1" applyAlignment="1">
      <alignment horizontal="center" vertical="center"/>
    </xf>
    <xf numFmtId="44" fontId="0" fillId="18" borderId="1" xfId="0" applyNumberFormat="1" applyFill="1" applyBorder="1" applyAlignment="1">
      <alignment vertical="center"/>
    </xf>
    <xf numFmtId="44" fontId="0" fillId="17" borderId="1" xfId="2" applyFont="1" applyFill="1" applyBorder="1" applyAlignment="1">
      <alignment vertical="center"/>
    </xf>
    <xf numFmtId="44" fontId="0" fillId="17" borderId="2" xfId="0" applyNumberFormat="1" applyFill="1" applyBorder="1" applyAlignment="1">
      <alignment vertical="center"/>
    </xf>
    <xf numFmtId="0" fontId="0" fillId="18" borderId="1" xfId="0" applyFill="1" applyBorder="1" applyAlignment="1">
      <alignment wrapText="1"/>
    </xf>
    <xf numFmtId="0" fontId="0" fillId="17" borderId="0" xfId="0" applyFill="1"/>
    <xf numFmtId="4" fontId="0" fillId="17" borderId="1" xfId="0" applyNumberFormat="1" applyFill="1" applyBorder="1" applyAlignment="1">
      <alignment horizontal="center" vertical="center"/>
    </xf>
    <xf numFmtId="3" fontId="0" fillId="17" borderId="1" xfId="0" applyNumberFormat="1" applyFill="1" applyBorder="1" applyAlignment="1">
      <alignment horizontal="center" vertical="center"/>
    </xf>
    <xf numFmtId="3" fontId="0" fillId="18" borderId="1" xfId="0" applyNumberFormat="1" applyFill="1" applyBorder="1" applyAlignment="1">
      <alignment horizontal="center" vertical="center"/>
    </xf>
    <xf numFmtId="4" fontId="0" fillId="18" borderId="1" xfId="0" applyNumberFormat="1" applyFill="1" applyBorder="1" applyAlignment="1">
      <alignment horizontal="center" vertical="center"/>
    </xf>
    <xf numFmtId="0" fontId="0" fillId="18" borderId="0" xfId="0" applyFill="1"/>
    <xf numFmtId="2" fontId="8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17" borderId="1" xfId="0" applyFill="1" applyBorder="1" applyAlignment="1">
      <alignment vertical="center"/>
    </xf>
    <xf numFmtId="0" fontId="0" fillId="17" borderId="1" xfId="0" applyFill="1" applyBorder="1" applyAlignment="1">
      <alignment vertical="center" wrapText="1"/>
    </xf>
    <xf numFmtId="0" fontId="0" fillId="18" borderId="1" xfId="0" applyFill="1" applyBorder="1" applyAlignment="1">
      <alignment vertical="center"/>
    </xf>
    <xf numFmtId="0" fontId="0" fillId="18" borderId="1" xfId="0" applyFill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44" fontId="0" fillId="0" borderId="0" xfId="2" applyFont="1" applyFill="1" applyAlignment="1"/>
    <xf numFmtId="44" fontId="6" fillId="0" borderId="0" xfId="0" applyNumberFormat="1" applyFont="1" applyAlignment="1">
      <alignment vertical="center"/>
    </xf>
    <xf numFmtId="44" fontId="0" fillId="17" borderId="2" xfId="0" applyNumberFormat="1" applyFill="1" applyBorder="1" applyAlignment="1">
      <alignment horizontal="center" vertical="center"/>
    </xf>
    <xf numFmtId="44" fontId="0" fillId="17" borderId="8" xfId="0" applyNumberFormat="1" applyFill="1" applyBorder="1" applyAlignment="1">
      <alignment horizontal="center" vertical="center"/>
    </xf>
    <xf numFmtId="44" fontId="0" fillId="17" borderId="3" xfId="0" applyNumberForma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2" borderId="0" xfId="4" applyFont="1" applyFill="1" applyAlignment="1">
      <alignment horizontal="center" vertical="center" wrapText="1"/>
    </xf>
    <xf numFmtId="0" fontId="3" fillId="2" borderId="19" xfId="4" applyFont="1" applyFill="1" applyBorder="1" applyAlignment="1">
      <alignment horizontal="center" vertical="center" wrapText="1"/>
    </xf>
    <xf numFmtId="0" fontId="3" fillId="2" borderId="11" xfId="4" applyFont="1" applyFill="1" applyBorder="1" applyAlignment="1">
      <alignment horizontal="center" vertical="center" wrapText="1"/>
    </xf>
    <xf numFmtId="0" fontId="3" fillId="2" borderId="7" xfId="4" applyFont="1" applyFill="1" applyBorder="1" applyAlignment="1">
      <alignment horizontal="center" vertical="center" wrapText="1"/>
    </xf>
    <xf numFmtId="0" fontId="20" fillId="2" borderId="13" xfId="4" applyFont="1" applyFill="1" applyBorder="1" applyAlignment="1">
      <alignment horizontal="center" vertical="center" wrapText="1"/>
    </xf>
    <xf numFmtId="0" fontId="20" fillId="2" borderId="15" xfId="4" applyFont="1" applyFill="1" applyBorder="1" applyAlignment="1">
      <alignment horizontal="center" vertical="center" wrapText="1"/>
    </xf>
    <xf numFmtId="0" fontId="20" fillId="2" borderId="14" xfId="4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3" fontId="5" fillId="4" borderId="1" xfId="1" applyFont="1" applyFill="1" applyBorder="1" applyAlignment="1" applyProtection="1">
      <alignment horizontal="center" vertical="center" wrapText="1"/>
    </xf>
    <xf numFmtId="9" fontId="5" fillId="3" borderId="1" xfId="3" applyFont="1" applyFill="1" applyBorder="1" applyAlignment="1" applyProtection="1">
      <alignment horizontal="center" vertical="center" wrapText="1"/>
    </xf>
    <xf numFmtId="9" fontId="5" fillId="4" borderId="1" xfId="3" applyFont="1" applyFill="1" applyBorder="1" applyAlignment="1" applyProtection="1">
      <alignment horizontal="center" vertical="center" wrapText="1"/>
    </xf>
    <xf numFmtId="0" fontId="3" fillId="2" borderId="13" xfId="4" applyFont="1" applyFill="1" applyBorder="1" applyAlignment="1">
      <alignment horizontal="center" vertical="center" wrapText="1"/>
    </xf>
    <xf numFmtId="0" fontId="3" fillId="2" borderId="15" xfId="4" applyFont="1" applyFill="1" applyBorder="1" applyAlignment="1">
      <alignment horizontal="center" vertical="center" wrapText="1"/>
    </xf>
    <xf numFmtId="0" fontId="3" fillId="2" borderId="14" xfId="4" applyFont="1" applyFill="1" applyBorder="1" applyAlignment="1">
      <alignment horizontal="center" vertical="center" wrapText="1"/>
    </xf>
    <xf numFmtId="2" fontId="4" fillId="0" borderId="13" xfId="3" applyNumberFormat="1" applyFont="1" applyFill="1" applyBorder="1" applyAlignment="1" applyProtection="1">
      <alignment horizontal="center" vertical="center"/>
    </xf>
    <xf numFmtId="2" fontId="4" fillId="0" borderId="14" xfId="3" applyNumberFormat="1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3" fillId="2" borderId="9" xfId="4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/>
    <xf numFmtId="0" fontId="6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17" fillId="6" borderId="13" xfId="0" applyFont="1" applyFill="1" applyBorder="1" applyAlignment="1">
      <alignment horizontal="center" vertical="center" wrapText="1"/>
    </xf>
    <xf numFmtId="0" fontId="17" fillId="6" borderId="15" xfId="0" applyFont="1" applyFill="1" applyBorder="1" applyAlignment="1">
      <alignment horizontal="center" vertical="center" wrapText="1"/>
    </xf>
    <xf numFmtId="0" fontId="17" fillId="6" borderId="1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0" fillId="0" borderId="1" xfId="0" applyBorder="1"/>
    <xf numFmtId="0" fontId="8" fillId="13" borderId="16" xfId="0" applyFont="1" applyFill="1" applyBorder="1" applyAlignment="1">
      <alignment horizontal="center" vertical="center"/>
    </xf>
    <xf numFmtId="0" fontId="8" fillId="13" borderId="17" xfId="0" applyFont="1" applyFill="1" applyBorder="1" applyAlignment="1">
      <alignment horizontal="center" vertical="center"/>
    </xf>
    <xf numFmtId="0" fontId="8" fillId="13" borderId="18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8" fillId="11" borderId="15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8" fillId="11" borderId="13" xfId="0" applyFont="1" applyFill="1" applyBorder="1" applyAlignment="1">
      <alignment horizontal="center" vertical="center"/>
    </xf>
    <xf numFmtId="0" fontId="8" fillId="11" borderId="14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right" vertical="center"/>
    </xf>
    <xf numFmtId="0" fontId="8" fillId="11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4" fontId="19" fillId="0" borderId="13" xfId="0" applyNumberFormat="1" applyFont="1" applyBorder="1" applyAlignment="1">
      <alignment horizontal="center" vertical="center" wrapText="1"/>
    </xf>
    <xf numFmtId="4" fontId="19" fillId="0" borderId="15" xfId="0" applyNumberFormat="1" applyFont="1" applyBorder="1" applyAlignment="1">
      <alignment horizontal="center" vertical="center" wrapText="1"/>
    </xf>
    <xf numFmtId="4" fontId="19" fillId="0" borderId="14" xfId="0" applyNumberFormat="1" applyFont="1" applyBorder="1" applyAlignment="1">
      <alignment horizontal="center" vertical="center" wrapText="1"/>
    </xf>
    <xf numFmtId="169" fontId="8" fillId="6" borderId="4" xfId="0" applyNumberFormat="1" applyFont="1" applyFill="1" applyBorder="1" applyAlignment="1">
      <alignment horizontal="center" vertical="center"/>
    </xf>
    <xf numFmtId="169" fontId="8" fillId="6" borderId="10" xfId="0" applyNumberFormat="1" applyFont="1" applyFill="1" applyBorder="1" applyAlignment="1">
      <alignment horizontal="center" vertical="center"/>
    </xf>
    <xf numFmtId="169" fontId="8" fillId="6" borderId="5" xfId="0" applyNumberFormat="1" applyFont="1" applyFill="1" applyBorder="1" applyAlignment="1">
      <alignment horizontal="center" vertical="center"/>
    </xf>
    <xf numFmtId="169" fontId="8" fillId="6" borderId="6" xfId="0" applyNumberFormat="1" applyFont="1" applyFill="1" applyBorder="1" applyAlignment="1">
      <alignment horizontal="center" vertical="center"/>
    </xf>
    <xf numFmtId="169" fontId="8" fillId="6" borderId="11" xfId="0" applyNumberFormat="1" applyFont="1" applyFill="1" applyBorder="1" applyAlignment="1">
      <alignment horizontal="center" vertical="center"/>
    </xf>
    <xf numFmtId="169" fontId="8" fillId="6" borderId="7" xfId="0" applyNumberFormat="1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right" vertical="center" wrapText="1"/>
    </xf>
    <xf numFmtId="0" fontId="8" fillId="15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9" fontId="8" fillId="11" borderId="1" xfId="3" applyFont="1" applyFill="1" applyBorder="1" applyAlignment="1">
      <alignment horizontal="center" vertical="center"/>
    </xf>
    <xf numFmtId="0" fontId="18" fillId="16" borderId="1" xfId="0" applyFont="1" applyFill="1" applyBorder="1" applyAlignment="1">
      <alignment horizontal="right" vertical="center" wrapText="1"/>
    </xf>
    <xf numFmtId="4" fontId="18" fillId="16" borderId="13" xfId="0" applyNumberFormat="1" applyFont="1" applyFill="1" applyBorder="1" applyAlignment="1">
      <alignment horizontal="center" vertical="center" wrapText="1"/>
    </xf>
    <xf numFmtId="4" fontId="18" fillId="16" borderId="15" xfId="0" applyNumberFormat="1" applyFont="1" applyFill="1" applyBorder="1" applyAlignment="1">
      <alignment horizontal="center" vertical="center" wrapText="1"/>
    </xf>
    <xf numFmtId="4" fontId="18" fillId="16" borderId="14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right" vertical="center"/>
    </xf>
    <xf numFmtId="0" fontId="8" fillId="6" borderId="10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9" fontId="8" fillId="6" borderId="14" xfId="3" applyFont="1" applyFill="1" applyBorder="1" applyAlignment="1">
      <alignment horizontal="center" vertical="center"/>
    </xf>
    <xf numFmtId="9" fontId="8" fillId="6" borderId="1" xfId="3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3" fillId="0" borderId="1" xfId="0" applyFont="1" applyBorder="1" applyAlignment="1">
      <alignment horizontal="left" vertical="center" wrapText="1"/>
    </xf>
    <xf numFmtId="4" fontId="8" fillId="8" borderId="1" xfId="0" applyNumberFormat="1" applyFont="1" applyFill="1" applyBorder="1" applyAlignment="1">
      <alignment horizontal="center"/>
    </xf>
    <xf numFmtId="4" fontId="9" fillId="0" borderId="1" xfId="0" applyNumberFormat="1" applyFont="1" applyBorder="1"/>
    <xf numFmtId="169" fontId="14" fillId="0" borderId="1" xfId="0" applyNumberFormat="1" applyFont="1" applyBorder="1" applyAlignment="1">
      <alignment horizontal="left" vertical="center"/>
    </xf>
    <xf numFmtId="0" fontId="15" fillId="0" borderId="1" xfId="0" applyFont="1" applyBorder="1"/>
    <xf numFmtId="0" fontId="8" fillId="6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/>
    </xf>
    <xf numFmtId="0" fontId="8" fillId="6" borderId="1" xfId="0" quotePrefix="1" applyFont="1" applyFill="1" applyBorder="1" applyAlignment="1">
      <alignment horizontal="left" vertical="center"/>
    </xf>
    <xf numFmtId="10" fontId="6" fillId="9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0" fontId="6" fillId="8" borderId="1" xfId="0" applyFont="1" applyFill="1" applyBorder="1" applyAlignment="1">
      <alignment horizontal="left"/>
    </xf>
    <xf numFmtId="0" fontId="6" fillId="0" borderId="1" xfId="0" applyFont="1" applyBorder="1" applyAlignment="1">
      <alignment horizontal="center"/>
    </xf>
    <xf numFmtId="173" fontId="8" fillId="6" borderId="1" xfId="0" applyNumberFormat="1" applyFont="1" applyFill="1" applyBorder="1" applyAlignment="1">
      <alignment horizontal="center" vertical="center"/>
    </xf>
    <xf numFmtId="173" fontId="9" fillId="0" borderId="1" xfId="0" applyNumberFormat="1" applyFont="1" applyBorder="1"/>
    <xf numFmtId="4" fontId="6" fillId="0" borderId="1" xfId="0" applyNumberFormat="1" applyFont="1" applyBorder="1" applyAlignment="1">
      <alignment horizontal="right" vertical="center"/>
    </xf>
    <xf numFmtId="4" fontId="6" fillId="8" borderId="1" xfId="0" applyNumberFormat="1" applyFont="1" applyFill="1" applyBorder="1" applyAlignment="1">
      <alignment horizontal="right"/>
    </xf>
    <xf numFmtId="171" fontId="6" fillId="0" borderId="1" xfId="0" applyNumberFormat="1" applyFont="1" applyBorder="1" applyAlignment="1">
      <alignment horizontal="right" vertical="center"/>
    </xf>
    <xf numFmtId="170" fontId="6" fillId="0" borderId="1" xfId="0" applyNumberFormat="1" applyFont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left" vertical="center" wrapText="1"/>
    </xf>
  </cellXfs>
  <cellStyles count="5">
    <cellStyle name="Millares" xfId="1" builtinId="3"/>
    <cellStyle name="Moneda" xfId="2" builtinId="4"/>
    <cellStyle name="Normal" xfId="0" builtinId="0"/>
    <cellStyle name="Normal 2 2" xfId="4" xr:uid="{00000000-0005-0000-0000-000003000000}"/>
    <cellStyle name="Porcentaje" xfId="3" builtinId="5"/>
  </cellStyles>
  <dxfs count="89">
    <dxf>
      <fill>
        <patternFill patternType="solid">
          <fgColor rgb="FF00B050"/>
          <bgColor rgb="FF00B05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C5E0B3"/>
          <bgColor rgb="FFC5E0B3"/>
        </patternFill>
      </fill>
    </dxf>
    <dxf>
      <fill>
        <patternFill patternType="solid">
          <fgColor rgb="FFC5E0B3"/>
          <bgColor rgb="FFC5E0B3"/>
        </patternFill>
      </fill>
    </dxf>
    <dxf>
      <fill>
        <patternFill patternType="solid">
          <fgColor rgb="FFC5E0B3"/>
          <bgColor rgb="FFC5E0B3"/>
        </patternFill>
      </fill>
    </dxf>
    <dxf>
      <fill>
        <patternFill patternType="solid">
          <fgColor rgb="FFC5E0B3"/>
          <bgColor rgb="FFC5E0B3"/>
        </patternFill>
      </fill>
    </dxf>
    <dxf>
      <fill>
        <patternFill patternType="solid">
          <fgColor rgb="FFC5E0B3"/>
          <bgColor rgb="FFC5E0B3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C5E0B3"/>
          <bgColor rgb="FFC5E0B3"/>
        </patternFill>
      </fill>
    </dxf>
    <dxf>
      <fill>
        <patternFill patternType="solid">
          <fgColor rgb="FFC5E0B3"/>
          <bgColor rgb="FFC5E0B3"/>
        </patternFill>
      </fill>
    </dxf>
    <dxf>
      <fill>
        <patternFill patternType="solid">
          <fgColor rgb="FFC5E0B3"/>
          <bgColor rgb="FFC5E0B3"/>
        </patternFill>
      </fill>
    </dxf>
    <dxf>
      <fill>
        <patternFill patternType="solid">
          <fgColor rgb="FFC5E0B3"/>
          <bgColor rgb="FFC5E0B3"/>
        </patternFill>
      </fill>
    </dxf>
    <dxf>
      <fill>
        <patternFill patternType="solid">
          <fgColor rgb="FFC5E0B3"/>
          <bgColor rgb="FFC5E0B3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C5E0B3"/>
          <bgColor rgb="FFC5E0B3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C5E0B3"/>
          <bgColor rgb="FFC5E0B3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C5E0B3"/>
          <bgColor rgb="FFC5E0B3"/>
        </patternFill>
      </fill>
    </dxf>
    <dxf>
      <fill>
        <patternFill patternType="solid">
          <fgColor rgb="FFC5E0B3"/>
          <bgColor rgb="FFC5E0B3"/>
        </patternFill>
      </fill>
    </dxf>
    <dxf>
      <fill>
        <patternFill patternType="solid">
          <fgColor rgb="FFC5E0B3"/>
          <bgColor rgb="FFC5E0B3"/>
        </patternFill>
      </fill>
    </dxf>
    <dxf>
      <fill>
        <patternFill patternType="solid">
          <fgColor rgb="FFC5E0B3"/>
          <bgColor rgb="FFC5E0B3"/>
        </patternFill>
      </fill>
    </dxf>
    <dxf>
      <fill>
        <patternFill patternType="solid">
          <fgColor rgb="FFC5E0B3"/>
          <bgColor rgb="FFC5E0B3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FFCC99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75144</xdr:colOff>
      <xdr:row>5</xdr:row>
      <xdr:rowOff>57150</xdr:rowOff>
    </xdr:from>
    <xdr:to>
      <xdr:col>6</xdr:col>
      <xdr:colOff>1132418</xdr:colOff>
      <xdr:row>7</xdr:row>
      <xdr:rowOff>100169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66169" y="1495425"/>
          <a:ext cx="2257424" cy="4430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75144</xdr:colOff>
      <xdr:row>5</xdr:row>
      <xdr:rowOff>57150</xdr:rowOff>
    </xdr:from>
    <xdr:to>
      <xdr:col>6</xdr:col>
      <xdr:colOff>1132418</xdr:colOff>
      <xdr:row>7</xdr:row>
      <xdr:rowOff>100169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66169" y="1495425"/>
          <a:ext cx="2257424" cy="4430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75144</xdr:colOff>
      <xdr:row>5</xdr:row>
      <xdr:rowOff>57150</xdr:rowOff>
    </xdr:from>
    <xdr:to>
      <xdr:col>6</xdr:col>
      <xdr:colOff>1132418</xdr:colOff>
      <xdr:row>7</xdr:row>
      <xdr:rowOff>100169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66169" y="1495425"/>
          <a:ext cx="2257424" cy="44306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75144</xdr:colOff>
      <xdr:row>5</xdr:row>
      <xdr:rowOff>57150</xdr:rowOff>
    </xdr:from>
    <xdr:to>
      <xdr:col>6</xdr:col>
      <xdr:colOff>1132418</xdr:colOff>
      <xdr:row>7</xdr:row>
      <xdr:rowOff>100169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66169" y="1495425"/>
          <a:ext cx="2257424" cy="44306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75144</xdr:colOff>
      <xdr:row>5</xdr:row>
      <xdr:rowOff>57150</xdr:rowOff>
    </xdr:from>
    <xdr:to>
      <xdr:col>6</xdr:col>
      <xdr:colOff>1132418</xdr:colOff>
      <xdr:row>7</xdr:row>
      <xdr:rowOff>100169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66169" y="1495425"/>
          <a:ext cx="2257424" cy="4430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workbookViewId="0">
      <selection activeCell="B12" sqref="B12"/>
    </sheetView>
  </sheetViews>
  <sheetFormatPr baseColWidth="10" defaultRowHeight="15" x14ac:dyDescent="0.25"/>
  <cols>
    <col min="1" max="1" width="27" style="41" customWidth="1"/>
    <col min="2" max="2" width="83" customWidth="1"/>
    <col min="6" max="6" width="32.28515625" customWidth="1"/>
  </cols>
  <sheetData>
    <row r="1" spans="1:6" x14ac:dyDescent="0.25">
      <c r="A1" s="50" t="s">
        <v>103</v>
      </c>
      <c r="B1" s="47" t="s">
        <v>129</v>
      </c>
    </row>
    <row r="2" spans="1:6" ht="30" x14ac:dyDescent="0.25">
      <c r="A2" s="50" t="s">
        <v>104</v>
      </c>
      <c r="B2" s="48" t="s">
        <v>130</v>
      </c>
      <c r="F2" t="s">
        <v>153</v>
      </c>
    </row>
    <row r="3" spans="1:6" x14ac:dyDescent="0.25">
      <c r="A3" s="50" t="s">
        <v>105</v>
      </c>
      <c r="B3" s="49">
        <v>1169500932</v>
      </c>
      <c r="F3" t="s">
        <v>154</v>
      </c>
    </row>
    <row r="4" spans="1:6" x14ac:dyDescent="0.25">
      <c r="A4" s="50" t="s">
        <v>108</v>
      </c>
      <c r="B4" s="53">
        <v>2</v>
      </c>
      <c r="F4" t="s">
        <v>155</v>
      </c>
    </row>
    <row r="5" spans="1:6" ht="30" x14ac:dyDescent="0.25">
      <c r="A5" s="51" t="s">
        <v>107</v>
      </c>
      <c r="B5" s="52">
        <v>45568</v>
      </c>
    </row>
    <row r="6" spans="1:6" x14ac:dyDescent="0.25">
      <c r="A6" s="51" t="s">
        <v>134</v>
      </c>
      <c r="B6" s="78">
        <v>1</v>
      </c>
      <c r="F6" t="s">
        <v>198</v>
      </c>
    </row>
    <row r="7" spans="1:6" x14ac:dyDescent="0.25">
      <c r="B7" s="46"/>
      <c r="F7" t="s">
        <v>199</v>
      </c>
    </row>
    <row r="8" spans="1:6" x14ac:dyDescent="0.25">
      <c r="B8" s="46"/>
    </row>
    <row r="9" spans="1:6" x14ac:dyDescent="0.25">
      <c r="B9" s="46"/>
    </row>
    <row r="10" spans="1:6" x14ac:dyDescent="0.25">
      <c r="B10" s="4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17"/>
  <sheetViews>
    <sheetView workbookViewId="0">
      <pane xSplit="2" ySplit="5" topLeftCell="AH6" activePane="bottomRight" state="frozen"/>
      <selection pane="topRight" activeCell="C1" sqref="C1"/>
      <selection pane="bottomLeft" activeCell="A6" sqref="A6"/>
      <selection pane="bottomRight" activeCell="AK6" sqref="AK6:AK8"/>
    </sheetView>
  </sheetViews>
  <sheetFormatPr baseColWidth="10" defaultRowHeight="15" x14ac:dyDescent="0.25"/>
  <cols>
    <col min="2" max="2" width="41.140625" customWidth="1"/>
    <col min="3" max="3" width="19" style="77" customWidth="1"/>
    <col min="4" max="4" width="16.85546875" style="41" customWidth="1"/>
    <col min="5" max="5" width="20.5703125" bestFit="1" customWidth="1"/>
    <col min="6" max="6" width="25" customWidth="1"/>
    <col min="7" max="7" width="28" customWidth="1"/>
    <col min="8" max="9" width="20.5703125" bestFit="1" customWidth="1"/>
    <col min="10" max="10" width="21" customWidth="1"/>
    <col min="11" max="11" width="28.5703125" customWidth="1"/>
    <col min="12" max="12" width="21.85546875" customWidth="1"/>
    <col min="13" max="13" width="18.42578125" bestFit="1" customWidth="1"/>
    <col min="14" max="14" width="19.42578125" bestFit="1" customWidth="1"/>
    <col min="15" max="17" width="20.5703125" customWidth="1"/>
    <col min="19" max="19" width="12.85546875" customWidth="1"/>
    <col min="20" max="21" width="19.42578125" customWidth="1"/>
    <col min="23" max="23" width="12.85546875" customWidth="1"/>
    <col min="24" max="25" width="19.42578125" customWidth="1"/>
    <col min="27" max="27" width="12.85546875" customWidth="1"/>
    <col min="28" max="29" width="18.85546875" customWidth="1"/>
    <col min="31" max="31" width="12.85546875" customWidth="1"/>
    <col min="32" max="33" width="18.85546875" customWidth="1"/>
    <col min="35" max="35" width="12.85546875" customWidth="1"/>
    <col min="36" max="36" width="18.28515625" customWidth="1"/>
    <col min="37" max="37" width="18.140625" customWidth="1"/>
    <col min="38" max="38" width="18.85546875" style="41" customWidth="1"/>
    <col min="39" max="39" width="49.7109375" customWidth="1"/>
  </cols>
  <sheetData>
    <row r="1" spans="1:39" ht="26.25" customHeight="1" x14ac:dyDescent="0.25">
      <c r="A1" s="132" t="s">
        <v>0</v>
      </c>
      <c r="B1" s="132"/>
      <c r="C1" s="132"/>
      <c r="D1" s="132"/>
      <c r="E1" s="132" t="s">
        <v>1</v>
      </c>
      <c r="F1" s="132"/>
      <c r="G1" s="132"/>
      <c r="H1" s="132"/>
      <c r="I1" s="132"/>
      <c r="J1" s="132"/>
      <c r="K1" s="132"/>
      <c r="L1" s="132"/>
      <c r="M1" s="133"/>
      <c r="N1" s="136" t="s">
        <v>152</v>
      </c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8"/>
      <c r="AB1" s="136" t="s">
        <v>151</v>
      </c>
      <c r="AC1" s="137"/>
      <c r="AD1" s="137"/>
      <c r="AE1" s="137"/>
      <c r="AF1" s="137"/>
      <c r="AG1" s="137"/>
      <c r="AH1" s="137"/>
      <c r="AI1" s="138"/>
      <c r="AJ1" s="130" t="s">
        <v>20</v>
      </c>
      <c r="AK1" s="130" t="s">
        <v>187</v>
      </c>
      <c r="AL1" s="155" t="s">
        <v>200</v>
      </c>
      <c r="AM1" s="156"/>
    </row>
    <row r="2" spans="1:39" ht="33.75" customHeight="1" x14ac:dyDescent="0.25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5"/>
      <c r="N2" s="145" t="s">
        <v>135</v>
      </c>
      <c r="O2" s="145"/>
      <c r="P2" s="150" t="s">
        <v>8</v>
      </c>
      <c r="Q2" s="151"/>
      <c r="R2" s="151"/>
      <c r="S2" s="152"/>
      <c r="T2" s="150" t="s">
        <v>9</v>
      </c>
      <c r="U2" s="151"/>
      <c r="V2" s="151"/>
      <c r="W2" s="152"/>
      <c r="X2" s="150" t="s">
        <v>10</v>
      </c>
      <c r="Y2" s="151"/>
      <c r="Z2" s="151"/>
      <c r="AA2" s="152"/>
      <c r="AB2" s="150" t="s">
        <v>11</v>
      </c>
      <c r="AC2" s="151"/>
      <c r="AD2" s="151"/>
      <c r="AE2" s="152"/>
      <c r="AF2" s="150" t="s">
        <v>12</v>
      </c>
      <c r="AG2" s="151"/>
      <c r="AH2" s="151"/>
      <c r="AI2" s="152"/>
      <c r="AJ2" s="130"/>
      <c r="AK2" s="130"/>
      <c r="AL2" s="155"/>
      <c r="AM2" s="156"/>
    </row>
    <row r="3" spans="1:39" ht="58.5" customHeight="1" x14ac:dyDescent="0.25">
      <c r="A3" s="148" t="s">
        <v>160</v>
      </c>
      <c r="B3" s="148" t="s">
        <v>161</v>
      </c>
      <c r="C3" s="148" t="s">
        <v>162</v>
      </c>
      <c r="D3" s="148" t="s">
        <v>163</v>
      </c>
      <c r="E3" s="149" t="s">
        <v>164</v>
      </c>
      <c r="F3" s="144" t="s">
        <v>165</v>
      </c>
      <c r="G3" s="144" t="s">
        <v>166</v>
      </c>
      <c r="H3" s="144" t="s">
        <v>167</v>
      </c>
      <c r="I3" s="147" t="s">
        <v>6</v>
      </c>
      <c r="J3" s="147" t="s">
        <v>7</v>
      </c>
      <c r="K3" s="147" t="s">
        <v>168</v>
      </c>
      <c r="L3" s="147" t="s">
        <v>169</v>
      </c>
      <c r="M3" s="147" t="s">
        <v>170</v>
      </c>
      <c r="N3" s="146" t="s">
        <v>150</v>
      </c>
      <c r="O3" s="146"/>
      <c r="P3" s="141" t="s">
        <v>13</v>
      </c>
      <c r="Q3" s="142"/>
      <c r="R3" s="142"/>
      <c r="S3" s="143"/>
      <c r="T3" s="141" t="s">
        <v>14</v>
      </c>
      <c r="U3" s="142"/>
      <c r="V3" s="142"/>
      <c r="W3" s="143"/>
      <c r="X3" s="141" t="s">
        <v>15</v>
      </c>
      <c r="Y3" s="142"/>
      <c r="Z3" s="142"/>
      <c r="AA3" s="143"/>
      <c r="AB3" s="141" t="s">
        <v>17</v>
      </c>
      <c r="AC3" s="142"/>
      <c r="AD3" s="142"/>
      <c r="AE3" s="143"/>
      <c r="AF3" s="141" t="s">
        <v>18</v>
      </c>
      <c r="AG3" s="142"/>
      <c r="AH3" s="142"/>
      <c r="AI3" s="143"/>
      <c r="AJ3" s="131" t="s">
        <v>16</v>
      </c>
      <c r="AK3" s="131" t="s">
        <v>16</v>
      </c>
      <c r="AL3" s="131" t="s">
        <v>201</v>
      </c>
      <c r="AM3" s="131" t="s">
        <v>202</v>
      </c>
    </row>
    <row r="4" spans="1:39" ht="24" customHeight="1" x14ac:dyDescent="0.25">
      <c r="A4" s="148"/>
      <c r="B4" s="148"/>
      <c r="C4" s="148"/>
      <c r="D4" s="148"/>
      <c r="E4" s="149"/>
      <c r="F4" s="144"/>
      <c r="G4" s="144"/>
      <c r="H4" s="144"/>
      <c r="I4" s="147"/>
      <c r="J4" s="147"/>
      <c r="K4" s="147"/>
      <c r="L4" s="147"/>
      <c r="M4" s="147"/>
      <c r="N4" s="80" t="s">
        <v>144</v>
      </c>
      <c r="O4" s="82">
        <f>'DATOS INICIALES'!$B$3*'DATOS INICIALES'!$B$6</f>
        <v>1169500932</v>
      </c>
      <c r="P4" s="139" t="s">
        <v>137</v>
      </c>
      <c r="Q4" s="140"/>
      <c r="R4" s="153">
        <v>4.5</v>
      </c>
      <c r="S4" s="154"/>
      <c r="T4" s="139" t="s">
        <v>140</v>
      </c>
      <c r="U4" s="140"/>
      <c r="V4" s="153">
        <v>0.4</v>
      </c>
      <c r="W4" s="154"/>
      <c r="X4" s="139" t="s">
        <v>143</v>
      </c>
      <c r="Y4" s="140"/>
      <c r="Z4" s="153">
        <v>5</v>
      </c>
      <c r="AA4" s="154"/>
      <c r="AB4" s="139" t="s">
        <v>147</v>
      </c>
      <c r="AC4" s="140"/>
      <c r="AD4" s="153">
        <v>0.15</v>
      </c>
      <c r="AE4" s="154"/>
      <c r="AF4" s="139" t="s">
        <v>148</v>
      </c>
      <c r="AG4" s="140"/>
      <c r="AH4" s="153">
        <v>0.15</v>
      </c>
      <c r="AI4" s="154"/>
      <c r="AJ4" s="131"/>
      <c r="AK4" s="131"/>
      <c r="AL4" s="131"/>
      <c r="AM4" s="131"/>
    </row>
    <row r="5" spans="1:39" x14ac:dyDescent="0.25">
      <c r="A5" s="148"/>
      <c r="B5" s="148"/>
      <c r="C5" s="148"/>
      <c r="D5" s="148"/>
      <c r="E5" s="149"/>
      <c r="F5" s="144"/>
      <c r="G5" s="144"/>
      <c r="H5" s="144"/>
      <c r="I5" s="147"/>
      <c r="J5" s="147"/>
      <c r="K5" s="147"/>
      <c r="L5" s="147"/>
      <c r="M5" s="147"/>
      <c r="N5" s="81" t="s">
        <v>19</v>
      </c>
      <c r="O5" s="81" t="s">
        <v>136</v>
      </c>
      <c r="P5" s="81" t="s">
        <v>138</v>
      </c>
      <c r="Q5" s="81" t="s">
        <v>139</v>
      </c>
      <c r="R5" s="81" t="s">
        <v>19</v>
      </c>
      <c r="S5" s="81" t="s">
        <v>136</v>
      </c>
      <c r="T5" s="81" t="s">
        <v>142</v>
      </c>
      <c r="U5" s="81" t="s">
        <v>141</v>
      </c>
      <c r="V5" s="81" t="s">
        <v>19</v>
      </c>
      <c r="W5" s="81" t="s">
        <v>136</v>
      </c>
      <c r="X5" s="81" t="s">
        <v>145</v>
      </c>
      <c r="Y5" s="81" t="s">
        <v>146</v>
      </c>
      <c r="Z5" s="81" t="s">
        <v>19</v>
      </c>
      <c r="AA5" s="81" t="s">
        <v>136</v>
      </c>
      <c r="AB5" s="81" t="s">
        <v>145</v>
      </c>
      <c r="AC5" s="81" t="s">
        <v>149</v>
      </c>
      <c r="AD5" s="81" t="s">
        <v>19</v>
      </c>
      <c r="AE5" s="81" t="s">
        <v>136</v>
      </c>
      <c r="AF5" s="81" t="s">
        <v>145</v>
      </c>
      <c r="AG5" s="81" t="s">
        <v>141</v>
      </c>
      <c r="AH5" s="81" t="s">
        <v>19</v>
      </c>
      <c r="AI5" s="81" t="s">
        <v>136</v>
      </c>
      <c r="AJ5" s="131"/>
      <c r="AK5" s="131"/>
      <c r="AL5" s="131"/>
      <c r="AM5" s="131"/>
    </row>
    <row r="6" spans="1:39" x14ac:dyDescent="0.25">
      <c r="A6" s="85">
        <v>1</v>
      </c>
      <c r="B6" s="84" t="s">
        <v>131</v>
      </c>
      <c r="C6" s="83"/>
      <c r="D6" s="85"/>
      <c r="E6" s="84"/>
      <c r="F6" s="84"/>
      <c r="G6" s="84"/>
      <c r="H6" s="84"/>
      <c r="I6" s="84"/>
      <c r="J6" s="84"/>
      <c r="K6" s="84"/>
      <c r="L6" s="84"/>
      <c r="M6" s="84"/>
      <c r="N6" s="99">
        <f>SUM(N7:N8)</f>
        <v>4767247006</v>
      </c>
      <c r="O6" s="100" t="str">
        <f>IF(N6&gt;=$O$4,"CUMPLE","NO CUMPLE")</f>
        <v>CUMPLE</v>
      </c>
      <c r="P6" s="101">
        <f t="shared" ref="P6:Q6" si="0">SUM(P7:P8)</f>
        <v>3711328901.8000002</v>
      </c>
      <c r="Q6" s="101">
        <f t="shared" si="0"/>
        <v>385910400</v>
      </c>
      <c r="R6" s="102">
        <f>P6/Q6</f>
        <v>9.6170740715979672</v>
      </c>
      <c r="S6" s="100" t="str">
        <f>IF(R6&gt;=$R$4,"CUMPLE","NO CUMPLE")</f>
        <v>CUMPLE</v>
      </c>
      <c r="T6" s="101">
        <f>SUM(T7:T8)</f>
        <v>697410400</v>
      </c>
      <c r="U6" s="101">
        <f>SUM(U7:U8)</f>
        <v>3809233601.8000002</v>
      </c>
      <c r="V6" s="102">
        <f>T6/U6</f>
        <v>0.18308417726611684</v>
      </c>
      <c r="W6" s="100" t="str">
        <f>IF(V6&lt;=$V$4,"CUMPLE","NO CUMPLE")</f>
        <v>CUMPLE</v>
      </c>
      <c r="X6" s="101">
        <f t="shared" ref="X6" si="1">SUM(X7:X8)</f>
        <v>637854111.79999995</v>
      </c>
      <c r="Y6" s="101">
        <f t="shared" ref="Y6" si="2">SUM(Y7:Y8)</f>
        <v>20340370.800000001</v>
      </c>
      <c r="Z6" s="102">
        <f>X6/Y6</f>
        <v>31.359020839482429</v>
      </c>
      <c r="AA6" s="100" t="str">
        <f>IF(Z6&gt;=$Z$4,"CUMPLE","NO CUMPLE")</f>
        <v>CUMPLE</v>
      </c>
      <c r="AB6" s="101">
        <f t="shared" ref="AB6" si="3">SUM(AB7:AB8)</f>
        <v>637854111.79999995</v>
      </c>
      <c r="AC6" s="101">
        <f t="shared" ref="AC6" si="4">SUM(AC7:AC8)</f>
        <v>3111823201.8000002</v>
      </c>
      <c r="AD6" s="103">
        <f>AB6/AC6</f>
        <v>0.20497761936829836</v>
      </c>
      <c r="AE6" s="100" t="str">
        <f>IF(AD6&gt;=$AD$4,"CUMPLE","NO CUMPLE")</f>
        <v>CUMPLE</v>
      </c>
      <c r="AF6" s="101">
        <f t="shared" ref="AF6" si="5">SUM(AF7:AF8)</f>
        <v>637854111.79999995</v>
      </c>
      <c r="AG6" s="101">
        <f t="shared" ref="AG6" si="6">SUM(AG7:AG8)</f>
        <v>3809233601.8000002</v>
      </c>
      <c r="AH6" s="103">
        <f>AF6/AG6</f>
        <v>0.16744946056828619</v>
      </c>
      <c r="AI6" s="100" t="str">
        <f>IF(AH6&gt;=$AH$4,"CUMPLE","NO CUMPLE")</f>
        <v>CUMPLE</v>
      </c>
      <c r="AJ6" s="127" t="str">
        <f>IF(COUNTIF(AL7:AL8,"SI")&gt;=1,"NO CUMPLE",IF(COUNTIF(N6:AA6,"NO CUMPLE")&gt;=1,"NO CUMPLE","CUMPLE"))</f>
        <v>CUMPLE</v>
      </c>
      <c r="AK6" s="127" t="str">
        <f>IF(COUNTIF(AL7:AL8,"SI")&gt;=1,"NO CUMPLE",IF(COUNTIF(AB6:AI6,"NO CUMPLE")&gt;=1,"NO CUMPLE","CUMPLE"))</f>
        <v>CUMPLE</v>
      </c>
      <c r="AL6" s="118"/>
      <c r="AM6" s="119"/>
    </row>
    <row r="7" spans="1:39" x14ac:dyDescent="0.25">
      <c r="A7" s="85" t="s">
        <v>89</v>
      </c>
      <c r="B7" s="86" t="s">
        <v>132</v>
      </c>
      <c r="C7" s="83" t="s">
        <v>159</v>
      </c>
      <c r="D7" s="87">
        <v>0.3</v>
      </c>
      <c r="E7" s="88">
        <v>30990006</v>
      </c>
      <c r="F7" s="88">
        <v>313239006</v>
      </c>
      <c r="G7" s="88">
        <v>1854000</v>
      </c>
      <c r="H7" s="88">
        <v>1854000</v>
      </c>
      <c r="I7" s="88">
        <f t="shared" ref="I7:J10" si="7">+E7-G7</f>
        <v>29136006</v>
      </c>
      <c r="J7" s="88">
        <f t="shared" si="7"/>
        <v>311385006</v>
      </c>
      <c r="K7" s="88">
        <v>18412706</v>
      </c>
      <c r="L7" s="88">
        <v>1154236</v>
      </c>
      <c r="M7" s="83" t="s">
        <v>153</v>
      </c>
      <c r="N7" s="99">
        <f>I7</f>
        <v>29136006</v>
      </c>
      <c r="O7" s="84"/>
      <c r="P7" s="104">
        <f>E7*D7</f>
        <v>9297001.7999999989</v>
      </c>
      <c r="Q7" s="104">
        <f>G7*D7</f>
        <v>556200</v>
      </c>
      <c r="R7" s="103"/>
      <c r="S7" s="84"/>
      <c r="T7" s="104">
        <f>H7*D7</f>
        <v>556200</v>
      </c>
      <c r="U7" s="104">
        <f>F7*D7</f>
        <v>93971701.799999997</v>
      </c>
      <c r="V7" s="103"/>
      <c r="W7" s="103"/>
      <c r="X7" s="104">
        <f>K7*D7</f>
        <v>5523811.7999999998</v>
      </c>
      <c r="Y7" s="104">
        <f>L7*D7</f>
        <v>346270.8</v>
      </c>
      <c r="Z7" s="103"/>
      <c r="AA7" s="103"/>
      <c r="AB7" s="101">
        <f>K7*D7</f>
        <v>5523811.7999999998</v>
      </c>
      <c r="AC7" s="101">
        <f>J7*D7</f>
        <v>93415501.799999997</v>
      </c>
      <c r="AD7" s="103"/>
      <c r="AE7" s="103"/>
      <c r="AF7" s="101">
        <f>K7*D7</f>
        <v>5523811.7999999998</v>
      </c>
      <c r="AG7" s="101">
        <f>F7*D7</f>
        <v>93971701.799999997</v>
      </c>
      <c r="AH7" s="103"/>
      <c r="AI7" s="103"/>
      <c r="AJ7" s="128"/>
      <c r="AK7" s="128"/>
      <c r="AL7" s="118" t="s">
        <v>199</v>
      </c>
      <c r="AM7" s="119"/>
    </row>
    <row r="8" spans="1:39" x14ac:dyDescent="0.25">
      <c r="A8" s="85" t="s">
        <v>90</v>
      </c>
      <c r="B8" s="86" t="s">
        <v>133</v>
      </c>
      <c r="C8" s="83" t="s">
        <v>158</v>
      </c>
      <c r="D8" s="87">
        <v>0.7</v>
      </c>
      <c r="E8" s="88">
        <v>5288617000</v>
      </c>
      <c r="F8" s="88">
        <v>5307517000</v>
      </c>
      <c r="G8" s="88">
        <v>550506000</v>
      </c>
      <c r="H8" s="88">
        <v>995506000</v>
      </c>
      <c r="I8" s="88">
        <f t="shared" si="7"/>
        <v>4738111000</v>
      </c>
      <c r="J8" s="88">
        <f t="shared" si="7"/>
        <v>4312011000</v>
      </c>
      <c r="K8" s="88">
        <v>903329000</v>
      </c>
      <c r="L8" s="88">
        <v>28563000</v>
      </c>
      <c r="M8" s="83" t="s">
        <v>154</v>
      </c>
      <c r="N8" s="99">
        <f>I8</f>
        <v>4738111000</v>
      </c>
      <c r="O8" s="105"/>
      <c r="P8" s="104">
        <f>E8*D8</f>
        <v>3702031900</v>
      </c>
      <c r="Q8" s="104">
        <f>G8*D8</f>
        <v>385354200</v>
      </c>
      <c r="R8" s="103"/>
      <c r="S8" s="105"/>
      <c r="T8" s="104">
        <f>H8*D8</f>
        <v>696854200</v>
      </c>
      <c r="U8" s="104">
        <f>F8*D8</f>
        <v>3715261900</v>
      </c>
      <c r="V8" s="103"/>
      <c r="W8" s="103"/>
      <c r="X8" s="104">
        <f>K8*D8</f>
        <v>632330300</v>
      </c>
      <c r="Y8" s="104">
        <f>L8*D8</f>
        <v>19994100</v>
      </c>
      <c r="Z8" s="103"/>
      <c r="AA8" s="103"/>
      <c r="AB8" s="101">
        <f>K8*D8</f>
        <v>632330300</v>
      </c>
      <c r="AC8" s="101">
        <f>J8*D8</f>
        <v>3018407700</v>
      </c>
      <c r="AD8" s="103"/>
      <c r="AE8" s="103"/>
      <c r="AF8" s="101">
        <f>K8*D8</f>
        <v>632330300</v>
      </c>
      <c r="AG8" s="101">
        <f>F8*D8</f>
        <v>3715261900</v>
      </c>
      <c r="AH8" s="103"/>
      <c r="AI8" s="103"/>
      <c r="AJ8" s="129"/>
      <c r="AK8" s="129"/>
      <c r="AL8" s="118" t="s">
        <v>199</v>
      </c>
      <c r="AM8" s="119"/>
    </row>
    <row r="9" spans="1:39" x14ac:dyDescent="0.25">
      <c r="A9" s="106">
        <v>2</v>
      </c>
      <c r="B9" s="90" t="s">
        <v>156</v>
      </c>
      <c r="C9" s="89" t="s">
        <v>157</v>
      </c>
      <c r="D9" s="91">
        <v>1</v>
      </c>
      <c r="E9" s="92">
        <v>1800018036</v>
      </c>
      <c r="F9" s="92">
        <v>2520912356</v>
      </c>
      <c r="G9" s="92">
        <v>34744554</v>
      </c>
      <c r="H9" s="92">
        <v>877663771</v>
      </c>
      <c r="I9" s="92">
        <f t="shared" si="7"/>
        <v>1765273482</v>
      </c>
      <c r="J9" s="92">
        <f t="shared" si="7"/>
        <v>1643248585</v>
      </c>
      <c r="K9" s="92">
        <v>555469576</v>
      </c>
      <c r="L9" s="92">
        <v>35130631</v>
      </c>
      <c r="M9" s="89" t="s">
        <v>155</v>
      </c>
      <c r="N9" s="93">
        <f>I9</f>
        <v>1765273482</v>
      </c>
      <c r="O9" s="94" t="str">
        <f>IF(N9&gt;=$O$4,"CUMPLE","NO CUMPLE")</f>
        <v>CUMPLE</v>
      </c>
      <c r="P9" s="95">
        <f>E9*D9</f>
        <v>1800018036</v>
      </c>
      <c r="Q9" s="95">
        <f>G9*D9</f>
        <v>34744554</v>
      </c>
      <c r="R9" s="96">
        <f>P9/Q9</f>
        <v>51.807199367129591</v>
      </c>
      <c r="S9" s="94" t="str">
        <f>IF(R9&gt;=$R$4,"CUMPLE","NO CUMPLE")</f>
        <v>CUMPLE</v>
      </c>
      <c r="T9" s="95">
        <f>H9*D9</f>
        <v>877663771</v>
      </c>
      <c r="U9" s="95">
        <f>F9*D9</f>
        <v>2520912356</v>
      </c>
      <c r="V9" s="96">
        <f>T9/U9</f>
        <v>0.34815322671217847</v>
      </c>
      <c r="W9" s="94" t="str">
        <f>IF(V9&lt;=$V$4,"CUMPLE","NO CUMPLE")</f>
        <v>CUMPLE</v>
      </c>
      <c r="X9" s="95">
        <f>K9*D9</f>
        <v>555469576</v>
      </c>
      <c r="Y9" s="95">
        <f>L9*D9</f>
        <v>35130631</v>
      </c>
      <c r="Z9" s="96">
        <f>X9/Y9</f>
        <v>15.811545656552539</v>
      </c>
      <c r="AA9" s="94" t="str">
        <f>IF(Z9&gt;=$Z$4,"CUMPLE","NO CUMPLE")</f>
        <v>CUMPLE</v>
      </c>
      <c r="AB9" s="97">
        <f>K9*D9</f>
        <v>555469576</v>
      </c>
      <c r="AC9" s="97">
        <f>J9*D9</f>
        <v>1643248585</v>
      </c>
      <c r="AD9" s="98">
        <f>AB9/AC9</f>
        <v>0.33803137338469091</v>
      </c>
      <c r="AE9" s="94" t="str">
        <f>IF(AD9&gt;=$AD$4,"CUMPLE","NO CUMPLE")</f>
        <v>CUMPLE</v>
      </c>
      <c r="AF9" s="97">
        <f>K9*D9</f>
        <v>555469576</v>
      </c>
      <c r="AG9" s="97">
        <f>F9*D9</f>
        <v>2520912356</v>
      </c>
      <c r="AH9" s="98">
        <f>AF9/AG9</f>
        <v>0.22034466001086156</v>
      </c>
      <c r="AI9" s="94" t="str">
        <f>IF(AH9&gt;=$AH$4,"CUMPLE","NO CUMPLE")</f>
        <v>CUMPLE</v>
      </c>
      <c r="AJ9" s="95" t="str">
        <f>IF(COUNTIF(AL9,"SI")&gt;=1,"NO CUMPLE",IF(COUNTIF(N9:AA9,"NO CUMPLE")&gt;=1,"NO CUMPLE","CUMPLE"))</f>
        <v>CUMPLE</v>
      </c>
      <c r="AK9" s="95" t="str">
        <f>IF(COUNTIF(AL9,"SI")&gt;=1,"NO CUMPLE",IF(COUNTIF(AB9:AI9,"NO CUMPLE")&gt;=1,"NO CUMPLE","CUMPLE"))</f>
        <v>CUMPLE</v>
      </c>
      <c r="AL9" s="118" t="s">
        <v>199</v>
      </c>
      <c r="AM9" s="119"/>
    </row>
    <row r="10" spans="1:39" ht="45" x14ac:dyDescent="0.25">
      <c r="A10" s="85">
        <v>3</v>
      </c>
      <c r="B10" s="86" t="s">
        <v>171</v>
      </c>
      <c r="C10" s="85" t="s">
        <v>172</v>
      </c>
      <c r="D10" s="87">
        <v>1</v>
      </c>
      <c r="E10" s="108">
        <v>3622194973</v>
      </c>
      <c r="F10" s="108">
        <v>3794848867</v>
      </c>
      <c r="G10" s="108">
        <v>38549617</v>
      </c>
      <c r="H10" s="108">
        <v>38549617</v>
      </c>
      <c r="I10" s="108">
        <f t="shared" si="7"/>
        <v>3583645356</v>
      </c>
      <c r="J10" s="108">
        <f t="shared" si="7"/>
        <v>3756299250</v>
      </c>
      <c r="K10" s="108">
        <v>1223772174</v>
      </c>
      <c r="L10" s="108">
        <v>9001568</v>
      </c>
      <c r="M10" s="85" t="s">
        <v>154</v>
      </c>
      <c r="N10" s="105">
        <f>I10</f>
        <v>3583645356</v>
      </c>
      <c r="O10" s="100" t="str">
        <f>IF(N10&gt;=$O$4,"CUMPLE","NO CUMPLE")</f>
        <v>CUMPLE</v>
      </c>
      <c r="P10" s="104">
        <f>E10*D10</f>
        <v>3622194973</v>
      </c>
      <c r="Q10" s="104">
        <f>G10*D10</f>
        <v>38549617</v>
      </c>
      <c r="R10" s="102">
        <f>P10/Q10</f>
        <v>93.961892617506422</v>
      </c>
      <c r="S10" s="100" t="str">
        <f>IF(R10&gt;=$R$4,"CUMPLE","NO CUMPLE")</f>
        <v>CUMPLE</v>
      </c>
      <c r="T10" s="104">
        <f>H10*D10</f>
        <v>38549617</v>
      </c>
      <c r="U10" s="104">
        <f>F10*D10</f>
        <v>3794848867</v>
      </c>
      <c r="V10" s="102">
        <f>T10/U10</f>
        <v>1.0158406395371213E-2</v>
      </c>
      <c r="W10" s="100" t="str">
        <f>IF(V10&lt;=$V$4,"CUMPLE","NO CUMPLE")</f>
        <v>CUMPLE</v>
      </c>
      <c r="X10" s="104">
        <f>K10*D10</f>
        <v>1223772174</v>
      </c>
      <c r="Y10" s="104">
        <f>L10*D10</f>
        <v>9001568</v>
      </c>
      <c r="Z10" s="102">
        <f>X10/Y10</f>
        <v>135.95100031461186</v>
      </c>
      <c r="AA10" s="100" t="str">
        <f>IF(Z10&gt;=$Z$4,"CUMPLE","NO CUMPLE")</f>
        <v>CUMPLE</v>
      </c>
      <c r="AB10" s="109">
        <f>K10*D10</f>
        <v>1223772174</v>
      </c>
      <c r="AC10" s="109">
        <f>J10*D10</f>
        <v>3756299250</v>
      </c>
      <c r="AD10" s="103">
        <f>AB10/AC10</f>
        <v>0.32579198103026535</v>
      </c>
      <c r="AE10" s="100" t="str">
        <f>IF(AD10&gt;=$AD$4,"CUMPLE","NO CUMPLE")</f>
        <v>CUMPLE</v>
      </c>
      <c r="AF10" s="109">
        <f>K10*D10</f>
        <v>1223772174</v>
      </c>
      <c r="AG10" s="109">
        <f>F10*D10</f>
        <v>3794848867</v>
      </c>
      <c r="AH10" s="103">
        <f>AF10/AG10</f>
        <v>0.32248245368660683</v>
      </c>
      <c r="AI10" s="100" t="str">
        <f>IF(AH10&gt;=$AH$4,"CUMPLE","NO CUMPLE")</f>
        <v>CUMPLE</v>
      </c>
      <c r="AJ10" s="95" t="str">
        <f>IF(COUNTIF(AL10,"SI")&gt;=1,"NO CUMPLE",IF(COUNTIF(N10:AA10,"NO CUMPLE")&gt;=1,"NO CUMPLE","CUMPLE"))</f>
        <v>CUMPLE</v>
      </c>
      <c r="AK10" s="95" t="str">
        <f>IF(COUNTIF(AL10,"SI")&gt;=1,"NO CUMPLE",IF(COUNTIF(AB10:AI10,"NO CUMPLE")&gt;=1,"NO CUMPLE","CUMPLE"))</f>
        <v>CUMPLE</v>
      </c>
      <c r="AL10" s="118" t="s">
        <v>199</v>
      </c>
      <c r="AM10" s="119"/>
    </row>
    <row r="11" spans="1:39" x14ac:dyDescent="0.25">
      <c r="A11" s="106">
        <v>4</v>
      </c>
      <c r="B11" s="90" t="s">
        <v>175</v>
      </c>
      <c r="C11" s="89"/>
      <c r="D11" s="106"/>
      <c r="E11" s="90"/>
      <c r="F11" s="90"/>
      <c r="G11" s="90"/>
      <c r="H11" s="90"/>
      <c r="I11" s="90"/>
      <c r="J11" s="90"/>
      <c r="K11" s="90"/>
      <c r="L11" s="90"/>
      <c r="M11" s="90"/>
      <c r="N11" s="93">
        <f>SUM(N12:N13)</f>
        <v>3687718929</v>
      </c>
      <c r="O11" s="94" t="str">
        <f>IF(N11&gt;=$O$4,"CUMPLE","NO CUMPLE")</f>
        <v>CUMPLE</v>
      </c>
      <c r="P11" s="97">
        <f t="shared" ref="P11:Q11" si="8">SUM(P12:P13)</f>
        <v>1681977846.5</v>
      </c>
      <c r="Q11" s="97">
        <f t="shared" si="8"/>
        <v>315968735</v>
      </c>
      <c r="R11" s="96">
        <f>P11/Q11</f>
        <v>5.3232413849427225</v>
      </c>
      <c r="S11" s="94" t="str">
        <f>IF(R11&gt;=$R$4,"CUMPLE","NO CUMPLE")</f>
        <v>CUMPLE</v>
      </c>
      <c r="T11" s="97">
        <f>SUM(T12:T13)</f>
        <v>574126023.10000002</v>
      </c>
      <c r="U11" s="97">
        <f>SUM(U12:U13)</f>
        <v>2073270711.5</v>
      </c>
      <c r="V11" s="96">
        <f>T11/U11</f>
        <v>0.27691802132516646</v>
      </c>
      <c r="W11" s="94" t="str">
        <f>IF(V11&lt;=$V$4,"CUMPLE","NO CUMPLE")</f>
        <v>CUMPLE</v>
      </c>
      <c r="X11" s="97">
        <f t="shared" ref="X11" si="9">SUM(X12:X13)</f>
        <v>523499294.19999993</v>
      </c>
      <c r="Y11" s="97">
        <f t="shared" ref="Y11" si="10">SUM(Y12:Y13)</f>
        <v>626560</v>
      </c>
      <c r="Z11" s="96">
        <f>X11/Y11</f>
        <v>835.51342920071488</v>
      </c>
      <c r="AA11" s="94" t="str">
        <f>IF(Z11&gt;=$Z$4,"CUMPLE","NO CUMPLE")</f>
        <v>CUMPLE</v>
      </c>
      <c r="AB11" s="97">
        <f t="shared" ref="AB11" si="11">SUM(AB12:AB13)</f>
        <v>523499294.19999993</v>
      </c>
      <c r="AC11" s="97">
        <f t="shared" ref="AC11" si="12">SUM(AC12:AC13)</f>
        <v>1499144688.4000001</v>
      </c>
      <c r="AD11" s="98">
        <f>AB11/AC11</f>
        <v>0.34919864523464894</v>
      </c>
      <c r="AE11" s="94" t="str">
        <f>IF(AD11&gt;=$AD$4,"CUMPLE","NO CUMPLE")</f>
        <v>CUMPLE</v>
      </c>
      <c r="AF11" s="97">
        <f t="shared" ref="AF11" si="13">SUM(AF12:AF13)</f>
        <v>523499294.19999993</v>
      </c>
      <c r="AG11" s="97">
        <f t="shared" ref="AG11" si="14">SUM(AG12:AG13)</f>
        <v>2073270711.5</v>
      </c>
      <c r="AH11" s="98">
        <f>AF11/AG11</f>
        <v>0.2524992473468412</v>
      </c>
      <c r="AI11" s="94" t="str">
        <f>IF(AH11&gt;=$AH$4,"CUMPLE","NO CUMPLE")</f>
        <v>CUMPLE</v>
      </c>
      <c r="AJ11" s="127" t="str">
        <f>IF(COUNTIF(AL12:AL13,"SI")&gt;=1,"NO CUMPLE",IF(COUNTIF(N11:AA11,"NO CUMPLE")&gt;=1,"NO CUMPLE","CUMPLE"))</f>
        <v>CUMPLE</v>
      </c>
      <c r="AK11" s="127" t="str">
        <f>IF(COUNTIF(AL12:AL13,"SI")&gt;=1,"NO CUMPLE",IF(COUNTIF(AB11:AI11,"NO CUMPLE")&gt;=1,"NO CUMPLE","CUMPLE"))</f>
        <v>CUMPLE</v>
      </c>
      <c r="AL11" s="118"/>
      <c r="AM11" s="119"/>
    </row>
    <row r="12" spans="1:39" x14ac:dyDescent="0.25">
      <c r="A12" s="106" t="s">
        <v>173</v>
      </c>
      <c r="B12" s="110" t="s">
        <v>178</v>
      </c>
      <c r="C12" s="89" t="s">
        <v>179</v>
      </c>
      <c r="D12" s="91">
        <v>0.3</v>
      </c>
      <c r="E12" s="92">
        <v>3930750131</v>
      </c>
      <c r="F12" s="92">
        <v>4530750131</v>
      </c>
      <c r="G12" s="92">
        <v>892264784</v>
      </c>
      <c r="H12" s="92">
        <v>1511858411</v>
      </c>
      <c r="I12" s="92">
        <f>+E12-G12</f>
        <v>3038485347</v>
      </c>
      <c r="J12" s="92">
        <f>+F12-H12</f>
        <v>3018891720</v>
      </c>
      <c r="K12" s="92">
        <v>789339578</v>
      </c>
      <c r="L12" s="92">
        <v>500000</v>
      </c>
      <c r="M12" s="89" t="s">
        <v>155</v>
      </c>
      <c r="N12" s="93">
        <f>I12</f>
        <v>3038485347</v>
      </c>
      <c r="O12" s="90"/>
      <c r="P12" s="95">
        <f>E12*D12</f>
        <v>1179225039.3</v>
      </c>
      <c r="Q12" s="95">
        <f>G12*D12</f>
        <v>267679435.19999999</v>
      </c>
      <c r="R12" s="98"/>
      <c r="S12" s="90"/>
      <c r="T12" s="95">
        <f>H12*D12</f>
        <v>453557523.30000001</v>
      </c>
      <c r="U12" s="95">
        <f>F12*D12</f>
        <v>1359225039.3</v>
      </c>
      <c r="V12" s="98"/>
      <c r="W12" s="98"/>
      <c r="X12" s="95">
        <f>K12*D12</f>
        <v>236801873.40000001</v>
      </c>
      <c r="Y12" s="95">
        <f>L12*D12</f>
        <v>150000</v>
      </c>
      <c r="Z12" s="98"/>
      <c r="AA12" s="98"/>
      <c r="AB12" s="97">
        <f>K12*D12</f>
        <v>236801873.40000001</v>
      </c>
      <c r="AC12" s="97">
        <f>J12*D12</f>
        <v>905667516</v>
      </c>
      <c r="AD12" s="98"/>
      <c r="AE12" s="98"/>
      <c r="AF12" s="97">
        <f>K12*D12</f>
        <v>236801873.40000001</v>
      </c>
      <c r="AG12" s="97">
        <f>F12*D12</f>
        <v>1359225039.3</v>
      </c>
      <c r="AH12" s="98"/>
      <c r="AI12" s="98"/>
      <c r="AJ12" s="128"/>
      <c r="AK12" s="128"/>
      <c r="AL12" s="118" t="s">
        <v>199</v>
      </c>
      <c r="AM12" s="119"/>
    </row>
    <row r="13" spans="1:39" x14ac:dyDescent="0.25">
      <c r="A13" s="106" t="s">
        <v>174</v>
      </c>
      <c r="B13" s="110" t="s">
        <v>176</v>
      </c>
      <c r="C13" s="89" t="s">
        <v>177</v>
      </c>
      <c r="D13" s="91">
        <v>0.7</v>
      </c>
      <c r="E13" s="92">
        <v>718218296</v>
      </c>
      <c r="F13" s="92">
        <v>1020065246</v>
      </c>
      <c r="G13" s="92">
        <v>68984714</v>
      </c>
      <c r="H13" s="92">
        <v>172240714</v>
      </c>
      <c r="I13" s="92">
        <f>+E13-G13</f>
        <v>649233582</v>
      </c>
      <c r="J13" s="92">
        <f>+F13-H13</f>
        <v>847824532</v>
      </c>
      <c r="K13" s="92">
        <v>409567744</v>
      </c>
      <c r="L13" s="92">
        <v>680800</v>
      </c>
      <c r="M13" s="89" t="s">
        <v>154</v>
      </c>
      <c r="N13" s="93">
        <f>I13</f>
        <v>649233582</v>
      </c>
      <c r="O13" s="107"/>
      <c r="P13" s="95">
        <f>E13*D13</f>
        <v>502752807.19999999</v>
      </c>
      <c r="Q13" s="95">
        <f>G13*D13</f>
        <v>48289299.799999997</v>
      </c>
      <c r="R13" s="98"/>
      <c r="S13" s="107"/>
      <c r="T13" s="95">
        <f>H13*D13</f>
        <v>120568499.8</v>
      </c>
      <c r="U13" s="95">
        <f>F13*D13</f>
        <v>714045672.19999993</v>
      </c>
      <c r="V13" s="98"/>
      <c r="W13" s="98"/>
      <c r="X13" s="95">
        <f>K13*D13</f>
        <v>286697420.79999995</v>
      </c>
      <c r="Y13" s="95">
        <f>L13*D13</f>
        <v>476559.99999999994</v>
      </c>
      <c r="Z13" s="98"/>
      <c r="AA13" s="98"/>
      <c r="AB13" s="97">
        <f>K13*D13</f>
        <v>286697420.79999995</v>
      </c>
      <c r="AC13" s="97">
        <f>J13*D13</f>
        <v>593477172.39999998</v>
      </c>
      <c r="AD13" s="98"/>
      <c r="AE13" s="98"/>
      <c r="AF13" s="97">
        <f>K13*D13</f>
        <v>286697420.79999995</v>
      </c>
      <c r="AG13" s="97">
        <f>F13*D13</f>
        <v>714045672.19999993</v>
      </c>
      <c r="AH13" s="98"/>
      <c r="AI13" s="98"/>
      <c r="AJ13" s="129"/>
      <c r="AK13" s="129"/>
      <c r="AL13" s="118" t="s">
        <v>199</v>
      </c>
      <c r="AM13" s="119"/>
    </row>
    <row r="14" spans="1:39" x14ac:dyDescent="0.25">
      <c r="A14" s="85">
        <v>5</v>
      </c>
      <c r="B14" s="84" t="s">
        <v>182</v>
      </c>
      <c r="C14" s="83"/>
      <c r="D14" s="85"/>
      <c r="E14" s="84"/>
      <c r="F14" s="84"/>
      <c r="G14" s="84"/>
      <c r="H14" s="84"/>
      <c r="I14" s="84"/>
      <c r="J14" s="84"/>
      <c r="K14" s="84"/>
      <c r="L14" s="84"/>
      <c r="M14" s="84"/>
      <c r="N14" s="99">
        <f>SUM(N15:N16)</f>
        <v>4582330029</v>
      </c>
      <c r="O14" s="100" t="str">
        <f>IF(N14&gt;=$O$4,"CUMPLE","NO CUMPLE")</f>
        <v>CUMPLE</v>
      </c>
      <c r="P14" s="101">
        <f t="shared" ref="P14:Q14" si="15">SUM(P15:P16)</f>
        <v>2462761546.2000003</v>
      </c>
      <c r="Q14" s="101">
        <f t="shared" si="15"/>
        <v>97603644.450000003</v>
      </c>
      <c r="R14" s="102">
        <f>P14/Q14</f>
        <v>25.232270373486042</v>
      </c>
      <c r="S14" s="100" t="str">
        <f>IF(R14&gt;=$R$4,"CUMPLE","NO CUMPLE")</f>
        <v>CUMPLE</v>
      </c>
      <c r="T14" s="101">
        <f>SUM(T15:T16)</f>
        <v>1070710648.1000001</v>
      </c>
      <c r="U14" s="101">
        <f>SUM(U15:U16)</f>
        <v>3480411812.8000002</v>
      </c>
      <c r="V14" s="102">
        <f>T14/U14</f>
        <v>0.30763906850396844</v>
      </c>
      <c r="W14" s="100" t="str">
        <f>IF(V14&lt;=$V$4,"CUMPLE","NO CUMPLE")</f>
        <v>CUMPLE</v>
      </c>
      <c r="X14" s="101">
        <f t="shared" ref="X14" si="16">SUM(X15:X16)</f>
        <v>676026860.4000001</v>
      </c>
      <c r="Y14" s="101">
        <f t="shared" ref="Y14" si="17">SUM(Y15:Y16)</f>
        <v>133964.80000000002</v>
      </c>
      <c r="Z14" s="102">
        <f>X14/Y14</f>
        <v>5046.3021659420983</v>
      </c>
      <c r="AA14" s="100" t="str">
        <f>IF(Z14&gt;=$Z$4,"CUMPLE","NO CUMPLE")</f>
        <v>CUMPLE</v>
      </c>
      <c r="AB14" s="101">
        <f t="shared" ref="AB14" si="18">SUM(AB15:AB16)</f>
        <v>676026860.4000001</v>
      </c>
      <c r="AC14" s="101">
        <f t="shared" ref="AC14" si="19">SUM(AC15:AC16)</f>
        <v>2409701164.7000003</v>
      </c>
      <c r="AD14" s="103">
        <f>AB14/AC14</f>
        <v>0.28054385759661743</v>
      </c>
      <c r="AE14" s="100" t="str">
        <f>IF(AD14&gt;=$AD$4,"CUMPLE","NO CUMPLE")</f>
        <v>CUMPLE</v>
      </c>
      <c r="AF14" s="101">
        <f t="shared" ref="AF14" si="20">SUM(AF15:AF16)</f>
        <v>676026860.4000001</v>
      </c>
      <c r="AG14" s="101">
        <f t="shared" ref="AG14" si="21">SUM(AG15:AG16)</f>
        <v>3480411812.8000002</v>
      </c>
      <c r="AH14" s="103">
        <f>AF14/AG14</f>
        <v>0.1942376065710841</v>
      </c>
      <c r="AI14" s="100" t="str">
        <f>IF(AH14&gt;=$AH$4,"CUMPLE","NO CUMPLE")</f>
        <v>CUMPLE</v>
      </c>
      <c r="AJ14" s="127" t="str">
        <f>IF(COUNTIF(AL15:AL16,"SI")&gt;=1,"NO CUMPLE",IF(COUNTIF(N14:AA14,"NO CUMPLE")&gt;=1,"NO CUMPLE","CUMPLE"))</f>
        <v>CUMPLE</v>
      </c>
      <c r="AK14" s="127" t="str">
        <f>IF(COUNTIF(AL15:AL16,"SI")&gt;=1,"NO CUMPLE",IF(COUNTIF(AB14:AI14,"NO CUMPLE")&gt;=1,"NO CUMPLE","CUMPLE"))</f>
        <v>CUMPLE</v>
      </c>
      <c r="AL14" s="118"/>
      <c r="AM14" s="119"/>
    </row>
    <row r="15" spans="1:39" x14ac:dyDescent="0.25">
      <c r="A15" s="85" t="s">
        <v>180</v>
      </c>
      <c r="B15" s="86" t="s">
        <v>183</v>
      </c>
      <c r="C15" s="83" t="s">
        <v>184</v>
      </c>
      <c r="D15" s="87">
        <v>0.55000000000000004</v>
      </c>
      <c r="E15" s="88">
        <v>3108611961</v>
      </c>
      <c r="F15" s="88">
        <v>4958885173</v>
      </c>
      <c r="G15" s="88">
        <v>77518074</v>
      </c>
      <c r="H15" s="88">
        <v>1155996494</v>
      </c>
      <c r="I15" s="88">
        <f>+E15-G15</f>
        <v>3031093887</v>
      </c>
      <c r="J15" s="88">
        <f>+F15-H15</f>
        <v>3802888679</v>
      </c>
      <c r="K15" s="88">
        <v>668826000</v>
      </c>
      <c r="L15" s="88">
        <v>241936</v>
      </c>
      <c r="M15" s="83" t="s">
        <v>154</v>
      </c>
      <c r="N15" s="99">
        <f>I15</f>
        <v>3031093887</v>
      </c>
      <c r="O15" s="84"/>
      <c r="P15" s="104">
        <f>E15*D15</f>
        <v>1709736578.5500002</v>
      </c>
      <c r="Q15" s="104">
        <f>G15*D15</f>
        <v>42634940.700000003</v>
      </c>
      <c r="R15" s="103"/>
      <c r="S15" s="84"/>
      <c r="T15" s="104">
        <f>H15*D15</f>
        <v>635798071.70000005</v>
      </c>
      <c r="U15" s="104">
        <f>F15*D15</f>
        <v>2727386845.1500001</v>
      </c>
      <c r="V15" s="103"/>
      <c r="W15" s="103"/>
      <c r="X15" s="104">
        <f>K15*D15</f>
        <v>367854300</v>
      </c>
      <c r="Y15" s="104">
        <f>L15*D15</f>
        <v>133064.80000000002</v>
      </c>
      <c r="Z15" s="103"/>
      <c r="AA15" s="103"/>
      <c r="AB15" s="101">
        <f>K15*D15</f>
        <v>367854300</v>
      </c>
      <c r="AC15" s="101">
        <f>J15*D15</f>
        <v>2091588773.4500003</v>
      </c>
      <c r="AD15" s="103"/>
      <c r="AE15" s="103"/>
      <c r="AF15" s="101">
        <f>K15*D15</f>
        <v>367854300</v>
      </c>
      <c r="AG15" s="101">
        <f>F15*D15</f>
        <v>2727386845.1500001</v>
      </c>
      <c r="AH15" s="103"/>
      <c r="AI15" s="103"/>
      <c r="AJ15" s="128"/>
      <c r="AK15" s="128"/>
      <c r="AL15" s="118" t="s">
        <v>199</v>
      </c>
      <c r="AM15" s="119"/>
    </row>
    <row r="16" spans="1:39" x14ac:dyDescent="0.25">
      <c r="A16" s="85" t="s">
        <v>181</v>
      </c>
      <c r="B16" s="86" t="s">
        <v>185</v>
      </c>
      <c r="C16" s="83" t="s">
        <v>186</v>
      </c>
      <c r="D16" s="87">
        <v>0.45</v>
      </c>
      <c r="E16" s="88">
        <v>1673388817</v>
      </c>
      <c r="F16" s="88">
        <v>1673388817</v>
      </c>
      <c r="G16" s="88">
        <v>122152675</v>
      </c>
      <c r="H16" s="88">
        <v>966472392</v>
      </c>
      <c r="I16" s="88">
        <f>+E16-G16</f>
        <v>1551236142</v>
      </c>
      <c r="J16" s="88">
        <f>+F16-H16</f>
        <v>706916425</v>
      </c>
      <c r="K16" s="88">
        <v>684827912</v>
      </c>
      <c r="L16" s="88">
        <v>2000</v>
      </c>
      <c r="M16" s="83" t="s">
        <v>154</v>
      </c>
      <c r="N16" s="99">
        <f>I16</f>
        <v>1551236142</v>
      </c>
      <c r="O16" s="105"/>
      <c r="P16" s="104">
        <f>E16*D16</f>
        <v>753024967.64999998</v>
      </c>
      <c r="Q16" s="104">
        <f>G16*D16</f>
        <v>54968703.75</v>
      </c>
      <c r="R16" s="103"/>
      <c r="S16" s="105"/>
      <c r="T16" s="104">
        <f>H16*D16</f>
        <v>434912576.40000004</v>
      </c>
      <c r="U16" s="104">
        <f>F16*D16</f>
        <v>753024967.64999998</v>
      </c>
      <c r="V16" s="103"/>
      <c r="W16" s="103"/>
      <c r="X16" s="104">
        <f>K16*D16</f>
        <v>308172560.40000004</v>
      </c>
      <c r="Y16" s="104">
        <f>L16*D16</f>
        <v>900</v>
      </c>
      <c r="Z16" s="103"/>
      <c r="AA16" s="103"/>
      <c r="AB16" s="101">
        <f>K16*D16</f>
        <v>308172560.40000004</v>
      </c>
      <c r="AC16" s="101">
        <f>J16*D16</f>
        <v>318112391.25</v>
      </c>
      <c r="AD16" s="103"/>
      <c r="AE16" s="103"/>
      <c r="AF16" s="101">
        <f>K16*D16</f>
        <v>308172560.40000004</v>
      </c>
      <c r="AG16" s="101">
        <f>F16*D16</f>
        <v>753024967.64999998</v>
      </c>
      <c r="AH16" s="103"/>
      <c r="AI16" s="103"/>
      <c r="AJ16" s="129"/>
      <c r="AK16" s="129"/>
      <c r="AL16" s="118" t="s">
        <v>199</v>
      </c>
      <c r="AM16" s="119"/>
    </row>
    <row r="17" spans="4:5" x14ac:dyDescent="0.25">
      <c r="D17"/>
      <c r="E17" s="79"/>
    </row>
  </sheetData>
  <mergeCells count="52">
    <mergeCell ref="AL1:AM2"/>
    <mergeCell ref="AL3:AL5"/>
    <mergeCell ref="AM3:AM5"/>
    <mergeCell ref="X2:AA2"/>
    <mergeCell ref="X3:AA3"/>
    <mergeCell ref="X4:Y4"/>
    <mergeCell ref="Z4:AA4"/>
    <mergeCell ref="AB2:AE2"/>
    <mergeCell ref="AB3:AE3"/>
    <mergeCell ref="AF3:AI3"/>
    <mergeCell ref="AF2:AI2"/>
    <mergeCell ref="AF4:AG4"/>
    <mergeCell ref="AB4:AC4"/>
    <mergeCell ref="AD4:AE4"/>
    <mergeCell ref="AH4:AI4"/>
    <mergeCell ref="P2:S2"/>
    <mergeCell ref="P3:S3"/>
    <mergeCell ref="R4:S4"/>
    <mergeCell ref="P4:Q4"/>
    <mergeCell ref="V4:W4"/>
    <mergeCell ref="T2:W2"/>
    <mergeCell ref="M3:M5"/>
    <mergeCell ref="A3:A5"/>
    <mergeCell ref="B3:B5"/>
    <mergeCell ref="C3:C5"/>
    <mergeCell ref="D3:D5"/>
    <mergeCell ref="E3:E5"/>
    <mergeCell ref="E1:M2"/>
    <mergeCell ref="A1:D2"/>
    <mergeCell ref="AB1:AI1"/>
    <mergeCell ref="N1:AA1"/>
    <mergeCell ref="AJ3:AJ5"/>
    <mergeCell ref="T4:U4"/>
    <mergeCell ref="T3:W3"/>
    <mergeCell ref="F3:F5"/>
    <mergeCell ref="G3:G5"/>
    <mergeCell ref="N2:O2"/>
    <mergeCell ref="N3:O3"/>
    <mergeCell ref="H3:H5"/>
    <mergeCell ref="I3:I5"/>
    <mergeCell ref="J3:J5"/>
    <mergeCell ref="K3:K5"/>
    <mergeCell ref="L3:L5"/>
    <mergeCell ref="AJ11:AJ13"/>
    <mergeCell ref="AK11:AK13"/>
    <mergeCell ref="AJ14:AJ16"/>
    <mergeCell ref="AK14:AK16"/>
    <mergeCell ref="AJ1:AJ2"/>
    <mergeCell ref="AK1:AK2"/>
    <mergeCell ref="AK3:AK5"/>
    <mergeCell ref="AJ6:AJ8"/>
    <mergeCell ref="AK6:AK8"/>
  </mergeCells>
  <conditionalFormatting sqref="O6">
    <cfRule type="cellIs" dxfId="88" priority="103" operator="equal">
      <formula>"CUMPLE"</formula>
    </cfRule>
    <cfRule type="cellIs" dxfId="87" priority="102" operator="equal">
      <formula>"NO CUMPLE"</formula>
    </cfRule>
  </conditionalFormatting>
  <conditionalFormatting sqref="O9:O11 P12:Q13 T12:U13">
    <cfRule type="cellIs" dxfId="86" priority="50" operator="equal">
      <formula>"NO CUMPLE"</formula>
    </cfRule>
    <cfRule type="cellIs" dxfId="85" priority="51" operator="equal">
      <formula>"CUMPLE"</formula>
    </cfRule>
  </conditionalFormatting>
  <conditionalFormatting sqref="O14 P15:Q16 T15:U16">
    <cfRule type="cellIs" dxfId="84" priority="33" operator="equal">
      <formula>"CUMPLE"</formula>
    </cfRule>
    <cfRule type="cellIs" dxfId="83" priority="32" operator="equal">
      <formula>"NO CUMPLE"</formula>
    </cfRule>
  </conditionalFormatting>
  <conditionalFormatting sqref="P7:Q10 T7:U10">
    <cfRule type="cellIs" dxfId="82" priority="70" operator="equal">
      <formula>"NO CUMPLE"</formula>
    </cfRule>
    <cfRule type="cellIs" dxfId="81" priority="71" operator="equal">
      <formula>"CUMPLE"</formula>
    </cfRule>
  </conditionalFormatting>
  <conditionalFormatting sqref="S6">
    <cfRule type="cellIs" dxfId="80" priority="101" operator="equal">
      <formula>"CUMPLE"</formula>
    </cfRule>
    <cfRule type="cellIs" dxfId="79" priority="100" operator="equal">
      <formula>"NO CUMPLE"</formula>
    </cfRule>
  </conditionalFormatting>
  <conditionalFormatting sqref="S9:S11">
    <cfRule type="cellIs" dxfId="78" priority="48" operator="equal">
      <formula>"NO CUMPLE"</formula>
    </cfRule>
    <cfRule type="cellIs" dxfId="77" priority="49" operator="equal">
      <formula>"CUMPLE"</formula>
    </cfRule>
  </conditionalFormatting>
  <conditionalFormatting sqref="S14">
    <cfRule type="cellIs" dxfId="76" priority="31" operator="equal">
      <formula>"CUMPLE"</formula>
    </cfRule>
    <cfRule type="cellIs" dxfId="75" priority="30" operator="equal">
      <formula>"NO CUMPLE"</formula>
    </cfRule>
  </conditionalFormatting>
  <conditionalFormatting sqref="W6">
    <cfRule type="cellIs" dxfId="74" priority="97" operator="equal">
      <formula>"CUMPLE"</formula>
    </cfRule>
    <cfRule type="cellIs" dxfId="73" priority="96" operator="equal">
      <formula>"NO CUMPLE"</formula>
    </cfRule>
  </conditionalFormatting>
  <conditionalFormatting sqref="W9:W11">
    <cfRule type="cellIs" dxfId="72" priority="46" operator="equal">
      <formula>"NO CUMPLE"</formula>
    </cfRule>
    <cfRule type="cellIs" dxfId="71" priority="47" operator="equal">
      <formula>"CUMPLE"</formula>
    </cfRule>
  </conditionalFormatting>
  <conditionalFormatting sqref="W14">
    <cfRule type="cellIs" dxfId="70" priority="29" operator="equal">
      <formula>"CUMPLE"</formula>
    </cfRule>
    <cfRule type="cellIs" dxfId="69" priority="28" operator="equal">
      <formula>"NO CUMPLE"</formula>
    </cfRule>
  </conditionalFormatting>
  <conditionalFormatting sqref="X7:Y10">
    <cfRule type="cellIs" dxfId="68" priority="68" operator="equal">
      <formula>"NO CUMPLE"</formula>
    </cfRule>
    <cfRule type="cellIs" dxfId="67" priority="69" operator="equal">
      <formula>"CUMPLE"</formula>
    </cfRule>
  </conditionalFormatting>
  <conditionalFormatting sqref="X12:Y13">
    <cfRule type="cellIs" dxfId="66" priority="44" operator="equal">
      <formula>"NO CUMPLE"</formula>
    </cfRule>
    <cfRule type="cellIs" dxfId="65" priority="45" operator="equal">
      <formula>"CUMPLE"</formula>
    </cfRule>
  </conditionalFormatting>
  <conditionalFormatting sqref="X15:Y16">
    <cfRule type="cellIs" dxfId="64" priority="27" operator="equal">
      <formula>"CUMPLE"</formula>
    </cfRule>
    <cfRule type="cellIs" dxfId="63" priority="26" operator="equal">
      <formula>"NO CUMPLE"</formula>
    </cfRule>
  </conditionalFormatting>
  <conditionalFormatting sqref="AA6">
    <cfRule type="cellIs" dxfId="62" priority="92" operator="equal">
      <formula>"NO CUMPLE"</formula>
    </cfRule>
    <cfRule type="cellIs" dxfId="61" priority="93" operator="equal">
      <formula>"CUMPLE"</formula>
    </cfRule>
  </conditionalFormatting>
  <conditionalFormatting sqref="AA9:AA11">
    <cfRule type="cellIs" dxfId="60" priority="42" operator="equal">
      <formula>"NO CUMPLE"</formula>
    </cfRule>
    <cfRule type="cellIs" dxfId="59" priority="43" operator="equal">
      <formula>"CUMPLE"</formula>
    </cfRule>
  </conditionalFormatting>
  <conditionalFormatting sqref="AA14">
    <cfRule type="cellIs" dxfId="58" priority="24" operator="equal">
      <formula>"NO CUMPLE"</formula>
    </cfRule>
    <cfRule type="cellIs" dxfId="57" priority="25" operator="equal">
      <formula>"CUMPLE"</formula>
    </cfRule>
  </conditionalFormatting>
  <conditionalFormatting sqref="AE6">
    <cfRule type="cellIs" dxfId="56" priority="90" operator="equal">
      <formula>"NO CUMPLE"</formula>
    </cfRule>
    <cfRule type="cellIs" dxfId="55" priority="91" operator="equal">
      <formula>"CUMPLE"</formula>
    </cfRule>
  </conditionalFormatting>
  <conditionalFormatting sqref="AE9:AE11">
    <cfRule type="cellIs" dxfId="54" priority="40" operator="equal">
      <formula>"NO CUMPLE"</formula>
    </cfRule>
    <cfRule type="cellIs" dxfId="53" priority="41" operator="equal">
      <formula>"CUMPLE"</formula>
    </cfRule>
  </conditionalFormatting>
  <conditionalFormatting sqref="AE14">
    <cfRule type="cellIs" dxfId="52" priority="23" operator="equal">
      <formula>"CUMPLE"</formula>
    </cfRule>
    <cfRule type="cellIs" dxfId="51" priority="22" operator="equal">
      <formula>"NO CUMPLE"</formula>
    </cfRule>
  </conditionalFormatting>
  <conditionalFormatting sqref="AI6:AK6">
    <cfRule type="cellIs" dxfId="50" priority="85" operator="equal">
      <formula>"CUMPLE"</formula>
    </cfRule>
    <cfRule type="cellIs" dxfId="49" priority="84" operator="equal">
      <formula>"NO CUMPLE"</formula>
    </cfRule>
  </conditionalFormatting>
  <conditionalFormatting sqref="AI9:AK11">
    <cfRule type="cellIs" dxfId="48" priority="2" operator="equal">
      <formula>"CUMPLE"</formula>
    </cfRule>
    <cfRule type="cellIs" dxfId="47" priority="1" operator="equal">
      <formula>"NO CUMPLE"</formula>
    </cfRule>
  </conditionalFormatting>
  <conditionalFormatting sqref="AI14:AK14">
    <cfRule type="cellIs" dxfId="46" priority="10" operator="equal">
      <formula>"CUMPLE"</formula>
    </cfRule>
    <cfRule type="cellIs" dxfId="45" priority="9" operator="equal">
      <formula>"NO CUMPLE"</formula>
    </cfRule>
  </conditionalFormatting>
  <conditionalFormatting sqref="AJ1:AL1">
    <cfRule type="cellIs" dxfId="44" priority="15" operator="equal">
      <formula>"NO ADMISIBLE"</formula>
    </cfRule>
  </conditionalFormatting>
  <conditionalFormatting sqref="AJ3:AM5">
    <cfRule type="cellIs" dxfId="43" priority="13" operator="equal">
      <formula>"NO ADMISIBLE"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'DATOS INICIALES'!$F$2:$F$4</xm:f>
          </x14:formula1>
          <xm:sqref>M7:M10 M12:M13 M15:M16</xm:sqref>
        </x14:dataValidation>
        <x14:dataValidation type="list" allowBlank="1" showInputMessage="1" showErrorMessage="1" xr:uid="{00000000-0002-0000-0100-000001000000}">
          <x14:formula1>
            <xm:f>'DATOS INICIALES'!$F$6:$F$7</xm:f>
          </x14:formula1>
          <xm:sqref>AL7:AL10 AL12:AL13 AL15:AL16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6"/>
  <sheetViews>
    <sheetView tabSelected="1" workbookViewId="0">
      <pane xSplit="2" ySplit="5" topLeftCell="K6" activePane="bottomRight" state="frozen"/>
      <selection pane="topRight" activeCell="C1" sqref="C1"/>
      <selection pane="bottomLeft" activeCell="A6" sqref="A6"/>
      <selection pane="bottomRight" activeCell="M6" sqref="M6"/>
    </sheetView>
  </sheetViews>
  <sheetFormatPr baseColWidth="10" defaultRowHeight="15" x14ac:dyDescent="0.25"/>
  <cols>
    <col min="1" max="1" width="11.42578125" style="45"/>
    <col min="2" max="2" width="41.140625" style="45" customWidth="1"/>
    <col min="3" max="3" width="19" customWidth="1"/>
    <col min="4" max="4" width="16.85546875" style="41" customWidth="1"/>
    <col min="5" max="10" width="20" customWidth="1"/>
    <col min="11" max="11" width="15.42578125" customWidth="1"/>
    <col min="12" max="12" width="17" customWidth="1"/>
    <col min="13" max="13" width="75.85546875" style="46" customWidth="1"/>
  </cols>
  <sheetData>
    <row r="1" spans="1:13" x14ac:dyDescent="0.25">
      <c r="A1" s="145" t="s">
        <v>0</v>
      </c>
      <c r="B1" s="145"/>
      <c r="C1" s="145"/>
      <c r="D1" s="145"/>
      <c r="E1" s="158" t="s">
        <v>99</v>
      </c>
      <c r="F1" s="132"/>
      <c r="G1" s="132"/>
      <c r="H1" s="132"/>
      <c r="I1" s="132"/>
      <c r="J1" s="132"/>
      <c r="K1" s="132"/>
      <c r="L1" s="145" t="s">
        <v>200</v>
      </c>
      <c r="M1" s="145"/>
    </row>
    <row r="2" spans="1:13" ht="15.75" customHeight="1" x14ac:dyDescent="0.25">
      <c r="A2" s="157" t="s">
        <v>2</v>
      </c>
      <c r="B2" s="148" t="s">
        <v>4</v>
      </c>
      <c r="C2" s="148" t="s">
        <v>3</v>
      </c>
      <c r="D2" s="148" t="s">
        <v>5</v>
      </c>
      <c r="E2" s="148" t="s">
        <v>34</v>
      </c>
      <c r="F2" s="148" t="s">
        <v>26</v>
      </c>
      <c r="G2" s="148" t="s">
        <v>62</v>
      </c>
      <c r="H2" s="148" t="s">
        <v>69</v>
      </c>
      <c r="I2" s="148" t="s">
        <v>74</v>
      </c>
      <c r="J2" s="148" t="s">
        <v>98</v>
      </c>
      <c r="K2" s="148" t="s">
        <v>100</v>
      </c>
      <c r="L2" s="148" t="s">
        <v>201</v>
      </c>
      <c r="M2" s="148" t="s">
        <v>202</v>
      </c>
    </row>
    <row r="3" spans="1:13" x14ac:dyDescent="0.25">
      <c r="A3" s="157"/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</row>
    <row r="4" spans="1:13" x14ac:dyDescent="0.25">
      <c r="A4" s="157"/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</row>
    <row r="5" spans="1:13" x14ac:dyDescent="0.25">
      <c r="A5" s="157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</row>
    <row r="6" spans="1:13" x14ac:dyDescent="0.25">
      <c r="A6" s="85">
        <v>1</v>
      </c>
      <c r="B6" s="120" t="s">
        <v>131</v>
      </c>
      <c r="C6" s="83"/>
      <c r="D6" s="85"/>
      <c r="E6" s="111"/>
      <c r="F6" s="111"/>
      <c r="G6" s="111"/>
      <c r="H6" s="111"/>
      <c r="I6" s="111"/>
      <c r="J6" s="112">
        <f ca="1">INDIRECT(A6&amp;"!K"&amp;16)</f>
        <v>14765712149.414772</v>
      </c>
      <c r="K6" s="85" t="str">
        <f>IF(COUNTIF(L7:L8,"SI")&gt;=1,"NO CUMPLE",IF(J6&gt;'DATOS INICIALES'!$B$3,"CUMPLE","NO CUMPLE"))</f>
        <v>NO CUMPLE</v>
      </c>
      <c r="L6" s="119"/>
      <c r="M6" s="236" t="s">
        <v>205</v>
      </c>
    </row>
    <row r="7" spans="1:13" x14ac:dyDescent="0.25">
      <c r="A7" s="85" t="s">
        <v>89</v>
      </c>
      <c r="B7" s="121" t="s">
        <v>132</v>
      </c>
      <c r="C7" s="83" t="s">
        <v>159</v>
      </c>
      <c r="D7" s="87">
        <v>0.3</v>
      </c>
      <c r="E7" s="112">
        <f ca="1">INDIRECT(A6&amp;"!G"&amp;24)</f>
        <v>2320445678</v>
      </c>
      <c r="F7" s="113">
        <f ca="1">INDIRECT(A6&amp;"!H"&amp;24)</f>
        <v>120</v>
      </c>
      <c r="G7" s="113">
        <f ca="1">INDIRECT(A6&amp;"!I"&amp;24)</f>
        <v>40</v>
      </c>
      <c r="H7" s="113">
        <f ca="1">INDIRECT(A6&amp;"!J"&amp;24)</f>
        <v>40</v>
      </c>
      <c r="I7" s="112">
        <f ca="1">INDIRECT(A6&amp;"!K"&amp;24)</f>
        <v>0</v>
      </c>
      <c r="J7" s="112">
        <f ca="1">INDIRECT(A6&amp;"!M"&amp;24)</f>
        <v>0</v>
      </c>
      <c r="K7" s="84"/>
      <c r="L7" s="118" t="s">
        <v>199</v>
      </c>
      <c r="M7" s="124"/>
    </row>
    <row r="8" spans="1:13" ht="30" x14ac:dyDescent="0.25">
      <c r="A8" s="85" t="s">
        <v>90</v>
      </c>
      <c r="B8" s="121" t="s">
        <v>133</v>
      </c>
      <c r="C8" s="83" t="s">
        <v>158</v>
      </c>
      <c r="D8" s="87">
        <v>0.7</v>
      </c>
      <c r="E8" s="112">
        <f ca="1">INDIRECT(A6&amp;"!G"&amp;25)</f>
        <v>5489276000</v>
      </c>
      <c r="F8" s="113">
        <f ca="1">INDIRECT(A6&amp;"!H"&amp;25)</f>
        <v>120</v>
      </c>
      <c r="G8" s="113">
        <f ca="1">INDIRECT(A6&amp;"!I"&amp;25)</f>
        <v>40</v>
      </c>
      <c r="H8" s="113">
        <f ca="1">INDIRECT(A6&amp;"!I"&amp;25)</f>
        <v>40</v>
      </c>
      <c r="I8" s="112">
        <f ca="1">INDIRECT(A6&amp;"!K"&amp;25)</f>
        <v>853731206.58522725</v>
      </c>
      <c r="J8" s="112">
        <f ca="1">INDIRECT(A6&amp;"!M"&amp;25)</f>
        <v>0</v>
      </c>
      <c r="K8" s="84"/>
      <c r="L8" s="118" t="s">
        <v>198</v>
      </c>
      <c r="M8" s="124" t="s">
        <v>203</v>
      </c>
    </row>
    <row r="9" spans="1:13" x14ac:dyDescent="0.25">
      <c r="A9" s="106">
        <v>2</v>
      </c>
      <c r="B9" s="122" t="s">
        <v>156</v>
      </c>
      <c r="C9" s="89" t="s">
        <v>157</v>
      </c>
      <c r="D9" s="91">
        <v>1</v>
      </c>
      <c r="E9" s="114">
        <f ca="1">INDIRECT(A9&amp;"!I"&amp;16)</f>
        <v>14800340093</v>
      </c>
      <c r="F9" s="106">
        <f ca="1">INDIRECT(A9&amp;"!I"&amp;17)</f>
        <v>120</v>
      </c>
      <c r="G9" s="106">
        <f ca="1">INDIRECT(A9&amp;"!I"&amp;18)</f>
        <v>40</v>
      </c>
      <c r="H9" s="106">
        <f ca="1">INDIRECT(A9&amp;"!I"&amp;19)</f>
        <v>20</v>
      </c>
      <c r="I9" s="114">
        <f ca="1">INDIRECT(A9&amp;"!I"&amp;20)</f>
        <v>848946355.8440001</v>
      </c>
      <c r="J9" s="115">
        <f ca="1">INDIRECT(A9&amp;"!K"&amp;16)</f>
        <v>25791665811.556</v>
      </c>
      <c r="K9" s="106" t="str">
        <f ca="1">IF(COUNTIF(L9,"SI")&gt;=1,"NO CUMPLE",IF(J9&gt;'DATOS INICIALES'!$B$3,"CUMPLE","NO CUMPLE"))</f>
        <v>CUMPLE</v>
      </c>
      <c r="L9" s="118" t="s">
        <v>199</v>
      </c>
      <c r="M9" s="124"/>
    </row>
    <row r="10" spans="1:13" ht="45" x14ac:dyDescent="0.25">
      <c r="A10" s="85">
        <v>3</v>
      </c>
      <c r="B10" s="121" t="s">
        <v>171</v>
      </c>
      <c r="C10" s="85" t="s">
        <v>172</v>
      </c>
      <c r="D10" s="87">
        <v>1</v>
      </c>
      <c r="E10" s="113">
        <f ca="1">INDIRECT(A10&amp;"!I"&amp;16)</f>
        <v>3897769522</v>
      </c>
      <c r="F10" s="85">
        <f ca="1">INDIRECT(A10&amp;"!I"&amp;17)</f>
        <v>120</v>
      </c>
      <c r="G10" s="85">
        <f ca="1">INDIRECT(A10&amp;"!I"&amp;18)</f>
        <v>40</v>
      </c>
      <c r="H10" s="85">
        <f ca="1">INDIRECT(A10&amp;"!I"&amp;19)</f>
        <v>40</v>
      </c>
      <c r="I10" s="113">
        <f ca="1">INDIRECT(A10&amp;"!I"&amp;20)</f>
        <v>232934487.5</v>
      </c>
      <c r="J10" s="112">
        <f ca="1">INDIRECT(A10&amp;"!K"&amp;16)</f>
        <v>7562604556.5</v>
      </c>
      <c r="K10" s="106" t="str">
        <f ca="1">IF(COUNTIF(L10,"SI")&gt;=1,"NO CUMPLE",IF(J10&gt;'DATOS INICIALES'!$B$3,"CUMPLE","NO CUMPLE"))</f>
        <v>CUMPLE</v>
      </c>
      <c r="L10" s="118" t="s">
        <v>199</v>
      </c>
      <c r="M10" s="124"/>
    </row>
    <row r="11" spans="1:13" x14ac:dyDescent="0.25">
      <c r="A11" s="106">
        <v>4</v>
      </c>
      <c r="B11" s="122" t="s">
        <v>175</v>
      </c>
      <c r="C11" s="89"/>
      <c r="D11" s="106"/>
      <c r="E11" s="116"/>
      <c r="F11" s="116"/>
      <c r="G11" s="116"/>
      <c r="H11" s="116"/>
      <c r="I11" s="116"/>
      <c r="J11" s="115">
        <f ca="1">INDIRECT(A11&amp;"!K"&amp;16)</f>
        <v>30177612034.033333</v>
      </c>
      <c r="K11" s="85" t="str">
        <f ca="1">IF(COUNTIF(L12:L13,"SI")&gt;=1,"NO CUMPLE",IF(J11&gt;'DATOS INICIALES'!$B$3,"CUMPLE","NO CUMPLE"))</f>
        <v>CUMPLE</v>
      </c>
      <c r="L11" s="119"/>
      <c r="M11" s="124"/>
    </row>
    <row r="12" spans="1:13" x14ac:dyDescent="0.25">
      <c r="A12" s="106" t="s">
        <v>173</v>
      </c>
      <c r="B12" s="123" t="s">
        <v>178</v>
      </c>
      <c r="C12" s="89" t="s">
        <v>179</v>
      </c>
      <c r="D12" s="91">
        <v>0.3</v>
      </c>
      <c r="E12" s="115">
        <f ca="1">INDIRECT(A11&amp;"!G"&amp;24)</f>
        <v>10789469941</v>
      </c>
      <c r="F12" s="114">
        <f ca="1">INDIRECT(A11&amp;"!H"&amp;24)</f>
        <v>120</v>
      </c>
      <c r="G12" s="114">
        <f ca="1">INDIRECT(A11&amp;"!I"&amp;24)</f>
        <v>40</v>
      </c>
      <c r="H12" s="114">
        <f ca="1">INDIRECT(A11&amp;"!J"&amp;24)</f>
        <v>20</v>
      </c>
      <c r="I12" s="115">
        <f ca="1">INDIRECT(A11&amp;"!K"&amp;24)</f>
        <v>426669512.66666669</v>
      </c>
      <c r="J12" s="115">
        <f ca="1">INDIRECT(A11&amp;"!M"&amp;24)</f>
        <v>0</v>
      </c>
      <c r="K12" s="90"/>
      <c r="L12" s="118" t="s">
        <v>199</v>
      </c>
      <c r="M12" s="124"/>
    </row>
    <row r="13" spans="1:13" x14ac:dyDescent="0.25">
      <c r="A13" s="106" t="s">
        <v>174</v>
      </c>
      <c r="B13" s="123" t="s">
        <v>176</v>
      </c>
      <c r="C13" s="89" t="s">
        <v>177</v>
      </c>
      <c r="D13" s="91">
        <v>0.7</v>
      </c>
      <c r="E13" s="115">
        <f ca="1">INDIRECT(A11&amp;"!G"&amp;25)</f>
        <v>7046745183</v>
      </c>
      <c r="F13" s="114">
        <f ca="1">INDIRECT(A11&amp;"!H"&amp;25)</f>
        <v>120</v>
      </c>
      <c r="G13" s="114">
        <f ca="1">INDIRECT(A11&amp;"!I"&amp;25)</f>
        <v>40</v>
      </c>
      <c r="H13" s="114">
        <f ca="1">INDIRECT(A11&amp;"!I"&amp;25)</f>
        <v>40</v>
      </c>
      <c r="I13" s="115">
        <f ca="1">INDIRECT(A11&amp;"!K"&amp;25)</f>
        <v>2205580194.8000002</v>
      </c>
      <c r="J13" s="115">
        <f ca="1">INDIRECT(A11&amp;"!M"&amp;25)</f>
        <v>0</v>
      </c>
      <c r="K13" s="90"/>
      <c r="L13" s="118" t="s">
        <v>199</v>
      </c>
      <c r="M13" s="124"/>
    </row>
    <row r="14" spans="1:13" x14ac:dyDescent="0.25">
      <c r="A14" s="85">
        <v>5</v>
      </c>
      <c r="B14" s="120" t="s">
        <v>182</v>
      </c>
      <c r="C14" s="83"/>
      <c r="D14" s="85"/>
      <c r="E14" s="111"/>
      <c r="F14" s="111"/>
      <c r="G14" s="111"/>
      <c r="H14" s="111"/>
      <c r="I14" s="111"/>
      <c r="J14" s="112">
        <f ca="1">INDIRECT(A14&amp;"!K"&amp;16)</f>
        <v>12629484602.639999</v>
      </c>
      <c r="K14" s="85" t="str">
        <f ca="1">IF(COUNTIF(L15:L16,"SI")&gt;=1,"NO CUMPLE",IF(J14&gt;'DATOS INICIALES'!$B$3,"CUMPLE","NO CUMPLE"))</f>
        <v>CUMPLE</v>
      </c>
      <c r="L14" s="119"/>
      <c r="M14" s="124"/>
    </row>
    <row r="15" spans="1:13" x14ac:dyDescent="0.25">
      <c r="A15" s="85" t="s">
        <v>180</v>
      </c>
      <c r="B15" s="121" t="s">
        <v>183</v>
      </c>
      <c r="C15" s="83" t="s">
        <v>184</v>
      </c>
      <c r="D15" s="87">
        <v>0.55000000000000004</v>
      </c>
      <c r="E15" s="112">
        <f ca="1">INDIRECT(A14&amp;"!G"&amp;24)</f>
        <v>4861893157</v>
      </c>
      <c r="F15" s="113">
        <f ca="1">INDIRECT(A14&amp;"!H"&amp;24)</f>
        <v>120</v>
      </c>
      <c r="G15" s="113">
        <f ca="1">INDIRECT(A14&amp;"!I"&amp;24)</f>
        <v>40</v>
      </c>
      <c r="H15" s="113">
        <f ca="1">INDIRECT(A14&amp;"!J"&amp;24)</f>
        <v>20</v>
      </c>
      <c r="I15" s="112">
        <f ca="1">INDIRECT(A14&amp;"!K"&amp;24)</f>
        <v>0</v>
      </c>
      <c r="J15" s="112">
        <f ca="1">INDIRECT(A14&amp;"!M"&amp;24)</f>
        <v>0</v>
      </c>
      <c r="K15" s="84"/>
      <c r="L15" s="118" t="s">
        <v>199</v>
      </c>
      <c r="M15" s="124"/>
    </row>
    <row r="16" spans="1:13" x14ac:dyDescent="0.25">
      <c r="A16" s="85" t="s">
        <v>181</v>
      </c>
      <c r="B16" s="121" t="s">
        <v>185</v>
      </c>
      <c r="C16" s="83" t="s">
        <v>186</v>
      </c>
      <c r="D16" s="87">
        <v>0.45</v>
      </c>
      <c r="E16" s="112">
        <f ca="1">INDIRECT(A14&amp;"!G"&amp;25)</f>
        <v>2718961235</v>
      </c>
      <c r="F16" s="113">
        <f ca="1">INDIRECT(A14&amp;"!H"&amp;25)</f>
        <v>120</v>
      </c>
      <c r="G16" s="113">
        <f ca="1">INDIRECT(A14&amp;"!I"&amp;25)</f>
        <v>40</v>
      </c>
      <c r="H16" s="113">
        <f ca="1">INDIRECT(A14&amp;"!I"&amp;25)</f>
        <v>40</v>
      </c>
      <c r="I16" s="112">
        <f ca="1">INDIRECT(A14&amp;"!K"&amp;25)</f>
        <v>1016053302.96</v>
      </c>
      <c r="J16" s="112">
        <f ca="1">INDIRECT(A14&amp;"!M"&amp;25)</f>
        <v>0</v>
      </c>
      <c r="K16" s="84"/>
      <c r="L16" s="118" t="s">
        <v>199</v>
      </c>
      <c r="M16" s="124"/>
    </row>
  </sheetData>
  <mergeCells count="16">
    <mergeCell ref="L2:L5"/>
    <mergeCell ref="M2:M5"/>
    <mergeCell ref="L1:M1"/>
    <mergeCell ref="J2:J5"/>
    <mergeCell ref="E1:K1"/>
    <mergeCell ref="K2:K5"/>
    <mergeCell ref="E2:E5"/>
    <mergeCell ref="F2:F5"/>
    <mergeCell ref="G2:G5"/>
    <mergeCell ref="H2:H5"/>
    <mergeCell ref="I2:I5"/>
    <mergeCell ref="A1:D1"/>
    <mergeCell ref="A2:A5"/>
    <mergeCell ref="B2:B5"/>
    <mergeCell ref="C2:C5"/>
    <mergeCell ref="D2:D5"/>
  </mergeCells>
  <conditionalFormatting sqref="K6">
    <cfRule type="cellIs" dxfId="42" priority="15" operator="equal">
      <formula>"NO CUMPLE"</formula>
    </cfRule>
    <cfRule type="cellIs" dxfId="41" priority="16" operator="equal">
      <formula>"CUMPLE"</formula>
    </cfRule>
  </conditionalFormatting>
  <conditionalFormatting sqref="K9:K11">
    <cfRule type="cellIs" dxfId="40" priority="3" operator="equal">
      <formula>"NO CUMPLE"</formula>
    </cfRule>
    <cfRule type="cellIs" dxfId="39" priority="4" operator="equal">
      <formula>"CUMPLE"</formula>
    </cfRule>
  </conditionalFormatting>
  <conditionalFormatting sqref="K14">
    <cfRule type="cellIs" dxfId="38" priority="1" operator="equal">
      <formula>"NO CUMPLE"</formula>
    </cfRule>
    <cfRule type="cellIs" dxfId="37" priority="2" operator="equal">
      <formula>"CUMPLE"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'DATOS INICIALES'!$F$6:$F$7</xm:f>
          </x14:formula1>
          <xm:sqref>L7:L10 L12:L13 L15:L16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Z284"/>
  <sheetViews>
    <sheetView topLeftCell="A10" zoomScale="90" zoomScaleNormal="90" workbookViewId="0">
      <selection activeCell="C24" sqref="C24:D24"/>
    </sheetView>
  </sheetViews>
  <sheetFormatPr baseColWidth="10" defaultColWidth="14.42578125" defaultRowHeight="15" outlineLevelRow="1" x14ac:dyDescent="0.25"/>
  <cols>
    <col min="1" max="1" width="4.7109375" customWidth="1"/>
    <col min="2" max="2" width="4.85546875" customWidth="1"/>
    <col min="3" max="3" width="18.5703125" customWidth="1"/>
    <col min="4" max="4" width="18" customWidth="1"/>
    <col min="5" max="5" width="19.7109375" customWidth="1"/>
    <col min="6" max="7" width="18" customWidth="1"/>
    <col min="8" max="8" width="20.85546875" customWidth="1"/>
    <col min="9" max="10" width="16.140625" customWidth="1"/>
    <col min="11" max="12" width="14.7109375" customWidth="1"/>
    <col min="13" max="13" width="13.85546875" customWidth="1"/>
    <col min="14" max="14" width="19.42578125" customWidth="1"/>
    <col min="15" max="18" width="20" customWidth="1"/>
    <col min="19" max="19" width="8.28515625" hidden="1" customWidth="1"/>
    <col min="20" max="23" width="11.42578125" customWidth="1"/>
    <col min="24" max="24" width="17" customWidth="1"/>
    <col min="25" max="26" width="11.42578125" customWidth="1"/>
  </cols>
  <sheetData>
    <row r="1" spans="1:26" ht="22.5" customHeight="1" x14ac:dyDescent="0.25">
      <c r="A1" s="163" t="s">
        <v>21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5"/>
      <c r="S1" s="2"/>
      <c r="T1" s="2"/>
      <c r="U1" s="2"/>
      <c r="V1" s="2"/>
      <c r="W1" s="2"/>
      <c r="X1" s="1"/>
      <c r="Y1" s="1"/>
      <c r="Z1" s="1"/>
    </row>
    <row r="2" spans="1:26" ht="22.5" customHeight="1" x14ac:dyDescent="0.25">
      <c r="A2" s="163" t="str">
        <f>'DATOS INICIALES'!B1</f>
        <v>LICITACIÓN PÚBLICA SAB-05-009-24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5"/>
      <c r="S2" s="2"/>
      <c r="T2" s="2"/>
      <c r="U2" s="2"/>
      <c r="V2" s="2"/>
      <c r="W2" s="2"/>
      <c r="X2" s="1"/>
      <c r="Y2" s="1"/>
      <c r="Z2" s="1"/>
    </row>
    <row r="3" spans="1:26" ht="22.5" customHeight="1" x14ac:dyDescent="0.25">
      <c r="A3" s="163" t="str">
        <f>'DATOS INICIALES'!B2</f>
        <v>RECUPERACIÓN, MANTENIMIENTO, ADECUACIONES Y OBRAS COMPLEMENTARIAS DE LAS SEDES ADMINISTRATIVAS Y BIENES DE USO PUBLICO DEL MUNICIPIO DE SABANETA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5"/>
      <c r="S3" s="2"/>
      <c r="T3" s="2"/>
      <c r="U3" s="2"/>
      <c r="V3" s="2"/>
      <c r="W3" s="2"/>
      <c r="X3" s="1"/>
      <c r="Y3" s="1"/>
      <c r="Z3" s="1"/>
    </row>
    <row r="4" spans="1:26" ht="22.5" customHeight="1" x14ac:dyDescent="0.25">
      <c r="A4" s="163" t="s">
        <v>102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5"/>
      <c r="S4" s="3"/>
      <c r="T4" s="4"/>
      <c r="U4" s="5"/>
      <c r="V4" s="5"/>
      <c r="W4" s="5"/>
      <c r="X4" s="1"/>
      <c r="Y4" s="1"/>
      <c r="Z4" s="1"/>
    </row>
    <row r="5" spans="1:26" ht="23.25" customHeight="1" x14ac:dyDescent="0.25">
      <c r="A5" s="159" t="s">
        <v>22</v>
      </c>
      <c r="B5" s="160"/>
      <c r="C5" s="160"/>
      <c r="D5" s="160"/>
      <c r="E5" s="40">
        <f>'DATOS INICIALES'!B3</f>
        <v>1169500932</v>
      </c>
      <c r="F5" s="166"/>
      <c r="G5" s="160"/>
      <c r="H5" s="167" t="s">
        <v>124</v>
      </c>
      <c r="I5" s="160"/>
      <c r="J5" s="160"/>
      <c r="K5" s="162" t="s">
        <v>23</v>
      </c>
      <c r="L5" s="162"/>
      <c r="M5" s="160"/>
      <c r="N5" s="7" t="s">
        <v>24</v>
      </c>
      <c r="O5" s="6"/>
      <c r="P5" s="6"/>
      <c r="Q5" s="6"/>
      <c r="R5" s="6"/>
      <c r="S5" s="5" t="s">
        <v>25</v>
      </c>
      <c r="T5" s="5"/>
      <c r="U5" s="5"/>
      <c r="V5" s="5"/>
      <c r="W5" s="5"/>
      <c r="X5" s="5"/>
      <c r="Y5" s="5"/>
      <c r="Z5" s="5"/>
    </row>
    <row r="6" spans="1:26" ht="15.75" customHeight="1" x14ac:dyDescent="0.25">
      <c r="A6" s="159" t="s">
        <v>106</v>
      </c>
      <c r="B6" s="160"/>
      <c r="C6" s="160"/>
      <c r="D6" s="160"/>
      <c r="E6" s="8">
        <f>'DATOS INICIALES'!B5</f>
        <v>45568</v>
      </c>
      <c r="F6" s="160"/>
      <c r="G6" s="160"/>
      <c r="H6" s="168"/>
      <c r="I6" s="168"/>
      <c r="J6" s="168"/>
      <c r="K6" s="161" t="s">
        <v>26</v>
      </c>
      <c r="L6" s="161"/>
      <c r="M6" s="160"/>
      <c r="N6" s="70">
        <v>120</v>
      </c>
      <c r="O6" s="4"/>
      <c r="P6" s="4"/>
      <c r="Q6" s="4"/>
      <c r="R6" s="4"/>
      <c r="S6" s="5" t="s">
        <v>27</v>
      </c>
      <c r="T6" s="5"/>
      <c r="U6" s="5"/>
      <c r="V6" s="5"/>
      <c r="W6" s="5"/>
      <c r="X6" s="5"/>
      <c r="Y6" s="5"/>
      <c r="Z6" s="5"/>
    </row>
    <row r="7" spans="1:26" ht="15.75" customHeight="1" x14ac:dyDescent="0.25">
      <c r="A7" s="159" t="s">
        <v>28</v>
      </c>
      <c r="B7" s="160"/>
      <c r="C7" s="160"/>
      <c r="D7" s="160"/>
      <c r="E7" s="9">
        <v>0</v>
      </c>
      <c r="F7" s="160"/>
      <c r="G7" s="160"/>
      <c r="H7" s="168"/>
      <c r="I7" s="168"/>
      <c r="J7" s="168"/>
      <c r="K7" s="161" t="s">
        <v>29</v>
      </c>
      <c r="L7" s="161"/>
      <c r="M7" s="160"/>
      <c r="N7" s="70">
        <v>40</v>
      </c>
      <c r="O7" s="4"/>
      <c r="P7" s="4"/>
      <c r="Q7" s="4"/>
      <c r="R7" s="4"/>
      <c r="S7" s="4"/>
      <c r="T7" s="5"/>
      <c r="U7" s="5"/>
      <c r="V7" s="5"/>
      <c r="W7" s="5"/>
      <c r="X7" s="5"/>
      <c r="Y7" s="5"/>
      <c r="Z7" s="5"/>
    </row>
    <row r="8" spans="1:26" ht="15.75" customHeight="1" x14ac:dyDescent="0.25">
      <c r="A8" s="159" t="s">
        <v>30</v>
      </c>
      <c r="B8" s="160"/>
      <c r="C8" s="160"/>
      <c r="D8" s="160"/>
      <c r="E8" s="117">
        <f>'DATOS INICIALES'!B4</f>
        <v>2</v>
      </c>
      <c r="F8" s="160"/>
      <c r="G8" s="160"/>
      <c r="H8" s="168"/>
      <c r="I8" s="168"/>
      <c r="J8" s="168"/>
      <c r="K8" s="161" t="s">
        <v>31</v>
      </c>
      <c r="L8" s="161"/>
      <c r="M8" s="160"/>
      <c r="N8" s="70">
        <v>40</v>
      </c>
      <c r="O8" s="4"/>
      <c r="P8" s="4"/>
      <c r="Q8" s="4"/>
      <c r="R8" s="4"/>
      <c r="S8" s="4"/>
      <c r="T8" s="5"/>
      <c r="U8" s="5"/>
      <c r="V8" s="5"/>
      <c r="W8" s="5"/>
      <c r="X8" s="5"/>
      <c r="Y8" s="5"/>
      <c r="Z8" s="5"/>
    </row>
    <row r="9" spans="1:26" ht="15.75" customHeight="1" x14ac:dyDescent="0.25">
      <c r="A9" s="159" t="s">
        <v>32</v>
      </c>
      <c r="B9" s="160"/>
      <c r="C9" s="160"/>
      <c r="D9" s="160"/>
      <c r="E9" s="68">
        <f>IF(E8&lt;12,E5-E7*E5,(E5-E7*E5)/E8*12)</f>
        <v>1169500932</v>
      </c>
      <c r="F9" s="160"/>
      <c r="G9" s="160"/>
      <c r="H9" s="160"/>
      <c r="I9" s="160"/>
      <c r="J9" s="160"/>
      <c r="K9" s="162" t="s">
        <v>33</v>
      </c>
      <c r="L9" s="162"/>
      <c r="M9" s="160"/>
      <c r="N9" s="7">
        <v>200</v>
      </c>
      <c r="O9" s="6"/>
      <c r="P9" s="6"/>
      <c r="Q9" s="6"/>
      <c r="R9" s="6"/>
      <c r="S9" s="4"/>
      <c r="T9" s="5"/>
      <c r="U9" s="5"/>
      <c r="V9" s="5"/>
      <c r="W9" s="5"/>
      <c r="X9" s="5"/>
      <c r="Y9" s="5"/>
      <c r="Z9" s="5"/>
    </row>
    <row r="10" spans="1:26" ht="12" customHeight="1" thickBot="1" x14ac:dyDescent="0.3">
      <c r="A10" s="6"/>
      <c r="B10" s="6"/>
      <c r="C10" s="6"/>
      <c r="D10" s="6"/>
      <c r="E10" s="11"/>
      <c r="F10" s="6"/>
      <c r="G10" s="6"/>
      <c r="H10" s="6"/>
      <c r="I10" s="6"/>
      <c r="J10" s="6"/>
      <c r="K10" s="6"/>
      <c r="L10" s="6"/>
      <c r="M10" s="5"/>
      <c r="N10" s="5"/>
      <c r="O10" s="5"/>
      <c r="P10" s="5"/>
      <c r="Q10" s="5"/>
      <c r="R10" s="5"/>
      <c r="S10" s="6"/>
      <c r="T10" s="4"/>
      <c r="U10" s="5"/>
      <c r="V10" s="5"/>
      <c r="W10" s="5"/>
      <c r="X10" s="5"/>
      <c r="Y10" s="5"/>
      <c r="Z10" s="5"/>
    </row>
    <row r="11" spans="1:26" ht="12" customHeight="1" thickBot="1" x14ac:dyDescent="0.3">
      <c r="A11" s="169" t="s">
        <v>94</v>
      </c>
      <c r="B11" s="170"/>
      <c r="C11" s="171"/>
      <c r="D11" s="6"/>
      <c r="E11" s="55"/>
      <c r="F11" s="6"/>
      <c r="G11" s="6"/>
      <c r="H11" s="6"/>
      <c r="I11" s="6"/>
      <c r="J11" s="6"/>
      <c r="K11" s="6"/>
      <c r="L11" s="6"/>
      <c r="M11" s="5"/>
      <c r="N11" s="5"/>
      <c r="O11" s="5"/>
      <c r="P11" s="5"/>
      <c r="Q11" s="5"/>
      <c r="R11" s="5"/>
      <c r="S11" s="6"/>
      <c r="T11" s="4"/>
      <c r="U11" s="5"/>
      <c r="V11" s="5"/>
      <c r="W11" s="5"/>
      <c r="X11" s="5"/>
      <c r="Y11" s="5"/>
      <c r="Z11" s="5"/>
    </row>
    <row r="12" spans="1:26" ht="12" customHeight="1" x14ac:dyDescent="0.25">
      <c r="A12" s="6"/>
      <c r="B12" s="6"/>
      <c r="C12" s="6"/>
      <c r="D12" s="6"/>
      <c r="E12" s="11"/>
      <c r="F12" s="6"/>
      <c r="G12" s="6"/>
      <c r="H12" s="6"/>
      <c r="I12" s="6"/>
      <c r="J12" s="6"/>
      <c r="K12" s="6"/>
      <c r="L12" s="6"/>
      <c r="M12" s="5"/>
      <c r="N12" s="5"/>
      <c r="O12" s="5"/>
      <c r="P12" s="5"/>
      <c r="Q12" s="5"/>
      <c r="R12" s="5"/>
      <c r="S12" s="6"/>
      <c r="T12" s="4"/>
      <c r="U12" s="5"/>
      <c r="V12" s="5"/>
      <c r="W12" s="5"/>
      <c r="X12" s="5"/>
      <c r="Y12" s="5"/>
      <c r="Z12" s="5"/>
    </row>
    <row r="13" spans="1:26" ht="12" customHeight="1" x14ac:dyDescent="0.25">
      <c r="A13" s="172" t="str">
        <f>"Se considerará HÁBIL el proponente que presente una CR igual o superior a "&amp;TEXT(E9,"$#.##0")</f>
        <v>Se considerará HÁBIL el proponente que presente una CR igual o superior a $1.169.500.932</v>
      </c>
      <c r="B13" s="172"/>
      <c r="C13" s="172"/>
      <c r="D13" s="172"/>
      <c r="E13" s="172"/>
      <c r="F13" s="172"/>
      <c r="G13" s="172"/>
      <c r="H13" s="172"/>
      <c r="I13" s="172"/>
      <c r="J13" s="172"/>
      <c r="K13" s="172"/>
      <c r="L13" s="172"/>
      <c r="M13" s="172"/>
      <c r="N13" s="172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25">
      <c r="A14" s="172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" customHeight="1" x14ac:dyDescent="0.25">
      <c r="A15" s="173" t="s">
        <v>95</v>
      </c>
      <c r="B15" s="173"/>
      <c r="C15" s="174" t="s">
        <v>109</v>
      </c>
      <c r="D15" s="174"/>
      <c r="E15" s="174"/>
      <c r="F15" s="175" t="s">
        <v>110</v>
      </c>
      <c r="G15" s="173"/>
      <c r="H15" s="173"/>
      <c r="I15" s="173"/>
      <c r="J15" s="173"/>
      <c r="K15" s="173"/>
      <c r="L15" s="173"/>
      <c r="M15" s="173"/>
      <c r="N15" s="176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" customHeight="1" x14ac:dyDescent="0.25">
      <c r="A16" s="174">
        <v>1</v>
      </c>
      <c r="B16" s="174"/>
      <c r="C16" s="177" t="s">
        <v>91</v>
      </c>
      <c r="D16" s="178" t="str">
        <f>VLOOKUP(A16,'CAPACIDAD RESIDUAL'!$A$6:$D$304,2,FALSE)</f>
        <v>CONSORCIO JG SAB MANTENIMIENTO</v>
      </c>
      <c r="E16" s="178"/>
      <c r="F16" s="174" t="str">
        <f>$C$38</f>
        <v>Capacidad de Organización (CO)</v>
      </c>
      <c r="G16" s="174"/>
      <c r="H16" s="174"/>
      <c r="I16" s="54" t="s">
        <v>122</v>
      </c>
      <c r="J16" s="174" t="s">
        <v>88</v>
      </c>
      <c r="K16" s="183">
        <f>N29</f>
        <v>14765712149.414772</v>
      </c>
      <c r="L16" s="184"/>
      <c r="M16" s="184"/>
      <c r="N16" s="18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" customHeight="1" x14ac:dyDescent="0.25">
      <c r="A17" s="174"/>
      <c r="B17" s="174"/>
      <c r="C17" s="177"/>
      <c r="D17" s="178"/>
      <c r="E17" s="178"/>
      <c r="F17" s="174" t="str">
        <f>$C$47</f>
        <v>Experiencia (E)</v>
      </c>
      <c r="G17" s="174"/>
      <c r="H17" s="174"/>
      <c r="I17" s="54" t="s">
        <v>122</v>
      </c>
      <c r="J17" s="174"/>
      <c r="K17" s="186"/>
      <c r="L17" s="187"/>
      <c r="M17" s="187"/>
      <c r="N17" s="188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" customHeight="1" x14ac:dyDescent="0.25">
      <c r="A18" s="174"/>
      <c r="B18" s="174"/>
      <c r="C18" s="189" t="s">
        <v>111</v>
      </c>
      <c r="D18" s="190">
        <v>2</v>
      </c>
      <c r="E18" s="190"/>
      <c r="F18" s="174" t="str">
        <f>$C$58</f>
        <v>Capacidad Financiera (CF)</v>
      </c>
      <c r="G18" s="174"/>
      <c r="H18" s="174"/>
      <c r="I18" s="54" t="s">
        <v>122</v>
      </c>
      <c r="J18" s="191" t="str">
        <f>IF(K16&gt;$E$9,"CUMPLE","NO CUMPLE")</f>
        <v>CUMPLE</v>
      </c>
      <c r="K18" s="191"/>
      <c r="L18" s="191"/>
      <c r="M18" s="191"/>
      <c r="N18" s="19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" customHeight="1" x14ac:dyDescent="0.25">
      <c r="A19" s="174"/>
      <c r="B19" s="174"/>
      <c r="C19" s="189"/>
      <c r="D19" s="190"/>
      <c r="E19" s="190"/>
      <c r="F19" s="174" t="str">
        <f>$C$65</f>
        <v>Capacidad Técnica (CT)</v>
      </c>
      <c r="G19" s="174"/>
      <c r="H19" s="174"/>
      <c r="I19" s="54" t="s">
        <v>122</v>
      </c>
      <c r="J19" s="191"/>
      <c r="K19" s="191"/>
      <c r="L19" s="191"/>
      <c r="M19" s="191"/>
      <c r="N19" s="191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" customHeight="1" x14ac:dyDescent="0.25">
      <c r="A20" s="174"/>
      <c r="B20" s="174"/>
      <c r="C20" s="76" t="s">
        <v>93</v>
      </c>
      <c r="D20" s="192">
        <f>F29</f>
        <v>1</v>
      </c>
      <c r="E20" s="192"/>
      <c r="F20" s="178" t="str">
        <f>$C$70</f>
        <v>Saldo de los Contratos en Ejecución (SCE)</v>
      </c>
      <c r="G20" s="178"/>
      <c r="H20" s="178"/>
      <c r="I20" s="54" t="s">
        <v>122</v>
      </c>
      <c r="J20" s="191"/>
      <c r="K20" s="191"/>
      <c r="L20" s="191"/>
      <c r="M20" s="191"/>
      <c r="N20" s="191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24" customHeight="1" x14ac:dyDescent="0.25">
      <c r="A22" s="172" t="s">
        <v>120</v>
      </c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  <c r="M22" s="172"/>
      <c r="N22" s="172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" customHeight="1" x14ac:dyDescent="0.25">
      <c r="A23" s="174" t="s">
        <v>95</v>
      </c>
      <c r="B23" s="174"/>
      <c r="C23" s="174" t="s">
        <v>121</v>
      </c>
      <c r="D23" s="174"/>
      <c r="E23" s="74" t="s">
        <v>3</v>
      </c>
      <c r="F23" s="74" t="s">
        <v>112</v>
      </c>
      <c r="G23" s="74" t="s">
        <v>114</v>
      </c>
      <c r="H23" s="74" t="s">
        <v>115</v>
      </c>
      <c r="I23" s="74" t="s">
        <v>116</v>
      </c>
      <c r="J23" s="74" t="s">
        <v>117</v>
      </c>
      <c r="K23" s="175" t="s">
        <v>118</v>
      </c>
      <c r="L23" s="173"/>
      <c r="M23" s="176"/>
      <c r="N23" s="74" t="s">
        <v>119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6.25" customHeight="1" x14ac:dyDescent="0.25">
      <c r="A24" s="179" t="str">
        <f>IF(A16+D18/10&gt;=A16+(D18-(D18-1))/10,CONCATENATE(A16,".",1),"N/A")</f>
        <v>1.1</v>
      </c>
      <c r="B24" s="179"/>
      <c r="C24" s="179" t="str">
        <f>IF(A24="N/A","",D32)</f>
        <v>JCONSTRUINT S.A.S.</v>
      </c>
      <c r="D24" s="179"/>
      <c r="E24" s="75" t="str">
        <f>IF(A24="N/A","",D34)</f>
        <v>900.834.575-7</v>
      </c>
      <c r="F24" s="62">
        <f>IF(A24="N/A","",D36)</f>
        <v>0.3</v>
      </c>
      <c r="G24" s="63">
        <f>IF(A24="N/A","",I32)</f>
        <v>2320445678</v>
      </c>
      <c r="H24" s="64">
        <f>IF(A24="N/A","",I33)</f>
        <v>120</v>
      </c>
      <c r="I24" s="64">
        <f>IF(A24="N/A","",I34)</f>
        <v>40</v>
      </c>
      <c r="J24" s="64">
        <f>IF(A24="N/A","",I35)</f>
        <v>40</v>
      </c>
      <c r="K24" s="180">
        <f>IF(A24="N/A","",I36)</f>
        <v>0</v>
      </c>
      <c r="L24" s="181"/>
      <c r="M24" s="182"/>
      <c r="N24" s="63">
        <f>IF(A24="N/A","",K32)</f>
        <v>4640891356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6.25" customHeight="1" x14ac:dyDescent="0.25">
      <c r="A25" s="179" t="str">
        <f>IF(A16+D18/10&gt;=A16+(D18-(D18-2))/10,CONCATENATE(A16,".",2),"N/A")</f>
        <v>1.2</v>
      </c>
      <c r="B25" s="179"/>
      <c r="C25" s="179" t="str">
        <f>IF(A25="N/A","",D83)</f>
        <v>GERMINAR PROYECTOS S.A.S</v>
      </c>
      <c r="D25" s="179"/>
      <c r="E25" s="75" t="str">
        <f>IF(A25="N/A","",D85)</f>
        <v>901.194.419-2</v>
      </c>
      <c r="F25" s="62">
        <f>IF(A25="N/A","",D87)</f>
        <v>0.7</v>
      </c>
      <c r="G25" s="63">
        <f>IF(A25="N/A","",I83)</f>
        <v>5489276000</v>
      </c>
      <c r="H25" s="64">
        <f>IF(A25="N/A","",I84)</f>
        <v>120</v>
      </c>
      <c r="I25" s="64">
        <f>IF(A25="N/A","",I85)</f>
        <v>40</v>
      </c>
      <c r="J25" s="64">
        <f>IF(A25="N/A","",I86)</f>
        <v>40</v>
      </c>
      <c r="K25" s="180">
        <f>IF(A25="N/A","",I87)</f>
        <v>853731206.58522725</v>
      </c>
      <c r="L25" s="181"/>
      <c r="M25" s="182"/>
      <c r="N25" s="63">
        <f>IF(A25="N/A","",K83)</f>
        <v>10124820793.414772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6.25" customHeight="1" x14ac:dyDescent="0.25">
      <c r="A26" s="179" t="str">
        <f>IF(A16+D18/10&gt;=A16+(D18-(D18-3))/10,CONCATENATE(A16,".",3),"N/A")</f>
        <v>N/A</v>
      </c>
      <c r="B26" s="179"/>
      <c r="C26" s="179" t="str">
        <f>IF(A26="N/A","",D134)</f>
        <v/>
      </c>
      <c r="D26" s="179"/>
      <c r="E26" s="75" t="str">
        <f>IF(A26="N/A","",D136)</f>
        <v/>
      </c>
      <c r="F26" s="62" t="str">
        <f>IF(A26="N/A","",D138)</f>
        <v/>
      </c>
      <c r="G26" s="63" t="str">
        <f>IF(A26="N/A","",I134)</f>
        <v/>
      </c>
      <c r="H26" s="64" t="str">
        <f>IF(A26="N/A","",I135)</f>
        <v/>
      </c>
      <c r="I26" s="64" t="str">
        <f>IF(A26="N/A","",I136)</f>
        <v/>
      </c>
      <c r="J26" s="64" t="str">
        <f>IF(A26="N/A","",I137)</f>
        <v/>
      </c>
      <c r="K26" s="180" t="str">
        <f>IF(A26="N/A","",I138)</f>
        <v/>
      </c>
      <c r="L26" s="181"/>
      <c r="M26" s="182"/>
      <c r="N26" s="63" t="str">
        <f>IF(A26="N/A","",K134)</f>
        <v/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26.25" customHeight="1" x14ac:dyDescent="0.25">
      <c r="A27" s="179" t="str">
        <f>IF(A16+D18/10&gt;=A16+(D18-(D18-4))/10,CONCATENATE(A16,".",4),"N/A")</f>
        <v>N/A</v>
      </c>
      <c r="B27" s="179"/>
      <c r="C27" s="179" t="str">
        <f>IF(A27="N/A","",D185)</f>
        <v/>
      </c>
      <c r="D27" s="179"/>
      <c r="E27" s="75" t="str">
        <f>IF(A27="N/A","",D187)</f>
        <v/>
      </c>
      <c r="F27" s="62" t="str">
        <f>IF(A27="N/A","",D189)</f>
        <v/>
      </c>
      <c r="G27" s="63" t="str">
        <f>IF(A27="N/A","",I185)</f>
        <v/>
      </c>
      <c r="H27" s="64" t="str">
        <f>IF(A27="N/A","",I186)</f>
        <v/>
      </c>
      <c r="I27" s="64" t="str">
        <f>IF(A27="N/A","",I187)</f>
        <v/>
      </c>
      <c r="J27" s="64" t="str">
        <f>IF(A27="N/A","",I188)</f>
        <v/>
      </c>
      <c r="K27" s="180" t="str">
        <f>IF(A27="N/A","",I189)</f>
        <v/>
      </c>
      <c r="L27" s="181"/>
      <c r="M27" s="182"/>
      <c r="N27" s="63" t="str">
        <f>IF(A27="N/A","",K185)</f>
        <v/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26.25" customHeight="1" x14ac:dyDescent="0.25">
      <c r="A28" s="179" t="str">
        <f>IF(A16+D18/10&gt;=A16+(D18-(D18-5))/10,CONCATENATE(A16,".",5),"N/A")</f>
        <v>N/A</v>
      </c>
      <c r="B28" s="179"/>
      <c r="C28" s="179" t="str">
        <f>IF(A28="N/A","",D236)</f>
        <v/>
      </c>
      <c r="D28" s="179"/>
      <c r="E28" s="75" t="str">
        <f>IF(A28="N/A","",D238)</f>
        <v/>
      </c>
      <c r="F28" s="62" t="str">
        <f>IF(A28="N/A","",D240)</f>
        <v/>
      </c>
      <c r="G28" s="63" t="str">
        <f>IF(A28="N/A","",I236)</f>
        <v/>
      </c>
      <c r="H28" s="64" t="str">
        <f>IF(A28="N/A","",I237)</f>
        <v/>
      </c>
      <c r="I28" s="64" t="str">
        <f>IF(A28="N/A","",I238)</f>
        <v/>
      </c>
      <c r="J28" s="64" t="str">
        <f>IF(A28="N/A","",I239)</f>
        <v/>
      </c>
      <c r="K28" s="180" t="str">
        <f>IF(A28="N/A","",I240)</f>
        <v/>
      </c>
      <c r="L28" s="181"/>
      <c r="M28" s="182"/>
      <c r="N28" s="63" t="str">
        <f>IF(A28="N/A","",K236)</f>
        <v/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" customHeight="1" x14ac:dyDescent="0.25">
      <c r="A29" s="193" t="s">
        <v>113</v>
      </c>
      <c r="B29" s="193"/>
      <c r="C29" s="193"/>
      <c r="D29" s="193"/>
      <c r="E29" s="193"/>
      <c r="F29" s="59">
        <f>SUM(F24:F28)</f>
        <v>1</v>
      </c>
      <c r="G29" s="60"/>
      <c r="H29" s="61"/>
      <c r="I29" s="61"/>
      <c r="J29" s="61"/>
      <c r="K29" s="194"/>
      <c r="L29" s="195"/>
      <c r="M29" s="196"/>
      <c r="N29" s="60">
        <f>SUM(N24:N28)</f>
        <v>14765712149.414772</v>
      </c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" customHeight="1" x14ac:dyDescent="0.25">
      <c r="A30" s="43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" customHeight="1" x14ac:dyDescent="0.25">
      <c r="A31" s="197" t="s">
        <v>95</v>
      </c>
      <c r="B31" s="197"/>
      <c r="C31" s="197" t="s">
        <v>96</v>
      </c>
      <c r="D31" s="197"/>
      <c r="E31" s="197"/>
      <c r="F31" s="197" t="s">
        <v>97</v>
      </c>
      <c r="G31" s="197"/>
      <c r="H31" s="197"/>
      <c r="I31" s="197"/>
      <c r="J31" s="197"/>
      <c r="K31" s="197"/>
      <c r="L31" s="197"/>
      <c r="M31" s="197"/>
      <c r="N31" s="197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 x14ac:dyDescent="0.25">
      <c r="A32" s="197" t="str">
        <f>IF(A24="N/A","",A24)</f>
        <v>1.1</v>
      </c>
      <c r="B32" s="197"/>
      <c r="C32" s="198" t="s">
        <v>91</v>
      </c>
      <c r="D32" s="199" t="str">
        <f>VLOOKUP(A32,'CAPACIDAD RESIDUAL'!$A$6:$D$304,2,FALSE)</f>
        <v>JCONSTRUINT S.A.S.</v>
      </c>
      <c r="E32" s="200"/>
      <c r="F32" s="197" t="str">
        <f>$C$38</f>
        <v>Capacidad de Organización (CO)</v>
      </c>
      <c r="G32" s="197"/>
      <c r="H32" s="197"/>
      <c r="I32" s="58">
        <f>G45</f>
        <v>2320445678</v>
      </c>
      <c r="J32" s="203" t="s">
        <v>88</v>
      </c>
      <c r="K32" s="183">
        <f>I32*(I33+I34+I35)/100-I36</f>
        <v>4640891356</v>
      </c>
      <c r="L32" s="184"/>
      <c r="M32" s="184"/>
      <c r="N32" s="185"/>
      <c r="O32" s="6"/>
      <c r="P32" s="6"/>
      <c r="Q32" s="6"/>
      <c r="R32" s="6"/>
      <c r="S32" s="4"/>
      <c r="T32" s="6"/>
      <c r="U32" s="13"/>
      <c r="V32" s="6"/>
      <c r="W32" s="5"/>
      <c r="X32" s="5"/>
      <c r="Y32" s="5"/>
      <c r="Z32" s="5"/>
    </row>
    <row r="33" spans="1:26" ht="15.75" customHeight="1" x14ac:dyDescent="0.25">
      <c r="A33" s="197"/>
      <c r="B33" s="197"/>
      <c r="C33" s="198"/>
      <c r="D33" s="201"/>
      <c r="E33" s="202"/>
      <c r="F33" s="197" t="str">
        <f>$C$47</f>
        <v>Experiencia (E)</v>
      </c>
      <c r="G33" s="197"/>
      <c r="H33" s="197"/>
      <c r="I33" s="22">
        <f>H56</f>
        <v>120</v>
      </c>
      <c r="J33" s="204"/>
      <c r="K33" s="186"/>
      <c r="L33" s="187"/>
      <c r="M33" s="187"/>
      <c r="N33" s="188"/>
      <c r="O33" s="6"/>
      <c r="P33" s="6"/>
      <c r="Q33" s="6"/>
      <c r="R33" s="6"/>
      <c r="S33" s="4"/>
      <c r="T33" s="6"/>
      <c r="U33" s="13"/>
      <c r="V33" s="6"/>
      <c r="W33" s="5"/>
      <c r="X33" s="5"/>
      <c r="Y33" s="5"/>
      <c r="Z33" s="5"/>
    </row>
    <row r="34" spans="1:26" ht="15.75" customHeight="1" x14ac:dyDescent="0.25">
      <c r="A34" s="197"/>
      <c r="B34" s="197"/>
      <c r="C34" s="198" t="s">
        <v>92</v>
      </c>
      <c r="D34" s="205" t="str">
        <f>VLOOKUP(A32,'CAPACIDAD RESIDUAL'!$A$6:$D$304,3,FALSE)</f>
        <v>900.834.575-7</v>
      </c>
      <c r="E34" s="206"/>
      <c r="F34" s="197" t="str">
        <f>$C$58</f>
        <v>Capacidad Financiera (CF)</v>
      </c>
      <c r="G34" s="197"/>
      <c r="H34" s="197"/>
      <c r="I34" s="22">
        <f>H62</f>
        <v>40</v>
      </c>
      <c r="J34" s="191" t="str">
        <f>IF(K32&gt;$E$9,"CUMPLE","NO CUMPLE")</f>
        <v>CUMPLE</v>
      </c>
      <c r="K34" s="191"/>
      <c r="L34" s="191"/>
      <c r="M34" s="191"/>
      <c r="N34" s="191"/>
      <c r="O34" s="6"/>
      <c r="P34" s="6"/>
      <c r="Q34" s="6"/>
      <c r="R34" s="6"/>
      <c r="S34" s="4"/>
      <c r="T34" s="6"/>
      <c r="U34" s="13"/>
      <c r="V34" s="6"/>
      <c r="W34" s="5"/>
      <c r="X34" s="5"/>
      <c r="Y34" s="5"/>
      <c r="Z34" s="5"/>
    </row>
    <row r="35" spans="1:26" ht="15.75" customHeight="1" x14ac:dyDescent="0.25">
      <c r="A35" s="197"/>
      <c r="B35" s="197"/>
      <c r="C35" s="198"/>
      <c r="D35" s="207"/>
      <c r="E35" s="208"/>
      <c r="F35" s="197" t="str">
        <f>$C$65</f>
        <v>Capacidad Técnica (CT)</v>
      </c>
      <c r="G35" s="197"/>
      <c r="H35" s="197"/>
      <c r="I35" s="22">
        <f>H67</f>
        <v>40</v>
      </c>
      <c r="J35" s="191"/>
      <c r="K35" s="191"/>
      <c r="L35" s="191"/>
      <c r="M35" s="191"/>
      <c r="N35" s="191"/>
      <c r="O35" s="6"/>
      <c r="P35" s="6"/>
      <c r="Q35" s="6"/>
      <c r="R35" s="6"/>
      <c r="S35" s="4"/>
      <c r="T35" s="6"/>
      <c r="U35" s="13"/>
      <c r="V35" s="6"/>
      <c r="W35" s="5"/>
      <c r="X35" s="5"/>
      <c r="Y35" s="5"/>
      <c r="Z35" s="5"/>
    </row>
    <row r="36" spans="1:26" x14ac:dyDescent="0.25">
      <c r="A36" s="197"/>
      <c r="B36" s="197"/>
      <c r="C36" s="73" t="s">
        <v>93</v>
      </c>
      <c r="D36" s="209">
        <f>IF(A32="","",VLOOKUP(A32,'CAPACIDAD RESIDUAL'!$A$6:$D$304,4,FALSE))</f>
        <v>0.3</v>
      </c>
      <c r="E36" s="210"/>
      <c r="F36" s="211" t="str">
        <f>$C$70</f>
        <v>Saldo de los Contratos en Ejecución (SCE)</v>
      </c>
      <c r="G36" s="211"/>
      <c r="H36" s="211"/>
      <c r="I36" s="58">
        <f>N80</f>
        <v>0</v>
      </c>
      <c r="J36" s="191"/>
      <c r="K36" s="191"/>
      <c r="L36" s="191"/>
      <c r="M36" s="191"/>
      <c r="N36" s="191"/>
      <c r="O36" s="6"/>
      <c r="P36" s="6"/>
      <c r="Q36" s="6"/>
      <c r="R36" s="6"/>
      <c r="S36" s="4"/>
      <c r="T36" s="6"/>
      <c r="U36" s="13"/>
      <c r="V36" s="6"/>
      <c r="W36" s="5"/>
      <c r="X36" s="5"/>
      <c r="Y36" s="5"/>
      <c r="Z36" s="5"/>
    </row>
    <row r="37" spans="1:26" outlineLevel="1" x14ac:dyDescent="0.25">
      <c r="A37" s="14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4"/>
      <c r="T37" s="6"/>
      <c r="U37" s="6"/>
      <c r="V37" s="6"/>
      <c r="W37" s="5"/>
      <c r="X37" s="5"/>
      <c r="Y37" s="5"/>
      <c r="Z37" s="5"/>
    </row>
    <row r="38" spans="1:26" ht="12" customHeight="1" outlineLevel="1" x14ac:dyDescent="0.25">
      <c r="A38" s="44"/>
      <c r="C38" s="219" t="s">
        <v>34</v>
      </c>
      <c r="D38" s="160"/>
      <c r="E38" s="160"/>
      <c r="F38" s="160"/>
      <c r="G38" s="160"/>
      <c r="H38" s="160"/>
      <c r="I38" s="220" t="s">
        <v>35</v>
      </c>
      <c r="J38" s="160"/>
      <c r="K38" s="220" t="s">
        <v>36</v>
      </c>
      <c r="L38" s="220"/>
      <c r="M38" s="160"/>
      <c r="N38" s="160"/>
      <c r="O38" s="16"/>
      <c r="P38" s="16"/>
      <c r="Q38" s="16"/>
      <c r="R38" s="16"/>
      <c r="S38" s="4"/>
      <c r="T38" s="6"/>
      <c r="U38" s="6"/>
      <c r="V38" s="6"/>
      <c r="W38" s="5"/>
      <c r="X38" s="5"/>
      <c r="Y38" s="5"/>
      <c r="Z38" s="5"/>
    </row>
    <row r="39" spans="1:26" ht="12.75" customHeight="1" outlineLevel="1" x14ac:dyDescent="0.25">
      <c r="A39" s="17"/>
      <c r="B39" s="6"/>
      <c r="C39" s="161" t="s">
        <v>37</v>
      </c>
      <c r="D39" s="160"/>
      <c r="E39" s="160"/>
      <c r="F39" s="160"/>
      <c r="G39" s="221" t="s">
        <v>27</v>
      </c>
      <c r="H39" s="160"/>
      <c r="I39" s="214" t="s">
        <v>38</v>
      </c>
      <c r="J39" s="160"/>
      <c r="K39" s="214" t="s">
        <v>39</v>
      </c>
      <c r="L39" s="214"/>
      <c r="M39" s="160"/>
      <c r="N39" s="160"/>
      <c r="O39" s="16"/>
      <c r="P39" s="16"/>
      <c r="Q39" s="16"/>
      <c r="R39" s="16"/>
      <c r="S39" s="4"/>
      <c r="T39" s="6"/>
      <c r="U39" s="6"/>
      <c r="V39" s="6"/>
      <c r="W39" s="5"/>
      <c r="X39" s="5"/>
      <c r="Y39" s="5"/>
      <c r="Z39" s="5"/>
    </row>
    <row r="40" spans="1:26" ht="27" customHeight="1" outlineLevel="1" x14ac:dyDescent="0.25">
      <c r="A40" s="17"/>
      <c r="B40" s="6"/>
      <c r="C40" s="161" t="s">
        <v>40</v>
      </c>
      <c r="D40" s="160"/>
      <c r="E40" s="160"/>
      <c r="F40" s="160"/>
      <c r="G40" s="212">
        <v>2021</v>
      </c>
      <c r="H40" s="213"/>
      <c r="I40" s="214" t="s">
        <v>41</v>
      </c>
      <c r="J40" s="160"/>
      <c r="K40" s="214" t="s">
        <v>42</v>
      </c>
      <c r="L40" s="214"/>
      <c r="M40" s="160"/>
      <c r="N40" s="160"/>
      <c r="O40" s="16"/>
      <c r="P40" s="16"/>
      <c r="Q40" s="16"/>
      <c r="R40" s="16"/>
      <c r="S40" s="4"/>
      <c r="T40" s="6"/>
      <c r="U40" s="6"/>
      <c r="V40" s="6"/>
      <c r="W40" s="5"/>
      <c r="X40" s="5"/>
      <c r="Y40" s="5"/>
      <c r="Z40" s="5"/>
    </row>
    <row r="41" spans="1:26" ht="12.75" customHeight="1" outlineLevel="1" x14ac:dyDescent="0.25">
      <c r="A41" s="17"/>
      <c r="B41" s="6"/>
      <c r="C41" s="159" t="str">
        <f>IF(G39="","",IF(G39=$S$5,"Valor umbral Mipyme.","Total Ingresos Operacionales Acreditados"))</f>
        <v>Total Ingresos Operacionales Acreditados</v>
      </c>
      <c r="D41" s="160"/>
      <c r="E41" s="160"/>
      <c r="F41" s="160"/>
      <c r="G41" s="215">
        <v>2320445678</v>
      </c>
      <c r="H41" s="216"/>
      <c r="I41" s="214" t="s">
        <v>43</v>
      </c>
      <c r="J41" s="160"/>
      <c r="K41" s="18" t="s">
        <v>44</v>
      </c>
      <c r="L41" s="18"/>
      <c r="M41" s="217">
        <v>457297264</v>
      </c>
      <c r="N41" s="218"/>
      <c r="O41" s="16"/>
      <c r="P41" s="16"/>
      <c r="Q41" s="16"/>
      <c r="R41" s="16"/>
      <c r="S41" s="4"/>
      <c r="T41" s="6"/>
      <c r="U41" s="6"/>
      <c r="V41" s="6"/>
      <c r="W41" s="5"/>
      <c r="X41" s="5"/>
      <c r="Y41" s="5"/>
      <c r="Z41" s="5"/>
    </row>
    <row r="42" spans="1:26" ht="12.75" customHeight="1" outlineLevel="1" x14ac:dyDescent="0.25">
      <c r="A42" s="17"/>
      <c r="B42" s="6"/>
      <c r="C42" s="162" t="s">
        <v>45</v>
      </c>
      <c r="D42" s="160"/>
      <c r="E42" s="160"/>
      <c r="F42" s="160"/>
      <c r="G42" s="160"/>
      <c r="H42" s="160"/>
      <c r="I42" s="19"/>
      <c r="J42" s="19"/>
      <c r="K42" s="20"/>
      <c r="L42" s="20"/>
      <c r="M42" s="21"/>
      <c r="N42" s="21"/>
      <c r="O42" s="21"/>
      <c r="P42" s="21"/>
      <c r="Q42" s="21"/>
      <c r="R42" s="21"/>
      <c r="S42" s="4"/>
      <c r="T42" s="6"/>
      <c r="U42" s="6"/>
      <c r="V42" s="6"/>
      <c r="W42" s="5"/>
      <c r="X42" s="5"/>
      <c r="Y42" s="5"/>
      <c r="Z42" s="5"/>
    </row>
    <row r="43" spans="1:26" outlineLevel="1" x14ac:dyDescent="0.25">
      <c r="A43" s="17"/>
      <c r="B43" s="6"/>
      <c r="C43" s="69" t="s">
        <v>46</v>
      </c>
      <c r="D43" s="225" t="s">
        <v>188</v>
      </c>
      <c r="E43" s="160"/>
      <c r="F43" s="226" t="s">
        <v>47</v>
      </c>
      <c r="G43" s="160"/>
      <c r="H43" s="72" t="s">
        <v>87</v>
      </c>
      <c r="I43" s="19"/>
      <c r="J43" s="19"/>
      <c r="K43" s="20"/>
      <c r="L43" s="20"/>
      <c r="M43" s="21"/>
      <c r="N43" s="21"/>
      <c r="O43" s="21"/>
      <c r="P43" s="21"/>
      <c r="Q43" s="21"/>
      <c r="R43" s="21"/>
      <c r="S43" s="4"/>
      <c r="T43" s="6"/>
      <c r="U43" s="6"/>
      <c r="V43" s="6"/>
      <c r="W43" s="5"/>
      <c r="X43" s="5"/>
      <c r="Y43" s="5"/>
      <c r="Z43" s="5"/>
    </row>
    <row r="44" spans="1:26" outlineLevel="1" x14ac:dyDescent="0.25">
      <c r="A44" s="17"/>
      <c r="B44" s="6"/>
      <c r="C44" s="69" t="s">
        <v>48</v>
      </c>
      <c r="D44" s="225" t="s">
        <v>189</v>
      </c>
      <c r="E44" s="160"/>
      <c r="F44" s="226" t="s">
        <v>47</v>
      </c>
      <c r="G44" s="160"/>
      <c r="H44" s="72" t="s">
        <v>87</v>
      </c>
      <c r="I44" s="19"/>
      <c r="J44" s="19"/>
      <c r="K44" s="20"/>
      <c r="L44" s="20"/>
      <c r="M44" s="21"/>
      <c r="N44" s="21"/>
      <c r="O44" s="21"/>
      <c r="P44" s="21"/>
      <c r="Q44" s="21"/>
      <c r="R44" s="21"/>
      <c r="S44" s="4"/>
      <c r="T44" s="6"/>
      <c r="U44" s="6"/>
      <c r="V44" s="6"/>
      <c r="W44" s="5"/>
      <c r="X44" s="5"/>
      <c r="Y44" s="5"/>
      <c r="Z44" s="5"/>
    </row>
    <row r="45" spans="1:26" ht="13.5" customHeight="1" outlineLevel="1" x14ac:dyDescent="0.25">
      <c r="A45" s="17"/>
      <c r="B45" s="6"/>
      <c r="C45" s="69" t="s">
        <v>49</v>
      </c>
      <c r="D45" s="69"/>
      <c r="E45" s="69"/>
      <c r="F45" s="69"/>
      <c r="G45" s="227">
        <f>IF(OR(H43="SIN VIGENCIA",H43="NO APORTA",H44="SIN VIGENCIA",H44="NO APORTA"),0,IF(G39="",0,IF(G39=$S$5,M41,IF(G41&lt;M41,M41,G41))))</f>
        <v>2320445678</v>
      </c>
      <c r="H45" s="228"/>
      <c r="I45" s="5"/>
      <c r="J45" s="5"/>
      <c r="K45" s="5"/>
      <c r="L45" s="5"/>
      <c r="M45" s="5"/>
      <c r="N45" s="5"/>
      <c r="O45" s="5"/>
      <c r="P45" s="5"/>
      <c r="Q45" s="5"/>
      <c r="R45" s="5"/>
      <c r="S45" s="4"/>
      <c r="T45" s="6"/>
      <c r="U45" s="6"/>
      <c r="V45" s="6"/>
      <c r="W45" s="5"/>
      <c r="X45" s="5"/>
      <c r="Y45" s="5"/>
      <c r="Z45" s="5"/>
    </row>
    <row r="46" spans="1:26" ht="5.25" customHeight="1" outlineLevel="1" x14ac:dyDescent="0.25">
      <c r="A46" s="14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4"/>
      <c r="T46" s="6"/>
      <c r="U46" s="6"/>
      <c r="V46" s="6"/>
      <c r="W46" s="5"/>
      <c r="X46" s="5"/>
      <c r="Y46" s="5"/>
      <c r="Z46" s="5"/>
    </row>
    <row r="47" spans="1:26" ht="12" customHeight="1" outlineLevel="1" x14ac:dyDescent="0.25">
      <c r="A47" s="17"/>
      <c r="B47" s="6"/>
      <c r="C47" s="222" t="s">
        <v>26</v>
      </c>
      <c r="D47" s="160"/>
      <c r="E47" s="160"/>
      <c r="F47" s="160"/>
      <c r="G47" s="160"/>
      <c r="H47" s="160"/>
      <c r="I47" s="7" t="s">
        <v>50</v>
      </c>
      <c r="J47" s="7" t="s">
        <v>51</v>
      </c>
      <c r="K47" s="7" t="s">
        <v>52</v>
      </c>
      <c r="L47" s="6"/>
      <c r="M47" s="5"/>
      <c r="N47" s="5"/>
      <c r="O47" s="5"/>
      <c r="P47" s="5"/>
      <c r="Q47" s="5"/>
      <c r="R47" s="5"/>
      <c r="S47" s="4"/>
      <c r="T47" s="6"/>
      <c r="U47" s="6"/>
      <c r="V47" s="6"/>
      <c r="W47" s="6"/>
      <c r="X47" s="5"/>
      <c r="Y47" s="5"/>
      <c r="Z47" s="5"/>
    </row>
    <row r="48" spans="1:26" ht="12" customHeight="1" outlineLevel="1" x14ac:dyDescent="0.25">
      <c r="A48" s="17"/>
      <c r="B48" s="6"/>
      <c r="C48" s="161" t="s">
        <v>53</v>
      </c>
      <c r="D48" s="160"/>
      <c r="E48" s="160"/>
      <c r="F48" s="160"/>
      <c r="G48" s="223">
        <f>D36</f>
        <v>0.3</v>
      </c>
      <c r="H48" s="160"/>
      <c r="I48" s="70">
        <v>0</v>
      </c>
      <c r="J48" s="70">
        <v>3</v>
      </c>
      <c r="K48" s="70">
        <v>60</v>
      </c>
      <c r="L48" s="4"/>
      <c r="M48" s="5"/>
      <c r="N48" s="5"/>
      <c r="O48" s="5"/>
      <c r="P48" s="5"/>
      <c r="Q48" s="5"/>
      <c r="R48" s="5"/>
      <c r="S48" s="4"/>
      <c r="T48" s="6"/>
      <c r="U48" s="6"/>
      <c r="V48" s="6"/>
      <c r="W48" s="6"/>
      <c r="X48" s="5"/>
      <c r="Y48" s="5"/>
      <c r="Z48" s="5"/>
    </row>
    <row r="49" spans="1:26" ht="12" customHeight="1" outlineLevel="1" x14ac:dyDescent="0.25">
      <c r="A49" s="17"/>
      <c r="B49" s="6"/>
      <c r="C49" s="161" t="s">
        <v>22</v>
      </c>
      <c r="D49" s="160"/>
      <c r="E49" s="160"/>
      <c r="F49" s="160"/>
      <c r="G49" s="224">
        <f>$E$5</f>
        <v>1169500932</v>
      </c>
      <c r="H49" s="216"/>
      <c r="I49" s="70">
        <v>3</v>
      </c>
      <c r="J49" s="70">
        <v>6</v>
      </c>
      <c r="K49" s="70">
        <v>80</v>
      </c>
      <c r="L49" s="4"/>
      <c r="M49" s="5"/>
      <c r="N49" s="5"/>
      <c r="O49" s="5"/>
      <c r="P49" s="5"/>
      <c r="Q49" s="5"/>
      <c r="R49" s="5"/>
      <c r="S49" s="4"/>
      <c r="T49" s="6"/>
      <c r="U49" s="6"/>
      <c r="V49" s="6"/>
      <c r="W49" s="6"/>
      <c r="X49" s="5"/>
      <c r="Y49" s="5"/>
      <c r="Z49" s="5"/>
    </row>
    <row r="50" spans="1:26" ht="12" customHeight="1" outlineLevel="1" x14ac:dyDescent="0.25">
      <c r="A50" s="17"/>
      <c r="B50" s="6"/>
      <c r="C50" s="162" t="s">
        <v>54</v>
      </c>
      <c r="D50" s="160"/>
      <c r="E50" s="160"/>
      <c r="F50" s="160"/>
      <c r="G50" s="160"/>
      <c r="H50" s="160"/>
      <c r="I50" s="70">
        <v>6</v>
      </c>
      <c r="J50" s="70">
        <v>10</v>
      </c>
      <c r="K50" s="70">
        <v>100</v>
      </c>
      <c r="L50" s="4"/>
      <c r="M50" s="5"/>
      <c r="N50" s="5"/>
      <c r="O50" s="5"/>
      <c r="P50" s="5"/>
      <c r="Q50" s="5"/>
      <c r="R50" s="5"/>
      <c r="S50" s="4"/>
      <c r="T50" s="6"/>
      <c r="U50" s="6"/>
      <c r="V50" s="6"/>
      <c r="W50" s="6"/>
      <c r="X50" s="5"/>
      <c r="Y50" s="5"/>
      <c r="Z50" s="5"/>
    </row>
    <row r="51" spans="1:26" ht="15.75" customHeight="1" outlineLevel="1" x14ac:dyDescent="0.25">
      <c r="A51" s="17"/>
      <c r="B51" s="6"/>
      <c r="C51" s="161" t="s">
        <v>55</v>
      </c>
      <c r="D51" s="160"/>
      <c r="E51" s="160"/>
      <c r="F51" s="160"/>
      <c r="G51" s="166" t="s">
        <v>56</v>
      </c>
      <c r="H51" s="160"/>
      <c r="I51" s="70">
        <v>10</v>
      </c>
      <c r="J51" s="70" t="s">
        <v>57</v>
      </c>
      <c r="K51" s="70">
        <v>120</v>
      </c>
      <c r="L51" s="4"/>
      <c r="M51" s="5"/>
      <c r="N51" s="5"/>
      <c r="O51" s="5"/>
      <c r="P51" s="5"/>
      <c r="Q51" s="5"/>
      <c r="R51" s="5"/>
      <c r="S51" s="4"/>
      <c r="T51" s="6"/>
      <c r="U51" s="6"/>
      <c r="V51" s="6"/>
      <c r="W51" s="6"/>
      <c r="X51" s="5"/>
      <c r="Y51" s="5"/>
      <c r="Z51" s="5"/>
    </row>
    <row r="52" spans="1:26" ht="15" customHeight="1" outlineLevel="1" x14ac:dyDescent="0.25">
      <c r="A52" s="17"/>
      <c r="B52" s="6"/>
      <c r="C52" s="162" t="s">
        <v>58</v>
      </c>
      <c r="D52" s="160"/>
      <c r="E52" s="160"/>
      <c r="F52" s="160"/>
      <c r="G52" s="230">
        <v>37117030600</v>
      </c>
      <c r="H52" s="160"/>
      <c r="I52" s="5"/>
      <c r="J52" s="5"/>
      <c r="K52" s="5"/>
      <c r="L52" s="5"/>
      <c r="M52" s="5"/>
      <c r="N52" s="5"/>
      <c r="O52" s="5"/>
      <c r="P52" s="5"/>
      <c r="Q52" s="5"/>
      <c r="R52" s="5"/>
      <c r="S52" s="4"/>
      <c r="T52" s="6"/>
      <c r="U52" s="6"/>
      <c r="V52" s="6"/>
      <c r="W52" s="6"/>
      <c r="X52" s="5"/>
      <c r="Y52" s="5"/>
      <c r="Z52" s="5"/>
    </row>
    <row r="53" spans="1:26" ht="3" customHeight="1" outlineLevel="1" x14ac:dyDescent="0.25">
      <c r="A53" s="17"/>
      <c r="B53" s="6"/>
      <c r="C53" s="161"/>
      <c r="D53" s="160"/>
      <c r="E53" s="160"/>
      <c r="F53" s="160"/>
      <c r="G53" s="231"/>
      <c r="H53" s="160"/>
      <c r="I53" s="5"/>
      <c r="J53" s="5"/>
      <c r="K53" s="5"/>
      <c r="L53" s="5"/>
      <c r="M53" s="5"/>
      <c r="N53" s="5"/>
      <c r="O53" s="5"/>
      <c r="P53" s="5"/>
      <c r="Q53" s="5"/>
      <c r="R53" s="5"/>
      <c r="S53" s="4"/>
      <c r="T53" s="6"/>
      <c r="U53" s="6"/>
      <c r="V53" s="6"/>
      <c r="W53" s="6"/>
      <c r="X53" s="5"/>
      <c r="Y53" s="5"/>
      <c r="Z53" s="5"/>
    </row>
    <row r="54" spans="1:26" ht="13.5" customHeight="1" outlineLevel="1" x14ac:dyDescent="0.25">
      <c r="A54" s="17"/>
      <c r="B54" s="6"/>
      <c r="C54" s="159" t="s">
        <v>59</v>
      </c>
      <c r="D54" s="160"/>
      <c r="E54" s="160"/>
      <c r="F54" s="160"/>
      <c r="G54" s="229">
        <f>SUM(G51:H53)</f>
        <v>37117030600</v>
      </c>
      <c r="H54" s="160"/>
      <c r="I54" s="5"/>
      <c r="J54" s="5"/>
      <c r="K54" s="5"/>
      <c r="L54" s="5"/>
      <c r="M54" s="5"/>
      <c r="N54" s="5"/>
      <c r="O54" s="5"/>
      <c r="P54" s="5"/>
      <c r="Q54" s="5"/>
      <c r="R54" s="5"/>
      <c r="S54" s="4"/>
      <c r="T54" s="6"/>
      <c r="U54" s="6"/>
      <c r="V54" s="6"/>
      <c r="W54" s="6"/>
      <c r="X54" s="5"/>
      <c r="Y54" s="5"/>
      <c r="Z54" s="5"/>
    </row>
    <row r="55" spans="1:26" ht="12" customHeight="1" outlineLevel="1" x14ac:dyDescent="0.25">
      <c r="A55" s="17"/>
      <c r="B55" s="6"/>
      <c r="C55" s="159" t="s">
        <v>60</v>
      </c>
      <c r="D55" s="160"/>
      <c r="E55" s="160"/>
      <c r="F55" s="160"/>
      <c r="G55" s="160"/>
      <c r="H55" s="71">
        <f>IF(OR(G48="",G48=0,G54=0),0,G54/(G49*G48))</f>
        <v>105.79165176187594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4"/>
      <c r="T55" s="6"/>
      <c r="U55" s="6"/>
      <c r="V55" s="6"/>
      <c r="W55" s="6"/>
      <c r="X55" s="5"/>
      <c r="Y55" s="5"/>
      <c r="Z55" s="5"/>
    </row>
    <row r="56" spans="1:26" ht="13.5" customHeight="1" outlineLevel="1" x14ac:dyDescent="0.25">
      <c r="A56" s="17"/>
      <c r="B56" s="6"/>
      <c r="C56" s="159" t="s">
        <v>61</v>
      </c>
      <c r="D56" s="160"/>
      <c r="E56" s="160"/>
      <c r="F56" s="160"/>
      <c r="G56" s="160"/>
      <c r="H56" s="22">
        <f>IF(H55&lt;=J48,K48,IF(H55&lt;=J49,K49,IF(H55&lt;=J50,K50,K51)))</f>
        <v>120</v>
      </c>
      <c r="I56" s="5"/>
      <c r="J56" s="23"/>
      <c r="K56" s="5"/>
      <c r="L56" s="5"/>
      <c r="M56" s="5"/>
      <c r="N56" s="5"/>
      <c r="O56" s="5"/>
      <c r="P56" s="5"/>
      <c r="Q56" s="5"/>
      <c r="R56" s="5"/>
      <c r="S56" s="4"/>
      <c r="T56" s="6"/>
      <c r="U56" s="6"/>
      <c r="V56" s="6"/>
      <c r="W56" s="6"/>
      <c r="X56" s="5"/>
      <c r="Y56" s="5"/>
      <c r="Z56" s="5"/>
    </row>
    <row r="57" spans="1:26" ht="5.25" customHeight="1" outlineLevel="1" x14ac:dyDescent="0.25">
      <c r="A57" s="14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4"/>
      <c r="T57" s="6"/>
      <c r="U57" s="6"/>
      <c r="V57" s="6"/>
      <c r="W57" s="5"/>
      <c r="X57" s="5"/>
      <c r="Y57" s="5"/>
      <c r="Z57" s="5"/>
    </row>
    <row r="58" spans="1:26" ht="15" customHeight="1" outlineLevel="1" x14ac:dyDescent="0.25">
      <c r="A58" s="17"/>
      <c r="B58" s="6"/>
      <c r="C58" s="219" t="s">
        <v>62</v>
      </c>
      <c r="D58" s="160"/>
      <c r="E58" s="160"/>
      <c r="F58" s="160"/>
      <c r="G58" s="160"/>
      <c r="H58" s="160"/>
      <c r="I58" s="7" t="s">
        <v>63</v>
      </c>
      <c r="J58" s="7" t="s">
        <v>64</v>
      </c>
      <c r="K58" s="7" t="s">
        <v>52</v>
      </c>
      <c r="L58" s="6"/>
      <c r="M58" s="5"/>
      <c r="N58" s="5"/>
      <c r="O58" s="5"/>
      <c r="P58" s="5"/>
      <c r="Q58" s="5"/>
      <c r="R58" s="5"/>
      <c r="S58" s="4"/>
      <c r="T58" s="6"/>
      <c r="U58" s="6"/>
      <c r="V58" s="6"/>
      <c r="W58" s="6"/>
      <c r="X58" s="5"/>
      <c r="Y58" s="5"/>
      <c r="Z58" s="5"/>
    </row>
    <row r="59" spans="1:26" ht="12" customHeight="1" outlineLevel="1" x14ac:dyDescent="0.25">
      <c r="A59" s="17"/>
      <c r="B59" s="6"/>
      <c r="C59" s="159" t="s">
        <v>65</v>
      </c>
      <c r="D59" s="160"/>
      <c r="E59" s="160"/>
      <c r="F59" s="160"/>
      <c r="G59" s="160"/>
      <c r="H59" s="67">
        <f>VLOOKUP(A32,'CAPACIDAD FINANCIERA'!$A$6:$AK$308,5,FALSE)</f>
        <v>30990006</v>
      </c>
      <c r="I59" s="24">
        <v>0</v>
      </c>
      <c r="J59" s="24">
        <v>0.5</v>
      </c>
      <c r="K59" s="70">
        <v>20</v>
      </c>
      <c r="L59" s="4"/>
      <c r="M59" s="5"/>
      <c r="N59" s="5"/>
      <c r="O59" s="5"/>
      <c r="P59" s="5"/>
      <c r="Q59" s="5"/>
      <c r="R59" s="5"/>
      <c r="S59" s="4"/>
      <c r="T59" s="6"/>
      <c r="U59" s="6"/>
      <c r="V59" s="6"/>
      <c r="W59" s="6"/>
      <c r="X59" s="5"/>
      <c r="Y59" s="5"/>
      <c r="Z59" s="5"/>
    </row>
    <row r="60" spans="1:26" ht="12" customHeight="1" outlineLevel="1" x14ac:dyDescent="0.25">
      <c r="A60" s="17"/>
      <c r="B60" s="6"/>
      <c r="C60" s="159" t="s">
        <v>66</v>
      </c>
      <c r="D60" s="160"/>
      <c r="E60" s="160"/>
      <c r="F60" s="160"/>
      <c r="G60" s="160"/>
      <c r="H60" s="67">
        <f>VLOOKUP(A32,'CAPACIDAD FINANCIERA'!$A$6:$AK$308,7,FALSE)</f>
        <v>1854000</v>
      </c>
      <c r="I60" s="24">
        <v>0.5</v>
      </c>
      <c r="J60" s="24">
        <v>0.75</v>
      </c>
      <c r="K60" s="70">
        <v>25</v>
      </c>
      <c r="L60" s="4"/>
      <c r="M60" s="5"/>
      <c r="N60" s="5"/>
      <c r="O60" s="5"/>
      <c r="P60" s="5"/>
      <c r="Q60" s="5"/>
      <c r="R60" s="5"/>
      <c r="S60" s="4"/>
      <c r="T60" s="6"/>
      <c r="U60" s="6"/>
      <c r="V60" s="6"/>
      <c r="W60" s="6"/>
      <c r="X60" s="5"/>
      <c r="Y60" s="5"/>
      <c r="Z60" s="5"/>
    </row>
    <row r="61" spans="1:26" ht="12" customHeight="1" outlineLevel="1" x14ac:dyDescent="0.25">
      <c r="A61" s="17"/>
      <c r="B61" s="6"/>
      <c r="C61" s="159" t="s">
        <v>67</v>
      </c>
      <c r="D61" s="160"/>
      <c r="E61" s="160"/>
      <c r="F61" s="160"/>
      <c r="G61" s="160"/>
      <c r="H61" s="71">
        <f>ROUND(IF(H59="",0,H59/H60),2)</f>
        <v>16.72</v>
      </c>
      <c r="I61" s="24">
        <v>0.75</v>
      </c>
      <c r="J61" s="24">
        <v>1</v>
      </c>
      <c r="K61" s="70">
        <v>30</v>
      </c>
      <c r="L61" s="4"/>
      <c r="M61" s="5"/>
      <c r="N61" s="5"/>
      <c r="O61" s="5"/>
      <c r="P61" s="5"/>
      <c r="Q61" s="5"/>
      <c r="R61" s="5"/>
      <c r="S61" s="4"/>
      <c r="T61" s="6"/>
      <c r="U61" s="6"/>
      <c r="V61" s="6"/>
      <c r="W61" s="6"/>
      <c r="X61" s="5"/>
      <c r="Y61" s="5"/>
      <c r="Z61" s="5"/>
    </row>
    <row r="62" spans="1:26" ht="13.5" customHeight="1" outlineLevel="1" x14ac:dyDescent="0.25">
      <c r="A62" s="17"/>
      <c r="B62" s="6"/>
      <c r="C62" s="159" t="s">
        <v>68</v>
      </c>
      <c r="D62" s="160"/>
      <c r="E62" s="160"/>
      <c r="F62" s="160"/>
      <c r="G62" s="160"/>
      <c r="H62" s="22">
        <f>IF(H61="",0,IF(H61&lt;J59,K59,IF(H61&lt;J60,K60,IF(H61&lt;J61,K61,IF(H61&lt;J62,K62,K63)))))</f>
        <v>40</v>
      </c>
      <c r="I62" s="24">
        <v>1</v>
      </c>
      <c r="J62" s="24">
        <v>1.5</v>
      </c>
      <c r="K62" s="70">
        <v>35</v>
      </c>
      <c r="L62" s="4"/>
      <c r="M62" s="5"/>
      <c r="N62" s="5"/>
      <c r="O62" s="5"/>
      <c r="P62" s="5"/>
      <c r="Q62" s="5"/>
      <c r="R62" s="5"/>
      <c r="S62" s="4"/>
      <c r="T62" s="6"/>
      <c r="U62" s="6"/>
      <c r="V62" s="6"/>
      <c r="W62" s="6"/>
      <c r="X62" s="5"/>
      <c r="Y62" s="5"/>
      <c r="Z62" s="5"/>
    </row>
    <row r="63" spans="1:26" ht="12" customHeight="1" outlineLevel="1" x14ac:dyDescent="0.25">
      <c r="A63" s="17"/>
      <c r="B63" s="6"/>
      <c r="C63" s="5"/>
      <c r="D63" s="5"/>
      <c r="E63" s="5"/>
      <c r="F63" s="5"/>
      <c r="G63" s="5"/>
      <c r="H63" s="5"/>
      <c r="I63" s="24">
        <v>1.5</v>
      </c>
      <c r="J63" s="24" t="s">
        <v>57</v>
      </c>
      <c r="K63" s="70">
        <v>40</v>
      </c>
      <c r="L63" s="4"/>
      <c r="M63" s="5"/>
      <c r="N63" s="5"/>
      <c r="O63" s="5"/>
      <c r="P63" s="5"/>
      <c r="Q63" s="5"/>
      <c r="R63" s="5"/>
      <c r="S63" s="4"/>
      <c r="T63" s="6"/>
      <c r="U63" s="6"/>
      <c r="V63" s="6"/>
      <c r="W63" s="6"/>
      <c r="X63" s="5"/>
      <c r="Y63" s="5"/>
      <c r="Z63" s="5"/>
    </row>
    <row r="64" spans="1:26" ht="5.25" customHeight="1" outlineLevel="1" x14ac:dyDescent="0.25">
      <c r="A64" s="14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4"/>
      <c r="T64" s="6"/>
      <c r="U64" s="6"/>
      <c r="V64" s="6"/>
      <c r="W64" s="5"/>
      <c r="X64" s="5"/>
      <c r="Y64" s="5"/>
      <c r="Z64" s="5"/>
    </row>
    <row r="65" spans="1:26" ht="12" customHeight="1" outlineLevel="1" x14ac:dyDescent="0.25">
      <c r="A65" s="17"/>
      <c r="B65" s="6"/>
      <c r="C65" s="219" t="s">
        <v>69</v>
      </c>
      <c r="D65" s="160"/>
      <c r="E65" s="160"/>
      <c r="F65" s="160"/>
      <c r="G65" s="160"/>
      <c r="H65" s="160"/>
      <c r="I65" s="7" t="s">
        <v>70</v>
      </c>
      <c r="J65" s="7" t="s">
        <v>71</v>
      </c>
      <c r="K65" s="7" t="s">
        <v>52</v>
      </c>
      <c r="L65" s="6"/>
      <c r="M65" s="5"/>
      <c r="N65" s="5"/>
      <c r="O65" s="5"/>
      <c r="P65" s="5"/>
      <c r="Q65" s="5"/>
      <c r="R65" s="5"/>
      <c r="S65" s="4"/>
      <c r="T65" s="6"/>
      <c r="U65" s="6"/>
      <c r="V65" s="6"/>
      <c r="W65" s="6"/>
      <c r="X65" s="5"/>
      <c r="Y65" s="5"/>
      <c r="Z65" s="5"/>
    </row>
    <row r="66" spans="1:26" ht="12.75" customHeight="1" outlineLevel="1" x14ac:dyDescent="0.25">
      <c r="A66" s="17"/>
      <c r="B66" s="6"/>
      <c r="C66" s="159" t="s">
        <v>72</v>
      </c>
      <c r="D66" s="160"/>
      <c r="E66" s="160"/>
      <c r="F66" s="160"/>
      <c r="G66" s="160"/>
      <c r="H66" s="25">
        <v>11</v>
      </c>
      <c r="I66" s="26">
        <v>1</v>
      </c>
      <c r="J66" s="26">
        <v>5</v>
      </c>
      <c r="K66" s="70">
        <v>20</v>
      </c>
      <c r="L66" s="4"/>
      <c r="M66" s="5"/>
      <c r="N66" s="5"/>
      <c r="O66" s="5"/>
      <c r="P66" s="5"/>
      <c r="Q66" s="5"/>
      <c r="R66" s="5"/>
      <c r="S66" s="4"/>
      <c r="T66" s="6"/>
      <c r="U66" s="6"/>
      <c r="V66" s="6"/>
      <c r="W66" s="6"/>
      <c r="X66" s="5"/>
      <c r="Y66" s="5"/>
      <c r="Z66" s="5"/>
    </row>
    <row r="67" spans="1:26" ht="13.5" customHeight="1" outlineLevel="1" x14ac:dyDescent="0.25">
      <c r="A67" s="17"/>
      <c r="B67" s="6"/>
      <c r="C67" s="159" t="s">
        <v>73</v>
      </c>
      <c r="D67" s="160"/>
      <c r="E67" s="160"/>
      <c r="F67" s="160"/>
      <c r="G67" s="160"/>
      <c r="H67" s="22">
        <f>IF(H66&lt;I66,0,IF(H66&lt;=J66,K66,IF(H66&lt;=J67,K67,K68)))</f>
        <v>40</v>
      </c>
      <c r="I67" s="26">
        <v>6</v>
      </c>
      <c r="J67" s="26">
        <v>10</v>
      </c>
      <c r="K67" s="70">
        <v>30</v>
      </c>
      <c r="L67" s="4"/>
      <c r="M67" s="5"/>
      <c r="N67" s="5"/>
      <c r="O67" s="5"/>
      <c r="P67" s="5"/>
      <c r="Q67" s="5"/>
      <c r="R67" s="5"/>
      <c r="S67" s="4"/>
      <c r="T67" s="6"/>
      <c r="U67" s="6"/>
      <c r="V67" s="6"/>
      <c r="W67" s="6"/>
      <c r="X67" s="5"/>
      <c r="Y67" s="5"/>
      <c r="Z67" s="5"/>
    </row>
    <row r="68" spans="1:26" ht="13.5" customHeight="1" outlineLevel="1" x14ac:dyDescent="0.25">
      <c r="A68" s="17"/>
      <c r="B68" s="6"/>
      <c r="C68" s="5"/>
      <c r="D68" s="5"/>
      <c r="E68" s="5"/>
      <c r="F68" s="5"/>
      <c r="G68" s="5"/>
      <c r="H68" s="5"/>
      <c r="I68" s="26">
        <v>11</v>
      </c>
      <c r="J68" s="24" t="s">
        <v>57</v>
      </c>
      <c r="K68" s="70">
        <v>40</v>
      </c>
      <c r="L68" s="4"/>
      <c r="M68" s="5"/>
      <c r="N68" s="5"/>
      <c r="O68" s="5"/>
      <c r="P68" s="5"/>
      <c r="Q68" s="5"/>
      <c r="R68" s="5"/>
      <c r="S68" s="4"/>
      <c r="T68" s="6"/>
      <c r="U68" s="6"/>
      <c r="V68" s="6"/>
      <c r="W68" s="6"/>
      <c r="X68" s="5"/>
      <c r="Y68" s="5"/>
      <c r="Z68" s="5"/>
    </row>
    <row r="69" spans="1:26" ht="5.25" customHeight="1" outlineLevel="1" x14ac:dyDescent="0.25">
      <c r="A69" s="14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4"/>
      <c r="T69" s="6"/>
      <c r="U69" s="6"/>
      <c r="V69" s="6"/>
      <c r="W69" s="5"/>
      <c r="X69" s="5"/>
      <c r="Y69" s="5"/>
      <c r="Z69" s="5"/>
    </row>
    <row r="70" spans="1:26" ht="15.75" customHeight="1" outlineLevel="1" x14ac:dyDescent="0.25">
      <c r="A70" s="17"/>
      <c r="B70" s="6"/>
      <c r="C70" s="222" t="s">
        <v>74</v>
      </c>
      <c r="D70" s="160"/>
      <c r="E70" s="160"/>
      <c r="F70" s="160"/>
      <c r="G70" s="160"/>
      <c r="H70" s="160"/>
      <c r="I70" s="160"/>
      <c r="J70" s="160"/>
      <c r="K70" s="160"/>
      <c r="L70" s="160"/>
      <c r="M70" s="160"/>
      <c r="N70" s="160"/>
      <c r="O70" s="16"/>
      <c r="P70" s="16"/>
      <c r="Q70" s="16"/>
      <c r="R70" s="16"/>
      <c r="S70" s="4"/>
      <c r="T70" s="6"/>
      <c r="U70" s="6"/>
      <c r="V70" s="6"/>
      <c r="W70" s="6"/>
      <c r="X70" s="5"/>
      <c r="Y70" s="5"/>
      <c r="Z70" s="5"/>
    </row>
    <row r="71" spans="1:26" ht="12.75" customHeight="1" outlineLevel="1" x14ac:dyDescent="0.25">
      <c r="A71" s="27"/>
      <c r="B71" s="28"/>
      <c r="C71" s="162" t="s">
        <v>75</v>
      </c>
      <c r="D71" s="160"/>
      <c r="E71" s="160"/>
      <c r="F71" s="160"/>
      <c r="G71" s="160"/>
      <c r="H71" s="160"/>
      <c r="I71" s="160"/>
      <c r="J71" s="160"/>
      <c r="K71" s="160"/>
      <c r="L71" s="160"/>
      <c r="M71" s="160"/>
      <c r="N71" s="160"/>
      <c r="O71" s="16"/>
      <c r="P71" s="16"/>
      <c r="Q71" s="16"/>
      <c r="R71" s="16"/>
      <c r="S71" s="4"/>
      <c r="T71" s="6"/>
      <c r="U71" s="1"/>
      <c r="V71" s="1"/>
      <c r="W71" s="1"/>
      <c r="X71" s="1"/>
      <c r="Y71" s="1"/>
      <c r="Z71" s="1"/>
    </row>
    <row r="72" spans="1:26" ht="48" outlineLevel="1" x14ac:dyDescent="0.25">
      <c r="A72" s="29"/>
      <c r="B72" s="28"/>
      <c r="C72" s="69" t="s">
        <v>76</v>
      </c>
      <c r="D72" s="70" t="s">
        <v>77</v>
      </c>
      <c r="E72" s="70" t="s">
        <v>56</v>
      </c>
      <c r="F72" s="70" t="s">
        <v>78</v>
      </c>
      <c r="G72" s="30" t="s">
        <v>123</v>
      </c>
      <c r="H72" s="70" t="s">
        <v>80</v>
      </c>
      <c r="I72" s="70" t="s">
        <v>81</v>
      </c>
      <c r="J72" s="70" t="s">
        <v>82</v>
      </c>
      <c r="K72" s="70" t="s">
        <v>83</v>
      </c>
      <c r="L72" s="30" t="s">
        <v>204</v>
      </c>
      <c r="M72" s="30" t="s">
        <v>84</v>
      </c>
      <c r="N72" s="70" t="s">
        <v>85</v>
      </c>
      <c r="O72" s="4"/>
      <c r="P72" s="4"/>
      <c r="Q72" s="4"/>
      <c r="R72" s="4"/>
      <c r="S72" s="4"/>
      <c r="T72" s="6"/>
      <c r="U72" s="1"/>
      <c r="V72" s="1"/>
      <c r="W72" s="1"/>
      <c r="X72" s="1"/>
      <c r="Y72" s="1"/>
      <c r="Z72" s="1"/>
    </row>
    <row r="73" spans="1:26" ht="12" hidden="1" customHeight="1" outlineLevel="1" x14ac:dyDescent="0.25">
      <c r="A73" s="29"/>
      <c r="B73" s="28"/>
      <c r="C73" s="69"/>
      <c r="D73" s="70"/>
      <c r="E73" s="70"/>
      <c r="F73" s="70"/>
      <c r="G73" s="70"/>
      <c r="H73" s="70"/>
      <c r="I73" s="70"/>
      <c r="J73" s="70"/>
      <c r="K73" s="70"/>
      <c r="L73" s="70"/>
      <c r="M73" s="30"/>
      <c r="N73" s="70"/>
      <c r="O73" s="4"/>
      <c r="P73" s="4"/>
      <c r="Q73" s="4"/>
      <c r="R73" s="4"/>
      <c r="S73" s="4"/>
      <c r="T73" s="6"/>
      <c r="U73" s="1"/>
      <c r="V73" s="1"/>
      <c r="W73" s="1"/>
      <c r="X73" s="1"/>
      <c r="Y73" s="1"/>
      <c r="Z73" s="1"/>
    </row>
    <row r="74" spans="1:26" outlineLevel="1" x14ac:dyDescent="0.25">
      <c r="A74" s="29"/>
      <c r="B74" s="28"/>
      <c r="C74" s="72"/>
      <c r="D74" s="31"/>
      <c r="E74" s="57"/>
      <c r="F74" s="56"/>
      <c r="G74" s="34"/>
      <c r="H74" s="35"/>
      <c r="I74" s="35"/>
      <c r="J74" s="35"/>
      <c r="K74" s="35"/>
      <c r="L74" s="35"/>
      <c r="M74" s="24" t="str">
        <f t="shared" ref="M74:M78" si="0">IF(C74="","",IF(IF(H74&lt;&gt;"",IF(I74&lt;&gt;"",IF(J74&lt;&gt;"",IF(K74&lt;&gt;"",G74+F74*30+(I74-H74)+(K74-J74)-$E$6,G74+F74*30+(I74-H74)-J74),G74+F74*30+(I74-H74)-$E$6),G74+F74*30-H74),G74+F74*30-$E$6)&lt;0,0,IF(H74&lt;&gt;"",IF(I74&lt;&gt;"",IF(J74&lt;&gt;"",IF(K74&lt;&gt;"",G74+F74*30+(I74-H74)+(K74-J74)-$E$6,G74+F74*30+(I74-H74)-J74),G74+F74*30+(I74-H74)-$E$6),G74+F74*30-H74),G74+F74*30-$E$6)))</f>
        <v/>
      </c>
      <c r="N74" s="65" t="str">
        <f t="shared" ref="N74:N78" si="1">IF(L74="",IF(C74="","",IF(M74&lt;360,D74*E74*M74/(F74*30),D74*E74*360/(F74*30))),IF(C74="","",IF(M74&lt;360,D74*L74*M74/(F74*30),D74*L74*360/(F74*30))))</f>
        <v/>
      </c>
      <c r="O74" s="21"/>
      <c r="P74" s="21"/>
      <c r="Q74" s="21"/>
      <c r="R74" s="21"/>
      <c r="S74" s="4"/>
      <c r="T74" s="6"/>
      <c r="U74" s="1"/>
      <c r="V74" s="1"/>
      <c r="W74" s="1"/>
      <c r="X74" s="1"/>
      <c r="Y74" s="1"/>
      <c r="Z74" s="1"/>
    </row>
    <row r="75" spans="1:26" outlineLevel="1" x14ac:dyDescent="0.25">
      <c r="A75" s="29"/>
      <c r="B75" s="28"/>
      <c r="C75" s="72"/>
      <c r="D75" s="31"/>
      <c r="E75" s="57"/>
      <c r="F75" s="56"/>
      <c r="G75" s="34"/>
      <c r="H75" s="35"/>
      <c r="I75" s="35"/>
      <c r="J75" s="35"/>
      <c r="K75" s="35"/>
      <c r="L75" s="35"/>
      <c r="M75" s="24" t="str">
        <f t="shared" si="0"/>
        <v/>
      </c>
      <c r="N75" s="65" t="str">
        <f t="shared" si="1"/>
        <v/>
      </c>
      <c r="O75" s="21"/>
      <c r="P75" s="21"/>
      <c r="Q75" s="21"/>
      <c r="R75" s="21"/>
      <c r="S75" s="4"/>
      <c r="T75" s="6"/>
      <c r="U75" s="1"/>
      <c r="V75" s="1"/>
      <c r="W75" s="1"/>
      <c r="X75" s="1"/>
      <c r="Y75" s="1"/>
      <c r="Z75" s="1"/>
    </row>
    <row r="76" spans="1:26" outlineLevel="1" x14ac:dyDescent="0.25">
      <c r="A76" s="29"/>
      <c r="B76" s="28"/>
      <c r="C76" s="72"/>
      <c r="D76" s="31"/>
      <c r="E76" s="57"/>
      <c r="F76" s="56"/>
      <c r="G76" s="34"/>
      <c r="H76" s="35"/>
      <c r="I76" s="35"/>
      <c r="J76" s="35"/>
      <c r="K76" s="35"/>
      <c r="L76" s="35"/>
      <c r="M76" s="24" t="str">
        <f t="shared" si="0"/>
        <v/>
      </c>
      <c r="N76" s="65" t="str">
        <f t="shared" si="1"/>
        <v/>
      </c>
      <c r="O76" s="21"/>
      <c r="P76" s="21"/>
      <c r="Q76" s="21"/>
      <c r="R76" s="21"/>
      <c r="S76" s="4"/>
      <c r="T76" s="6"/>
      <c r="U76" s="1"/>
      <c r="V76" s="1"/>
      <c r="W76" s="1"/>
      <c r="X76" s="1"/>
      <c r="Y76" s="1"/>
      <c r="Z76" s="1"/>
    </row>
    <row r="77" spans="1:26" outlineLevel="1" x14ac:dyDescent="0.25">
      <c r="A77" s="29"/>
      <c r="B77" s="28"/>
      <c r="C77" s="72"/>
      <c r="D77" s="31"/>
      <c r="E77" s="57"/>
      <c r="F77" s="56"/>
      <c r="G77" s="34"/>
      <c r="H77" s="35"/>
      <c r="I77" s="35"/>
      <c r="J77" s="35"/>
      <c r="K77" s="35"/>
      <c r="L77" s="35"/>
      <c r="M77" s="24" t="str">
        <f t="shared" si="0"/>
        <v/>
      </c>
      <c r="N77" s="65" t="str">
        <f t="shared" si="1"/>
        <v/>
      </c>
      <c r="O77" s="21"/>
      <c r="P77" s="21"/>
      <c r="Q77" s="21"/>
      <c r="R77" s="21"/>
      <c r="S77" s="4"/>
      <c r="T77" s="6"/>
      <c r="U77" s="1"/>
      <c r="V77" s="1"/>
      <c r="W77" s="1"/>
      <c r="X77" s="1"/>
      <c r="Y77" s="1"/>
      <c r="Z77" s="1"/>
    </row>
    <row r="78" spans="1:26" outlineLevel="1" x14ac:dyDescent="0.25">
      <c r="A78" s="29"/>
      <c r="B78" s="28"/>
      <c r="C78" s="72"/>
      <c r="D78" s="31"/>
      <c r="E78" s="57"/>
      <c r="F78" s="56"/>
      <c r="G78" s="34"/>
      <c r="H78" s="35"/>
      <c r="I78" s="35"/>
      <c r="J78" s="35"/>
      <c r="K78" s="35"/>
      <c r="L78" s="35"/>
      <c r="M78" s="24" t="str">
        <f t="shared" si="0"/>
        <v/>
      </c>
      <c r="N78" s="65" t="str">
        <f t="shared" si="1"/>
        <v/>
      </c>
      <c r="O78" s="21"/>
      <c r="P78" s="21"/>
      <c r="Q78" s="21"/>
      <c r="R78" s="21"/>
      <c r="S78" s="4"/>
      <c r="T78" s="6"/>
      <c r="U78" s="1"/>
      <c r="V78" s="1"/>
      <c r="W78" s="1"/>
      <c r="X78" s="1"/>
      <c r="Y78" s="1"/>
      <c r="Z78" s="1"/>
    </row>
    <row r="79" spans="1:26" ht="12" hidden="1" customHeight="1" outlineLevel="1" x14ac:dyDescent="0.25">
      <c r="A79" s="29"/>
      <c r="B79" s="28"/>
      <c r="C79" s="72"/>
      <c r="D79" s="31"/>
      <c r="E79" s="32"/>
      <c r="F79" s="33"/>
      <c r="G79" s="34"/>
      <c r="H79" s="35"/>
      <c r="I79" s="35"/>
      <c r="J79" s="35"/>
      <c r="K79" s="35"/>
      <c r="L79" s="35"/>
      <c r="M79" s="70"/>
      <c r="N79" s="36"/>
      <c r="O79" s="21"/>
      <c r="P79" s="21"/>
      <c r="Q79" s="21"/>
      <c r="R79" s="21"/>
      <c r="S79" s="4"/>
      <c r="T79" s="6"/>
      <c r="U79" s="1"/>
      <c r="V79" s="1"/>
      <c r="W79" s="1"/>
      <c r="X79" s="1"/>
      <c r="Y79" s="1"/>
      <c r="Z79" s="1"/>
    </row>
    <row r="80" spans="1:26" ht="13.5" customHeight="1" outlineLevel="1" x14ac:dyDescent="0.25">
      <c r="A80" s="29"/>
      <c r="B80" s="1"/>
      <c r="C80" s="159" t="s">
        <v>86</v>
      </c>
      <c r="D80" s="160"/>
      <c r="E80" s="160"/>
      <c r="F80" s="160"/>
      <c r="G80" s="160"/>
      <c r="H80" s="160"/>
      <c r="I80" s="160"/>
      <c r="J80" s="160"/>
      <c r="K80" s="160"/>
      <c r="L80" s="160"/>
      <c r="M80" s="160"/>
      <c r="N80" s="66">
        <f>SUM(N73:N79)</f>
        <v>0</v>
      </c>
      <c r="O80" s="37"/>
      <c r="P80" s="37"/>
      <c r="Q80" s="37"/>
      <c r="R80" s="37"/>
      <c r="S80" s="4"/>
      <c r="T80" s="6"/>
      <c r="U80" s="1"/>
      <c r="V80" s="1"/>
      <c r="W80" s="1"/>
      <c r="X80" s="1"/>
      <c r="Y80" s="1"/>
      <c r="Z80" s="1"/>
    </row>
    <row r="81" spans="1:26" ht="12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4"/>
      <c r="T81" s="6"/>
      <c r="U81" s="1"/>
      <c r="V81" s="1"/>
      <c r="W81" s="1"/>
      <c r="X81" s="1"/>
      <c r="Y81" s="1"/>
      <c r="Z81" s="1"/>
    </row>
    <row r="82" spans="1:26" ht="15" customHeight="1" x14ac:dyDescent="0.25">
      <c r="A82" s="197" t="s">
        <v>95</v>
      </c>
      <c r="B82" s="197"/>
      <c r="C82" s="197" t="s">
        <v>96</v>
      </c>
      <c r="D82" s="197"/>
      <c r="E82" s="197"/>
      <c r="F82" s="197" t="s">
        <v>97</v>
      </c>
      <c r="G82" s="197"/>
      <c r="H82" s="197"/>
      <c r="I82" s="197"/>
      <c r="J82" s="197"/>
      <c r="K82" s="197"/>
      <c r="L82" s="197"/>
      <c r="M82" s="197"/>
      <c r="N82" s="197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2" customHeight="1" x14ac:dyDescent="0.25">
      <c r="A83" s="197" t="str">
        <f>IF(A25="N/A","",A25)</f>
        <v>1.2</v>
      </c>
      <c r="B83" s="197"/>
      <c r="C83" s="198" t="s">
        <v>91</v>
      </c>
      <c r="D83" s="199" t="str">
        <f>VLOOKUP(A83,'CAPACIDAD RESIDUAL'!$A$6:$D$304,2,FALSE)</f>
        <v>GERMINAR PROYECTOS S.A.S</v>
      </c>
      <c r="E83" s="200"/>
      <c r="F83" s="197" t="str">
        <f>$C$38</f>
        <v>Capacidad de Organización (CO)</v>
      </c>
      <c r="G83" s="197"/>
      <c r="H83" s="197"/>
      <c r="I83" s="58">
        <f>G96</f>
        <v>5489276000</v>
      </c>
      <c r="J83" s="203" t="s">
        <v>88</v>
      </c>
      <c r="K83" s="183">
        <f>I83*(I84+I85+I86)/100-I87</f>
        <v>10124820793.414772</v>
      </c>
      <c r="L83" s="184"/>
      <c r="M83" s="184"/>
      <c r="N83" s="185"/>
      <c r="O83" s="38"/>
      <c r="P83" s="38"/>
      <c r="Q83" s="38"/>
      <c r="R83" s="38"/>
      <c r="S83" s="38"/>
      <c r="T83" s="39"/>
      <c r="U83" s="38"/>
      <c r="V83" s="38"/>
      <c r="W83" s="38"/>
      <c r="X83" s="38"/>
      <c r="Y83" s="38"/>
      <c r="Z83" s="38"/>
    </row>
    <row r="84" spans="1:26" ht="12" customHeight="1" x14ac:dyDescent="0.25">
      <c r="A84" s="197"/>
      <c r="B84" s="197"/>
      <c r="C84" s="198"/>
      <c r="D84" s="201"/>
      <c r="E84" s="202"/>
      <c r="F84" s="197" t="str">
        <f>$C$47</f>
        <v>Experiencia (E)</v>
      </c>
      <c r="G84" s="197"/>
      <c r="H84" s="197"/>
      <c r="I84" s="22">
        <f>H107</f>
        <v>120</v>
      </c>
      <c r="J84" s="204"/>
      <c r="K84" s="186"/>
      <c r="L84" s="187"/>
      <c r="M84" s="187"/>
      <c r="N84" s="188"/>
      <c r="O84" s="38"/>
      <c r="P84" s="38"/>
      <c r="Q84" s="38"/>
      <c r="R84" s="38"/>
      <c r="S84" s="38"/>
      <c r="T84" s="39"/>
      <c r="U84" s="38"/>
      <c r="V84" s="38"/>
      <c r="W84" s="38"/>
      <c r="X84" s="38"/>
      <c r="Y84" s="38"/>
      <c r="Z84" s="38"/>
    </row>
    <row r="85" spans="1:26" ht="12" customHeight="1" x14ac:dyDescent="0.25">
      <c r="A85" s="197"/>
      <c r="B85" s="197"/>
      <c r="C85" s="198" t="s">
        <v>92</v>
      </c>
      <c r="D85" s="205" t="str">
        <f>VLOOKUP(A83,'CAPACIDAD RESIDUAL'!$A$6:$D$304,3,FALSE)</f>
        <v>901.194.419-2</v>
      </c>
      <c r="E85" s="206"/>
      <c r="F85" s="197" t="str">
        <f>$C$58</f>
        <v>Capacidad Financiera (CF)</v>
      </c>
      <c r="G85" s="197"/>
      <c r="H85" s="197"/>
      <c r="I85" s="22">
        <f>H113</f>
        <v>40</v>
      </c>
      <c r="J85" s="191" t="str">
        <f>IF(K83&gt;$E$9,"CUMPLE","NO CUMPLE")</f>
        <v>CUMPLE</v>
      </c>
      <c r="K85" s="191"/>
      <c r="L85" s="191"/>
      <c r="M85" s="191"/>
      <c r="N85" s="191"/>
      <c r="O85" s="1"/>
      <c r="P85" s="1"/>
      <c r="Q85" s="1"/>
      <c r="R85" s="1"/>
      <c r="S85" s="1"/>
      <c r="T85" s="4"/>
      <c r="U85" s="1"/>
      <c r="V85" s="1"/>
      <c r="W85" s="1"/>
      <c r="X85" s="1"/>
      <c r="Y85" s="1"/>
      <c r="Z85" s="1"/>
    </row>
    <row r="86" spans="1:26" ht="12" customHeight="1" x14ac:dyDescent="0.25">
      <c r="A86" s="197"/>
      <c r="B86" s="197"/>
      <c r="C86" s="198"/>
      <c r="D86" s="207"/>
      <c r="E86" s="208"/>
      <c r="F86" s="197" t="str">
        <f>$C$65</f>
        <v>Capacidad Técnica (CT)</v>
      </c>
      <c r="G86" s="197"/>
      <c r="H86" s="197"/>
      <c r="I86" s="22">
        <f>H118</f>
        <v>40</v>
      </c>
      <c r="J86" s="191"/>
      <c r="K86" s="191"/>
      <c r="L86" s="191"/>
      <c r="M86" s="191"/>
      <c r="N86" s="191"/>
      <c r="O86" s="1"/>
      <c r="P86" s="1"/>
      <c r="Q86" s="1"/>
      <c r="R86" s="1"/>
      <c r="S86" s="1"/>
      <c r="T86" s="4"/>
      <c r="U86" s="1"/>
      <c r="V86" s="1"/>
      <c r="W86" s="1"/>
      <c r="X86" s="1"/>
      <c r="Y86" s="1"/>
      <c r="Z86" s="1"/>
    </row>
    <row r="87" spans="1:26" ht="12" customHeight="1" x14ac:dyDescent="0.25">
      <c r="A87" s="197"/>
      <c r="B87" s="197"/>
      <c r="C87" s="73" t="s">
        <v>93</v>
      </c>
      <c r="D87" s="209">
        <f>IF(A83="","",VLOOKUP(A83,'CAPACIDAD RESIDUAL'!$A$6:$D$304,4,FALSE))</f>
        <v>0.7</v>
      </c>
      <c r="E87" s="210"/>
      <c r="F87" s="211" t="str">
        <f>$C$70</f>
        <v>Saldo de los Contratos en Ejecución (SCE)</v>
      </c>
      <c r="G87" s="211"/>
      <c r="H87" s="211"/>
      <c r="I87" s="58">
        <f>N131</f>
        <v>853731206.58522725</v>
      </c>
      <c r="J87" s="191"/>
      <c r="K87" s="191"/>
      <c r="L87" s="191"/>
      <c r="M87" s="191"/>
      <c r="N87" s="191"/>
      <c r="O87" s="1"/>
      <c r="P87" s="1"/>
      <c r="Q87" s="1"/>
      <c r="R87" s="1"/>
      <c r="S87" s="1"/>
      <c r="T87" s="4"/>
      <c r="U87" s="1"/>
      <c r="V87" s="1"/>
      <c r="W87" s="1"/>
      <c r="X87" s="1"/>
      <c r="Y87" s="1"/>
      <c r="Z87" s="1"/>
    </row>
    <row r="88" spans="1:26" ht="12" customHeight="1" x14ac:dyDescent="0.25">
      <c r="A88" s="14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"/>
      <c r="P88" s="1"/>
      <c r="Q88" s="1"/>
      <c r="R88" s="1"/>
      <c r="S88" s="1"/>
      <c r="T88" s="4"/>
      <c r="U88" s="1"/>
      <c r="V88" s="1"/>
      <c r="W88" s="1"/>
      <c r="X88" s="1"/>
      <c r="Y88" s="1"/>
      <c r="Z88" s="1"/>
    </row>
    <row r="89" spans="1:26" ht="12" customHeight="1" x14ac:dyDescent="0.25">
      <c r="A89" s="44"/>
      <c r="C89" s="219" t="s">
        <v>34</v>
      </c>
      <c r="D89" s="160"/>
      <c r="E89" s="160"/>
      <c r="F89" s="160"/>
      <c r="G89" s="160"/>
      <c r="H89" s="160"/>
      <c r="I89" s="220" t="s">
        <v>35</v>
      </c>
      <c r="J89" s="160"/>
      <c r="K89" s="220" t="s">
        <v>36</v>
      </c>
      <c r="L89" s="220"/>
      <c r="M89" s="160"/>
      <c r="N89" s="160"/>
      <c r="O89" s="1"/>
      <c r="P89" s="1"/>
      <c r="Q89" s="1"/>
      <c r="R89" s="1"/>
      <c r="S89" s="1"/>
      <c r="T89" s="4"/>
      <c r="U89" s="1"/>
      <c r="V89" s="1"/>
      <c r="W89" s="1"/>
      <c r="X89" s="1"/>
      <c r="Y89" s="1"/>
      <c r="Z89" s="1"/>
    </row>
    <row r="90" spans="1:26" x14ac:dyDescent="0.25">
      <c r="A90" s="17"/>
      <c r="B90" s="6"/>
      <c r="C90" s="161" t="s">
        <v>37</v>
      </c>
      <c r="D90" s="160"/>
      <c r="E90" s="160"/>
      <c r="F90" s="160"/>
      <c r="G90" s="221" t="s">
        <v>27</v>
      </c>
      <c r="H90" s="160"/>
      <c r="I90" s="214" t="s">
        <v>38</v>
      </c>
      <c r="J90" s="160"/>
      <c r="K90" s="214" t="s">
        <v>39</v>
      </c>
      <c r="L90" s="214"/>
      <c r="M90" s="160"/>
      <c r="N90" s="160"/>
    </row>
    <row r="91" spans="1:26" ht="24.75" customHeight="1" x14ac:dyDescent="0.25">
      <c r="A91" s="17"/>
      <c r="B91" s="6"/>
      <c r="C91" s="161" t="s">
        <v>40</v>
      </c>
      <c r="D91" s="160"/>
      <c r="E91" s="160"/>
      <c r="F91" s="160"/>
      <c r="G91" s="212">
        <v>2023</v>
      </c>
      <c r="H91" s="213"/>
      <c r="I91" s="214" t="s">
        <v>41</v>
      </c>
      <c r="J91" s="160"/>
      <c r="K91" s="214" t="s">
        <v>42</v>
      </c>
      <c r="L91" s="214"/>
      <c r="M91" s="160"/>
      <c r="N91" s="160"/>
    </row>
    <row r="92" spans="1:26" x14ac:dyDescent="0.25">
      <c r="A92" s="17"/>
      <c r="B92" s="6"/>
      <c r="C92" s="159" t="str">
        <f>IF(G90="","",IF(G90=$S$5,"Valor umbral Mipyme.","Total Ingresos Operacionales Acreditados"))</f>
        <v>Total Ingresos Operacionales Acreditados</v>
      </c>
      <c r="D92" s="160"/>
      <c r="E92" s="160"/>
      <c r="F92" s="160"/>
      <c r="G92" s="215">
        <v>5489276000</v>
      </c>
      <c r="H92" s="216"/>
      <c r="I92" s="214" t="s">
        <v>43</v>
      </c>
      <c r="J92" s="160"/>
      <c r="K92" s="18" t="s">
        <v>44</v>
      </c>
      <c r="L92" s="18"/>
      <c r="M92" s="217">
        <v>457297264</v>
      </c>
      <c r="N92" s="218"/>
    </row>
    <row r="93" spans="1:26" x14ac:dyDescent="0.25">
      <c r="A93" s="17"/>
      <c r="B93" s="6"/>
      <c r="C93" s="162" t="s">
        <v>45</v>
      </c>
      <c r="D93" s="160"/>
      <c r="E93" s="160"/>
      <c r="F93" s="160"/>
      <c r="G93" s="160"/>
      <c r="H93" s="160"/>
      <c r="I93" s="19"/>
      <c r="J93" s="19"/>
      <c r="K93" s="20"/>
      <c r="L93" s="20"/>
      <c r="M93" s="21"/>
      <c r="N93" s="21"/>
    </row>
    <row r="94" spans="1:26" x14ac:dyDescent="0.25">
      <c r="A94" s="17"/>
      <c r="B94" s="6"/>
      <c r="C94" s="69" t="s">
        <v>46</v>
      </c>
      <c r="D94" s="225" t="s">
        <v>190</v>
      </c>
      <c r="E94" s="160"/>
      <c r="F94" s="226" t="s">
        <v>47</v>
      </c>
      <c r="G94" s="160"/>
      <c r="H94" s="72" t="s">
        <v>87</v>
      </c>
      <c r="I94" s="19"/>
      <c r="J94" s="19"/>
      <c r="K94" s="20"/>
      <c r="L94" s="20"/>
      <c r="M94" s="21"/>
      <c r="N94" s="21"/>
    </row>
    <row r="95" spans="1:26" x14ac:dyDescent="0.25">
      <c r="A95" s="17"/>
      <c r="B95" s="6"/>
      <c r="C95" s="69" t="s">
        <v>48</v>
      </c>
      <c r="D95" s="225" t="s">
        <v>191</v>
      </c>
      <c r="E95" s="160"/>
      <c r="F95" s="226" t="s">
        <v>47</v>
      </c>
      <c r="G95" s="160"/>
      <c r="H95" s="72" t="s">
        <v>87</v>
      </c>
      <c r="I95" s="19"/>
      <c r="J95" s="19"/>
      <c r="K95" s="20"/>
      <c r="L95" s="20"/>
      <c r="M95" s="21"/>
      <c r="N95" s="21"/>
    </row>
    <row r="96" spans="1:26" x14ac:dyDescent="0.25">
      <c r="A96" s="17"/>
      <c r="B96" s="6"/>
      <c r="C96" s="69" t="s">
        <v>49</v>
      </c>
      <c r="D96" s="69"/>
      <c r="E96" s="69"/>
      <c r="F96" s="69"/>
      <c r="G96" s="227">
        <f>IF(OR(H94="SIN VIGENCIA",H94="NO APORTA",H95="SIN VIGENCIA",H95="NO APORTA"),0,IF(G90="",0,IF(G90=$S$5,M92,IF(G92&lt;M92,M92,G92))))</f>
        <v>5489276000</v>
      </c>
      <c r="H96" s="228"/>
      <c r="I96" s="5"/>
      <c r="J96" s="5"/>
      <c r="K96" s="5"/>
      <c r="L96" s="5"/>
      <c r="M96" s="5"/>
      <c r="N96" s="5"/>
    </row>
    <row r="97" spans="1:14" x14ac:dyDescent="0.25">
      <c r="A97" s="14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</row>
    <row r="98" spans="1:14" x14ac:dyDescent="0.25">
      <c r="A98" s="17"/>
      <c r="B98" s="6"/>
      <c r="C98" s="222" t="s">
        <v>26</v>
      </c>
      <c r="D98" s="160"/>
      <c r="E98" s="160"/>
      <c r="F98" s="160"/>
      <c r="G98" s="160"/>
      <c r="H98" s="160"/>
      <c r="I98" s="7" t="s">
        <v>50</v>
      </c>
      <c r="J98" s="7" t="s">
        <v>51</v>
      </c>
      <c r="K98" s="7" t="s">
        <v>52</v>
      </c>
      <c r="L98" s="6"/>
      <c r="M98" s="5"/>
      <c r="N98" s="5"/>
    </row>
    <row r="99" spans="1:14" x14ac:dyDescent="0.25">
      <c r="A99" s="17"/>
      <c r="B99" s="6"/>
      <c r="C99" s="161" t="s">
        <v>53</v>
      </c>
      <c r="D99" s="160"/>
      <c r="E99" s="160"/>
      <c r="F99" s="160"/>
      <c r="G99" s="223">
        <f>D87</f>
        <v>0.7</v>
      </c>
      <c r="H99" s="160"/>
      <c r="I99" s="70">
        <v>0</v>
      </c>
      <c r="J99" s="70">
        <v>3</v>
      </c>
      <c r="K99" s="70">
        <v>60</v>
      </c>
      <c r="L99" s="4"/>
      <c r="M99" s="5"/>
      <c r="N99" s="5"/>
    </row>
    <row r="100" spans="1:14" x14ac:dyDescent="0.25">
      <c r="A100" s="17"/>
      <c r="B100" s="6"/>
      <c r="C100" s="161" t="s">
        <v>22</v>
      </c>
      <c r="D100" s="160"/>
      <c r="E100" s="160"/>
      <c r="F100" s="160"/>
      <c r="G100" s="224">
        <f>$E$5</f>
        <v>1169500932</v>
      </c>
      <c r="H100" s="216"/>
      <c r="I100" s="70">
        <v>3</v>
      </c>
      <c r="J100" s="70">
        <v>6</v>
      </c>
      <c r="K100" s="70">
        <v>80</v>
      </c>
      <c r="L100" s="4"/>
      <c r="M100" s="5"/>
      <c r="N100" s="5"/>
    </row>
    <row r="101" spans="1:14" x14ac:dyDescent="0.25">
      <c r="A101" s="17"/>
      <c r="B101" s="6"/>
      <c r="C101" s="162" t="s">
        <v>54</v>
      </c>
      <c r="D101" s="160"/>
      <c r="E101" s="160"/>
      <c r="F101" s="160"/>
      <c r="G101" s="160"/>
      <c r="H101" s="160"/>
      <c r="I101" s="70">
        <v>6</v>
      </c>
      <c r="J101" s="70">
        <v>10</v>
      </c>
      <c r="K101" s="70">
        <v>100</v>
      </c>
      <c r="L101" s="4"/>
      <c r="M101" s="5"/>
      <c r="N101" s="5"/>
    </row>
    <row r="102" spans="1:14" x14ac:dyDescent="0.25">
      <c r="A102" s="17"/>
      <c r="B102" s="6"/>
      <c r="C102" s="161" t="s">
        <v>55</v>
      </c>
      <c r="D102" s="160"/>
      <c r="E102" s="160"/>
      <c r="F102" s="160"/>
      <c r="G102" s="166" t="s">
        <v>56</v>
      </c>
      <c r="H102" s="160"/>
      <c r="I102" s="70">
        <v>10</v>
      </c>
      <c r="J102" s="70" t="s">
        <v>57</v>
      </c>
      <c r="K102" s="70">
        <v>120</v>
      </c>
      <c r="L102" s="4"/>
      <c r="M102" s="5"/>
      <c r="N102" s="5"/>
    </row>
    <row r="103" spans="1:14" x14ac:dyDescent="0.25">
      <c r="A103" s="17"/>
      <c r="B103" s="6"/>
      <c r="C103" s="162" t="s">
        <v>58</v>
      </c>
      <c r="D103" s="160"/>
      <c r="E103" s="160"/>
      <c r="F103" s="160"/>
      <c r="G103" s="230">
        <v>398971938300</v>
      </c>
      <c r="H103" s="160"/>
      <c r="I103" s="5"/>
      <c r="J103" s="5"/>
      <c r="K103" s="5"/>
      <c r="L103" s="5"/>
      <c r="M103" s="5"/>
      <c r="N103" s="5"/>
    </row>
    <row r="104" spans="1:14" x14ac:dyDescent="0.25">
      <c r="A104" s="17"/>
      <c r="B104" s="6"/>
      <c r="C104" s="161"/>
      <c r="D104" s="160"/>
      <c r="E104" s="160"/>
      <c r="F104" s="160"/>
      <c r="G104" s="231"/>
      <c r="H104" s="160"/>
      <c r="I104" s="5"/>
      <c r="J104" s="5"/>
      <c r="K104" s="5"/>
      <c r="L104" s="5"/>
      <c r="M104" s="5"/>
      <c r="N104" s="5"/>
    </row>
    <row r="105" spans="1:14" x14ac:dyDescent="0.25">
      <c r="A105" s="17"/>
      <c r="B105" s="6"/>
      <c r="C105" s="159" t="s">
        <v>59</v>
      </c>
      <c r="D105" s="160"/>
      <c r="E105" s="160"/>
      <c r="F105" s="160"/>
      <c r="G105" s="229">
        <f>SUM(G102:H104)</f>
        <v>398971938300</v>
      </c>
      <c r="H105" s="160"/>
      <c r="I105" s="5"/>
      <c r="J105" s="5"/>
      <c r="K105" s="5"/>
      <c r="L105" s="5"/>
      <c r="M105" s="5"/>
      <c r="N105" s="5"/>
    </row>
    <row r="106" spans="1:14" x14ac:dyDescent="0.25">
      <c r="A106" s="17"/>
      <c r="B106" s="6"/>
      <c r="C106" s="159" t="s">
        <v>60</v>
      </c>
      <c r="D106" s="160"/>
      <c r="E106" s="160"/>
      <c r="F106" s="160"/>
      <c r="G106" s="160"/>
      <c r="H106" s="71">
        <f>IF(OR(G99="",G99=0,G105=0),0,G105/(G100*G99))</f>
        <v>487.35310615138775</v>
      </c>
      <c r="I106" s="5"/>
      <c r="J106" s="5"/>
      <c r="K106" s="5"/>
      <c r="L106" s="5"/>
      <c r="M106" s="5"/>
      <c r="N106" s="5"/>
    </row>
    <row r="107" spans="1:14" x14ac:dyDescent="0.25">
      <c r="A107" s="17"/>
      <c r="B107" s="6"/>
      <c r="C107" s="159" t="s">
        <v>61</v>
      </c>
      <c r="D107" s="160"/>
      <c r="E107" s="160"/>
      <c r="F107" s="160"/>
      <c r="G107" s="160"/>
      <c r="H107" s="22">
        <f>IF(H106&lt;=J99,K99,IF(H106&lt;=J100,K100,IF(H106&lt;=J101,K101,K102)))</f>
        <v>120</v>
      </c>
      <c r="I107" s="5"/>
      <c r="J107" s="23"/>
      <c r="K107" s="5"/>
      <c r="L107" s="5"/>
      <c r="M107" s="5"/>
      <c r="N107" s="5"/>
    </row>
    <row r="108" spans="1:14" x14ac:dyDescent="0.25">
      <c r="A108" s="14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</row>
    <row r="109" spans="1:14" x14ac:dyDescent="0.25">
      <c r="A109" s="17"/>
      <c r="B109" s="6"/>
      <c r="C109" s="219" t="s">
        <v>62</v>
      </c>
      <c r="D109" s="160"/>
      <c r="E109" s="160"/>
      <c r="F109" s="160"/>
      <c r="G109" s="160"/>
      <c r="H109" s="160"/>
      <c r="I109" s="7" t="s">
        <v>63</v>
      </c>
      <c r="J109" s="7" t="s">
        <v>64</v>
      </c>
      <c r="K109" s="7" t="s">
        <v>52</v>
      </c>
      <c r="L109" s="6"/>
      <c r="M109" s="5"/>
      <c r="N109" s="5"/>
    </row>
    <row r="110" spans="1:14" x14ac:dyDescent="0.25">
      <c r="A110" s="17"/>
      <c r="B110" s="6"/>
      <c r="C110" s="159" t="s">
        <v>65</v>
      </c>
      <c r="D110" s="160"/>
      <c r="E110" s="160"/>
      <c r="F110" s="160"/>
      <c r="G110" s="160"/>
      <c r="H110" s="67">
        <f>VLOOKUP(A83,'CAPACIDAD FINANCIERA'!$A$6:$AK$308,5,FALSE)</f>
        <v>5288617000</v>
      </c>
      <c r="I110" s="24">
        <v>0</v>
      </c>
      <c r="J110" s="24">
        <v>0.5</v>
      </c>
      <c r="K110" s="70">
        <v>20</v>
      </c>
      <c r="L110" s="4"/>
      <c r="M110" s="5"/>
      <c r="N110" s="5"/>
    </row>
    <row r="111" spans="1:14" x14ac:dyDescent="0.25">
      <c r="A111" s="17"/>
      <c r="B111" s="6"/>
      <c r="C111" s="159" t="s">
        <v>66</v>
      </c>
      <c r="D111" s="160"/>
      <c r="E111" s="160"/>
      <c r="F111" s="160"/>
      <c r="G111" s="160"/>
      <c r="H111" s="67">
        <f>VLOOKUP(A83,'CAPACIDAD FINANCIERA'!$A$6:$AK$308,7,FALSE)</f>
        <v>550506000</v>
      </c>
      <c r="I111" s="24">
        <v>0.5</v>
      </c>
      <c r="J111" s="24">
        <v>0.75</v>
      </c>
      <c r="K111" s="70">
        <v>25</v>
      </c>
      <c r="L111" s="4"/>
      <c r="M111" s="5"/>
      <c r="N111" s="5"/>
    </row>
    <row r="112" spans="1:14" x14ac:dyDescent="0.25">
      <c r="A112" s="17"/>
      <c r="B112" s="6"/>
      <c r="C112" s="159" t="s">
        <v>67</v>
      </c>
      <c r="D112" s="160"/>
      <c r="E112" s="160"/>
      <c r="F112" s="160"/>
      <c r="G112" s="160"/>
      <c r="H112" s="71">
        <f>ROUND(IF(H110="",0,H110/H111),2)</f>
        <v>9.61</v>
      </c>
      <c r="I112" s="24">
        <v>0.75</v>
      </c>
      <c r="J112" s="24">
        <v>1</v>
      </c>
      <c r="K112" s="70">
        <v>30</v>
      </c>
      <c r="L112" s="4"/>
      <c r="M112" s="5"/>
      <c r="N112" s="5"/>
    </row>
    <row r="113" spans="1:16" x14ac:dyDescent="0.25">
      <c r="A113" s="17"/>
      <c r="B113" s="6"/>
      <c r="C113" s="159" t="s">
        <v>68</v>
      </c>
      <c r="D113" s="160"/>
      <c r="E113" s="160"/>
      <c r="F113" s="160"/>
      <c r="G113" s="160"/>
      <c r="H113" s="22">
        <f>IF(H112="",0,IF(H112&lt;J110,K110,IF(H112&lt;J111,K111,IF(H112&lt;J112,K112,IF(H112&lt;J113,K113,K114)))))</f>
        <v>40</v>
      </c>
      <c r="I113" s="24">
        <v>1</v>
      </c>
      <c r="J113" s="24">
        <v>1.5</v>
      </c>
      <c r="K113" s="70">
        <v>35</v>
      </c>
      <c r="L113" s="4"/>
      <c r="M113" s="5"/>
      <c r="N113" s="5"/>
    </row>
    <row r="114" spans="1:16" x14ac:dyDescent="0.25">
      <c r="A114" s="17"/>
      <c r="B114" s="6"/>
      <c r="C114" s="5"/>
      <c r="D114" s="5"/>
      <c r="E114" s="5"/>
      <c r="F114" s="5"/>
      <c r="G114" s="5"/>
      <c r="H114" s="5"/>
      <c r="I114" s="24">
        <v>1.5</v>
      </c>
      <c r="J114" s="24" t="s">
        <v>57</v>
      </c>
      <c r="K114" s="70">
        <v>40</v>
      </c>
      <c r="L114" s="4"/>
      <c r="M114" s="5"/>
      <c r="N114" s="5"/>
    </row>
    <row r="115" spans="1:16" x14ac:dyDescent="0.25">
      <c r="A115" s="14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</row>
    <row r="116" spans="1:16" x14ac:dyDescent="0.25">
      <c r="A116" s="17"/>
      <c r="B116" s="6"/>
      <c r="C116" s="219" t="s">
        <v>69</v>
      </c>
      <c r="D116" s="160"/>
      <c r="E116" s="160"/>
      <c r="F116" s="160"/>
      <c r="G116" s="160"/>
      <c r="H116" s="160"/>
      <c r="I116" s="7" t="s">
        <v>70</v>
      </c>
      <c r="J116" s="7" t="s">
        <v>71</v>
      </c>
      <c r="K116" s="7" t="s">
        <v>52</v>
      </c>
      <c r="L116" s="6"/>
      <c r="M116" s="5"/>
      <c r="N116" s="5"/>
    </row>
    <row r="117" spans="1:16" x14ac:dyDescent="0.25">
      <c r="A117" s="17"/>
      <c r="B117" s="6"/>
      <c r="C117" s="159" t="s">
        <v>72</v>
      </c>
      <c r="D117" s="160"/>
      <c r="E117" s="160"/>
      <c r="F117" s="160"/>
      <c r="G117" s="160"/>
      <c r="H117" s="25">
        <v>25</v>
      </c>
      <c r="I117" s="26">
        <v>1</v>
      </c>
      <c r="J117" s="26">
        <v>5</v>
      </c>
      <c r="K117" s="70">
        <v>20</v>
      </c>
      <c r="L117" s="4"/>
      <c r="M117" s="5"/>
      <c r="N117" s="5"/>
    </row>
    <row r="118" spans="1:16" x14ac:dyDescent="0.25">
      <c r="A118" s="17"/>
      <c r="B118" s="6"/>
      <c r="C118" s="159" t="s">
        <v>73</v>
      </c>
      <c r="D118" s="160"/>
      <c r="E118" s="160"/>
      <c r="F118" s="160"/>
      <c r="G118" s="160"/>
      <c r="H118" s="22">
        <f>IF(H117&lt;I117,0,IF(H117&lt;=J117,K117,IF(H117&lt;=J118,K118,K119)))</f>
        <v>40</v>
      </c>
      <c r="I118" s="26">
        <v>6</v>
      </c>
      <c r="J118" s="26">
        <v>10</v>
      </c>
      <c r="K118" s="70">
        <v>30</v>
      </c>
      <c r="L118" s="4"/>
      <c r="M118" s="5"/>
      <c r="N118" s="5"/>
    </row>
    <row r="119" spans="1:16" x14ac:dyDescent="0.25">
      <c r="A119" s="17"/>
      <c r="B119" s="6"/>
      <c r="C119" s="5"/>
      <c r="D119" s="5"/>
      <c r="E119" s="5"/>
      <c r="F119" s="5"/>
      <c r="G119" s="5"/>
      <c r="H119" s="5"/>
      <c r="I119" s="26">
        <v>11</v>
      </c>
      <c r="J119" s="24" t="s">
        <v>57</v>
      </c>
      <c r="K119" s="70">
        <v>40</v>
      </c>
      <c r="L119" s="4"/>
      <c r="M119" s="5"/>
      <c r="N119" s="5"/>
    </row>
    <row r="120" spans="1:16" x14ac:dyDescent="0.25">
      <c r="A120" s="14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</row>
    <row r="121" spans="1:16" x14ac:dyDescent="0.25">
      <c r="A121" s="17"/>
      <c r="B121" s="6"/>
      <c r="C121" s="222" t="s">
        <v>74</v>
      </c>
      <c r="D121" s="160"/>
      <c r="E121" s="160"/>
      <c r="F121" s="160"/>
      <c r="G121" s="160"/>
      <c r="H121" s="160"/>
      <c r="I121" s="160"/>
      <c r="J121" s="160"/>
      <c r="K121" s="160"/>
      <c r="L121" s="160"/>
      <c r="M121" s="160"/>
      <c r="N121" s="160"/>
    </row>
    <row r="122" spans="1:16" x14ac:dyDescent="0.25">
      <c r="A122" s="27"/>
      <c r="B122" s="28"/>
      <c r="C122" s="162" t="s">
        <v>75</v>
      </c>
      <c r="D122" s="160"/>
      <c r="E122" s="160"/>
      <c r="F122" s="160"/>
      <c r="G122" s="160"/>
      <c r="H122" s="160"/>
      <c r="I122" s="160"/>
      <c r="J122" s="160"/>
      <c r="K122" s="160"/>
      <c r="L122" s="160"/>
      <c r="M122" s="160"/>
      <c r="N122" s="160"/>
    </row>
    <row r="123" spans="1:16" ht="48" x14ac:dyDescent="0.25">
      <c r="A123" s="29"/>
      <c r="B123" s="28"/>
      <c r="C123" s="69" t="s">
        <v>76</v>
      </c>
      <c r="D123" s="70" t="s">
        <v>77</v>
      </c>
      <c r="E123" s="70" t="s">
        <v>56</v>
      </c>
      <c r="F123" s="70" t="s">
        <v>78</v>
      </c>
      <c r="G123" s="30" t="s">
        <v>123</v>
      </c>
      <c r="H123" s="70" t="s">
        <v>80</v>
      </c>
      <c r="I123" s="70" t="s">
        <v>81</v>
      </c>
      <c r="J123" s="70" t="s">
        <v>82</v>
      </c>
      <c r="K123" s="70" t="s">
        <v>83</v>
      </c>
      <c r="L123" s="30" t="s">
        <v>204</v>
      </c>
      <c r="M123" s="30" t="s">
        <v>84</v>
      </c>
      <c r="N123" s="70" t="s">
        <v>85</v>
      </c>
    </row>
    <row r="124" spans="1:16" hidden="1" x14ac:dyDescent="0.25">
      <c r="A124" s="29"/>
      <c r="B124" s="28"/>
      <c r="C124" s="69"/>
      <c r="D124" s="70"/>
      <c r="E124" s="70"/>
      <c r="F124" s="70"/>
      <c r="G124" s="70"/>
      <c r="H124" s="70"/>
      <c r="I124" s="70"/>
      <c r="J124" s="70"/>
      <c r="K124" s="70"/>
      <c r="L124" s="70"/>
      <c r="M124" s="30"/>
      <c r="N124" s="70"/>
    </row>
    <row r="125" spans="1:16" x14ac:dyDescent="0.25">
      <c r="A125" s="29"/>
      <c r="B125" s="28"/>
      <c r="C125" s="72">
        <v>1</v>
      </c>
      <c r="D125" s="31">
        <v>0.1</v>
      </c>
      <c r="E125" s="57">
        <v>17979924435</v>
      </c>
      <c r="F125" s="56">
        <v>32</v>
      </c>
      <c r="G125" s="34">
        <v>45267</v>
      </c>
      <c r="H125" s="35"/>
      <c r="I125" s="35"/>
      <c r="J125" s="35"/>
      <c r="K125" s="35"/>
      <c r="L125" s="57"/>
      <c r="M125" s="24">
        <f t="shared" ref="M125:M129" si="2">IF(C125="","",IF(IF(H125&lt;&gt;"",IF(I125&lt;&gt;"",IF(J125&lt;&gt;"",IF(K125&lt;&gt;"",G125+F125*30+(I125-H125)+(K125-J125)-$E$6,G125+F125*30+(I125-H125)-J125),G125+F125*30+(I125-H125)-$E$6),G125+F125*30-H125),G125+F125*30-$E$6)&lt;0,0,IF(H125&lt;&gt;"",IF(I125&lt;&gt;"",IF(J125&lt;&gt;"",IF(K125&lt;&gt;"",G125+F125*30+(I125-H125)+(K125-J125)-$E$6,G125+F125*30+(I125-H125)-J125),G125+F125*30+(I125-H125)-$E$6),G125+F125*30-H125),G125+F125*30-$E$6)))</f>
        <v>659</v>
      </c>
      <c r="N125" s="65">
        <f>IF(L125="",IF(C125="","",IF(M125&lt;360,D125*E125*M125/(F125*30),D125*E125*360/(F125*30))),IF(C125="","",IF(M125&lt;360,D125*L125*M125/(F125*30),D125*L125*360/(F125*30))))</f>
        <v>674247166.3125</v>
      </c>
      <c r="O125" s="125"/>
      <c r="P125" s="79"/>
    </row>
    <row r="126" spans="1:16" x14ac:dyDescent="0.25">
      <c r="A126" s="29"/>
      <c r="B126" s="28"/>
      <c r="C126" s="72">
        <v>2</v>
      </c>
      <c r="D126" s="31">
        <v>0.1</v>
      </c>
      <c r="E126" s="57">
        <v>3264990326</v>
      </c>
      <c r="F126" s="56">
        <v>13</v>
      </c>
      <c r="G126" s="34">
        <v>45306</v>
      </c>
      <c r="H126" s="35"/>
      <c r="I126" s="35"/>
      <c r="J126" s="35"/>
      <c r="K126" s="35"/>
      <c r="L126" s="57"/>
      <c r="M126" s="24">
        <f t="shared" si="2"/>
        <v>128</v>
      </c>
      <c r="N126" s="65">
        <f t="shared" ref="N126:N129" si="3">IF(L126="",IF(C126="","",IF(M126&lt;360,D126*E126*M126/(F126*30),D126*E126*360/(F126*30))),IF(C126="","",IF(M126&lt;360,D126*L126*M126/(F126*30),D126*L126*360/(F126*30))))</f>
        <v>107158656.85333334</v>
      </c>
    </row>
    <row r="127" spans="1:16" x14ac:dyDescent="0.25">
      <c r="A127" s="29"/>
      <c r="B127" s="28"/>
      <c r="C127" s="72">
        <v>3</v>
      </c>
      <c r="D127" s="31">
        <v>0.1</v>
      </c>
      <c r="E127" s="57">
        <v>3509908313</v>
      </c>
      <c r="F127" s="56">
        <v>11</v>
      </c>
      <c r="G127" s="34">
        <v>45306</v>
      </c>
      <c r="H127" s="35"/>
      <c r="I127" s="35"/>
      <c r="J127" s="35"/>
      <c r="K127" s="35"/>
      <c r="L127" s="57"/>
      <c r="M127" s="24">
        <f t="shared" si="2"/>
        <v>68</v>
      </c>
      <c r="N127" s="65">
        <f t="shared" si="3"/>
        <v>72325383.419393942</v>
      </c>
    </row>
    <row r="128" spans="1:16" x14ac:dyDescent="0.25">
      <c r="A128" s="29"/>
      <c r="B128" s="28"/>
      <c r="C128" s="72"/>
      <c r="D128" s="31"/>
      <c r="E128" s="57"/>
      <c r="F128" s="56"/>
      <c r="G128" s="34"/>
      <c r="H128" s="35"/>
      <c r="I128" s="35"/>
      <c r="J128" s="35"/>
      <c r="K128" s="35"/>
      <c r="L128" s="35"/>
      <c r="M128" s="24" t="str">
        <f t="shared" si="2"/>
        <v/>
      </c>
      <c r="N128" s="65" t="str">
        <f t="shared" si="3"/>
        <v/>
      </c>
    </row>
    <row r="129" spans="1:14" x14ac:dyDescent="0.25">
      <c r="A129" s="29"/>
      <c r="B129" s="28"/>
      <c r="C129" s="72"/>
      <c r="D129" s="31"/>
      <c r="E129" s="57"/>
      <c r="F129" s="56"/>
      <c r="G129" s="34"/>
      <c r="H129" s="35"/>
      <c r="I129" s="35"/>
      <c r="J129" s="35"/>
      <c r="K129" s="35"/>
      <c r="L129" s="35"/>
      <c r="M129" s="24" t="str">
        <f t="shared" si="2"/>
        <v/>
      </c>
      <c r="N129" s="65" t="str">
        <f t="shared" si="3"/>
        <v/>
      </c>
    </row>
    <row r="130" spans="1:14" hidden="1" x14ac:dyDescent="0.25">
      <c r="A130" s="29"/>
      <c r="B130" s="28"/>
      <c r="C130" s="72"/>
      <c r="D130" s="31"/>
      <c r="E130" s="32"/>
      <c r="F130" s="33"/>
      <c r="G130" s="34"/>
      <c r="H130" s="35"/>
      <c r="I130" s="35"/>
      <c r="J130" s="35"/>
      <c r="K130" s="35"/>
      <c r="L130" s="35"/>
      <c r="M130" s="70"/>
      <c r="N130" s="65"/>
    </row>
    <row r="131" spans="1:14" x14ac:dyDescent="0.25">
      <c r="A131" s="29"/>
      <c r="B131" s="1"/>
      <c r="C131" s="159" t="s">
        <v>86</v>
      </c>
      <c r="D131" s="160"/>
      <c r="E131" s="160"/>
      <c r="F131" s="160"/>
      <c r="G131" s="160"/>
      <c r="H131" s="160"/>
      <c r="I131" s="160"/>
      <c r="J131" s="160"/>
      <c r="K131" s="160"/>
      <c r="L131" s="160"/>
      <c r="M131" s="160"/>
      <c r="N131" s="66">
        <f>SUM(N124:N130)</f>
        <v>853731206.58522725</v>
      </c>
    </row>
    <row r="133" spans="1:14" x14ac:dyDescent="0.25">
      <c r="A133" s="197" t="s">
        <v>95</v>
      </c>
      <c r="B133" s="197"/>
      <c r="C133" s="197" t="s">
        <v>96</v>
      </c>
      <c r="D133" s="197"/>
      <c r="E133" s="197"/>
      <c r="F133" s="197" t="s">
        <v>97</v>
      </c>
      <c r="G133" s="197"/>
      <c r="H133" s="197"/>
      <c r="I133" s="197"/>
      <c r="J133" s="197"/>
      <c r="K133" s="197"/>
      <c r="L133" s="197"/>
      <c r="M133" s="197"/>
      <c r="N133" s="197"/>
    </row>
    <row r="134" spans="1:14" x14ac:dyDescent="0.25">
      <c r="A134" s="197" t="str">
        <f>IF(A26="N/A","",A26)</f>
        <v/>
      </c>
      <c r="B134" s="197"/>
      <c r="C134" s="198" t="s">
        <v>91</v>
      </c>
      <c r="D134" s="199" t="str">
        <f>IF(A134="","",VLOOKUP(A134,'CAPACIDAD RESIDUAL'!$A$6:$D$304,2,FALSE))</f>
        <v/>
      </c>
      <c r="E134" s="200"/>
      <c r="F134" s="197" t="str">
        <f>$C$38</f>
        <v>Capacidad de Organización (CO)</v>
      </c>
      <c r="G134" s="197"/>
      <c r="H134" s="197"/>
      <c r="I134" s="58" t="str">
        <f>IF(A134="","",G147)</f>
        <v/>
      </c>
      <c r="J134" s="203" t="s">
        <v>88</v>
      </c>
      <c r="K134" s="183" t="str">
        <f>IF(A134="","",I134*(I135+I136+I137)/100-I138)</f>
        <v/>
      </c>
      <c r="L134" s="184"/>
      <c r="M134" s="184"/>
      <c r="N134" s="185"/>
    </row>
    <row r="135" spans="1:14" x14ac:dyDescent="0.25">
      <c r="A135" s="197"/>
      <c r="B135" s="197"/>
      <c r="C135" s="198"/>
      <c r="D135" s="201"/>
      <c r="E135" s="202"/>
      <c r="F135" s="197" t="str">
        <f>$C$47</f>
        <v>Experiencia (E)</v>
      </c>
      <c r="G135" s="197"/>
      <c r="H135" s="197"/>
      <c r="I135" s="22" t="str">
        <f>IF(A134="","",H158)</f>
        <v/>
      </c>
      <c r="J135" s="204"/>
      <c r="K135" s="186"/>
      <c r="L135" s="187"/>
      <c r="M135" s="187"/>
      <c r="N135" s="188"/>
    </row>
    <row r="136" spans="1:14" x14ac:dyDescent="0.25">
      <c r="A136" s="197"/>
      <c r="B136" s="197"/>
      <c r="C136" s="198" t="s">
        <v>92</v>
      </c>
      <c r="D136" s="205" t="str">
        <f>IF(A134="","",VLOOKUP(A134,'CAPACIDAD RESIDUAL'!$A$6:$D$304,3,FALSE))</f>
        <v/>
      </c>
      <c r="E136" s="206"/>
      <c r="F136" s="197" t="str">
        <f>$C$58</f>
        <v>Capacidad Financiera (CF)</v>
      </c>
      <c r="G136" s="197"/>
      <c r="H136" s="197"/>
      <c r="I136" s="22" t="str">
        <f>IF(A134="","",H164)</f>
        <v/>
      </c>
      <c r="J136" s="191" t="str">
        <f>IF(A134="","",IF(K134&gt;$E$9,"CUMPLE","NO CUMPLE"))</f>
        <v/>
      </c>
      <c r="K136" s="191"/>
      <c r="L136" s="191"/>
      <c r="M136" s="191"/>
      <c r="N136" s="191"/>
    </row>
    <row r="137" spans="1:14" x14ac:dyDescent="0.25">
      <c r="A137" s="197"/>
      <c r="B137" s="197"/>
      <c r="C137" s="198"/>
      <c r="D137" s="207"/>
      <c r="E137" s="208"/>
      <c r="F137" s="197" t="str">
        <f>$C$65</f>
        <v>Capacidad Técnica (CT)</v>
      </c>
      <c r="G137" s="197"/>
      <c r="H137" s="197"/>
      <c r="I137" s="22" t="str">
        <f>IF(A134="","",H169)</f>
        <v/>
      </c>
      <c r="J137" s="191"/>
      <c r="K137" s="191"/>
      <c r="L137" s="191"/>
      <c r="M137" s="191"/>
      <c r="N137" s="191"/>
    </row>
    <row r="138" spans="1:14" x14ac:dyDescent="0.25">
      <c r="A138" s="197"/>
      <c r="B138" s="197"/>
      <c r="C138" s="73" t="s">
        <v>93</v>
      </c>
      <c r="D138" s="209" t="str">
        <f>IF(A134="","",VLOOKUP(A134,'CAPACIDAD RESIDUAL'!$A$6:$D$304,4,FALSE))</f>
        <v/>
      </c>
      <c r="E138" s="210"/>
      <c r="F138" s="211" t="str">
        <f>$C$70</f>
        <v>Saldo de los Contratos en Ejecución (SCE)</v>
      </c>
      <c r="G138" s="211"/>
      <c r="H138" s="211"/>
      <c r="I138" s="58" t="str">
        <f>IF(A134="","",N182)</f>
        <v/>
      </c>
      <c r="J138" s="191"/>
      <c r="K138" s="191"/>
      <c r="L138" s="191"/>
      <c r="M138" s="191"/>
      <c r="N138" s="191"/>
    </row>
    <row r="139" spans="1:14" x14ac:dyDescent="0.25">
      <c r="A139" s="14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</row>
    <row r="140" spans="1:14" x14ac:dyDescent="0.25">
      <c r="A140" s="44"/>
      <c r="C140" s="219" t="s">
        <v>34</v>
      </c>
      <c r="D140" s="160"/>
      <c r="E140" s="160"/>
      <c r="F140" s="160"/>
      <c r="G140" s="160"/>
      <c r="H140" s="160"/>
      <c r="I140" s="220" t="s">
        <v>35</v>
      </c>
      <c r="J140" s="160"/>
      <c r="K140" s="220" t="s">
        <v>36</v>
      </c>
      <c r="L140" s="220"/>
      <c r="M140" s="160"/>
      <c r="N140" s="160"/>
    </row>
    <row r="141" spans="1:14" x14ac:dyDescent="0.25">
      <c r="A141" s="17"/>
      <c r="B141" s="6"/>
      <c r="C141" s="161" t="s">
        <v>37</v>
      </c>
      <c r="D141" s="160"/>
      <c r="E141" s="160"/>
      <c r="F141" s="160"/>
      <c r="G141" s="221" t="s">
        <v>27</v>
      </c>
      <c r="H141" s="160"/>
      <c r="I141" s="214" t="s">
        <v>38</v>
      </c>
      <c r="J141" s="160"/>
      <c r="K141" s="214" t="s">
        <v>39</v>
      </c>
      <c r="L141" s="214"/>
      <c r="M141" s="160"/>
      <c r="N141" s="160"/>
    </row>
    <row r="142" spans="1:14" x14ac:dyDescent="0.25">
      <c r="A142" s="17"/>
      <c r="B142" s="6"/>
      <c r="C142" s="161" t="s">
        <v>40</v>
      </c>
      <c r="D142" s="160"/>
      <c r="E142" s="160"/>
      <c r="F142" s="160"/>
      <c r="G142" s="212">
        <v>2023</v>
      </c>
      <c r="H142" s="213"/>
      <c r="I142" s="214" t="s">
        <v>41</v>
      </c>
      <c r="J142" s="160"/>
      <c r="K142" s="214" t="s">
        <v>42</v>
      </c>
      <c r="L142" s="214"/>
      <c r="M142" s="160"/>
      <c r="N142" s="160"/>
    </row>
    <row r="143" spans="1:14" x14ac:dyDescent="0.25">
      <c r="A143" s="17"/>
      <c r="B143" s="6"/>
      <c r="C143" s="159" t="str">
        <f>IF(G141="","",IF(G141=$S$5,"Valor umbral Mipyme.","Total Ingresos Operacionales Acreditados"))</f>
        <v>Total Ingresos Operacionales Acreditados</v>
      </c>
      <c r="D143" s="160"/>
      <c r="E143" s="160"/>
      <c r="F143" s="160"/>
      <c r="G143" s="215">
        <v>2591203000</v>
      </c>
      <c r="H143" s="216"/>
      <c r="I143" s="214" t="s">
        <v>43</v>
      </c>
      <c r="J143" s="160"/>
      <c r="K143" s="18" t="s">
        <v>44</v>
      </c>
      <c r="L143" s="18"/>
      <c r="M143" s="217">
        <v>457297264</v>
      </c>
      <c r="N143" s="218"/>
    </row>
    <row r="144" spans="1:14" x14ac:dyDescent="0.25">
      <c r="A144" s="17"/>
      <c r="B144" s="6"/>
      <c r="C144" s="162" t="s">
        <v>45</v>
      </c>
      <c r="D144" s="160"/>
      <c r="E144" s="160"/>
      <c r="F144" s="160"/>
      <c r="G144" s="160"/>
      <c r="H144" s="160"/>
      <c r="I144" s="19"/>
      <c r="J144" s="19"/>
      <c r="K144" s="20"/>
      <c r="L144" s="20"/>
      <c r="M144" s="21"/>
      <c r="N144" s="21"/>
    </row>
    <row r="145" spans="1:14" x14ac:dyDescent="0.25">
      <c r="A145" s="17"/>
      <c r="B145" s="6"/>
      <c r="C145" s="69" t="s">
        <v>46</v>
      </c>
      <c r="D145" s="225" t="s">
        <v>128</v>
      </c>
      <c r="E145" s="160"/>
      <c r="F145" s="226" t="s">
        <v>47</v>
      </c>
      <c r="G145" s="160"/>
      <c r="H145" s="72" t="s">
        <v>87</v>
      </c>
      <c r="I145" s="19"/>
      <c r="J145" s="19"/>
      <c r="K145" s="20"/>
      <c r="L145" s="20"/>
      <c r="M145" s="21"/>
      <c r="N145" s="21"/>
    </row>
    <row r="146" spans="1:14" x14ac:dyDescent="0.25">
      <c r="A146" s="17"/>
      <c r="B146" s="6"/>
      <c r="C146" s="69" t="s">
        <v>48</v>
      </c>
      <c r="D146" s="225" t="s">
        <v>127</v>
      </c>
      <c r="E146" s="160"/>
      <c r="F146" s="226" t="s">
        <v>47</v>
      </c>
      <c r="G146" s="160"/>
      <c r="H146" s="72" t="s">
        <v>87</v>
      </c>
      <c r="I146" s="19"/>
      <c r="J146" s="19"/>
      <c r="K146" s="20"/>
      <c r="L146" s="20"/>
      <c r="M146" s="21"/>
      <c r="N146" s="21"/>
    </row>
    <row r="147" spans="1:14" x14ac:dyDescent="0.25">
      <c r="A147" s="17"/>
      <c r="B147" s="6"/>
      <c r="C147" s="69" t="s">
        <v>49</v>
      </c>
      <c r="D147" s="69"/>
      <c r="E147" s="69"/>
      <c r="F147" s="69"/>
      <c r="G147" s="227">
        <f>IF(OR(H145="SIN VIGENCIA",H145="NO APORTA",H146="SIN VIGENCIA",H146="NO APORTA"),0,IF(G141="",0,IF(G141=$S$5,M143,IF(G143&lt;M143,M143,G143))))</f>
        <v>2591203000</v>
      </c>
      <c r="H147" s="228"/>
      <c r="I147" s="5"/>
      <c r="J147" s="5"/>
      <c r="K147" s="5"/>
      <c r="L147" s="5"/>
      <c r="M147" s="5"/>
      <c r="N147" s="5"/>
    </row>
    <row r="148" spans="1:14" x14ac:dyDescent="0.25">
      <c r="A148" s="14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</row>
    <row r="149" spans="1:14" x14ac:dyDescent="0.25">
      <c r="A149" s="17"/>
      <c r="B149" s="6"/>
      <c r="C149" s="222" t="s">
        <v>26</v>
      </c>
      <c r="D149" s="160"/>
      <c r="E149" s="160"/>
      <c r="F149" s="160"/>
      <c r="G149" s="160"/>
      <c r="H149" s="160"/>
      <c r="I149" s="7" t="s">
        <v>50</v>
      </c>
      <c r="J149" s="7" t="s">
        <v>51</v>
      </c>
      <c r="K149" s="7" t="s">
        <v>52</v>
      </c>
      <c r="L149" s="6"/>
      <c r="M149" s="5"/>
      <c r="N149" s="5"/>
    </row>
    <row r="150" spans="1:14" x14ac:dyDescent="0.25">
      <c r="A150" s="17"/>
      <c r="B150" s="6"/>
      <c r="C150" s="161" t="s">
        <v>53</v>
      </c>
      <c r="D150" s="160"/>
      <c r="E150" s="160"/>
      <c r="F150" s="160"/>
      <c r="G150" s="223" t="str">
        <f>D138</f>
        <v/>
      </c>
      <c r="H150" s="160"/>
      <c r="I150" s="70">
        <v>0</v>
      </c>
      <c r="J150" s="70">
        <v>3</v>
      </c>
      <c r="K150" s="70">
        <v>60</v>
      </c>
      <c r="L150" s="4"/>
      <c r="M150" s="5"/>
      <c r="N150" s="5"/>
    </row>
    <row r="151" spans="1:14" x14ac:dyDescent="0.25">
      <c r="A151" s="17"/>
      <c r="B151" s="6"/>
      <c r="C151" s="161" t="s">
        <v>22</v>
      </c>
      <c r="D151" s="160"/>
      <c r="E151" s="160"/>
      <c r="F151" s="160"/>
      <c r="G151" s="224">
        <f>$E$5</f>
        <v>1169500932</v>
      </c>
      <c r="H151" s="216"/>
      <c r="I151" s="70">
        <v>3</v>
      </c>
      <c r="J151" s="70">
        <v>6</v>
      </c>
      <c r="K151" s="70">
        <v>80</v>
      </c>
      <c r="L151" s="4"/>
      <c r="M151" s="5"/>
      <c r="N151" s="5"/>
    </row>
    <row r="152" spans="1:14" x14ac:dyDescent="0.25">
      <c r="A152" s="17"/>
      <c r="B152" s="6"/>
      <c r="C152" s="162" t="s">
        <v>54</v>
      </c>
      <c r="D152" s="160"/>
      <c r="E152" s="160"/>
      <c r="F152" s="160"/>
      <c r="G152" s="160"/>
      <c r="H152" s="160"/>
      <c r="I152" s="70">
        <v>6</v>
      </c>
      <c r="J152" s="70">
        <v>10</v>
      </c>
      <c r="K152" s="70">
        <v>100</v>
      </c>
      <c r="L152" s="4"/>
      <c r="M152" s="5"/>
      <c r="N152" s="5"/>
    </row>
    <row r="153" spans="1:14" x14ac:dyDescent="0.25">
      <c r="A153" s="17"/>
      <c r="B153" s="6"/>
      <c r="C153" s="161" t="s">
        <v>55</v>
      </c>
      <c r="D153" s="160"/>
      <c r="E153" s="160"/>
      <c r="F153" s="160"/>
      <c r="G153" s="166" t="s">
        <v>56</v>
      </c>
      <c r="H153" s="160"/>
      <c r="I153" s="70">
        <v>10</v>
      </c>
      <c r="J153" s="70" t="s">
        <v>57</v>
      </c>
      <c r="K153" s="70">
        <v>120</v>
      </c>
      <c r="L153" s="4"/>
      <c r="M153" s="5"/>
      <c r="N153" s="5"/>
    </row>
    <row r="154" spans="1:14" x14ac:dyDescent="0.25">
      <c r="A154" s="17"/>
      <c r="B154" s="6"/>
      <c r="C154" s="162" t="s">
        <v>58</v>
      </c>
      <c r="D154" s="160"/>
      <c r="E154" s="160"/>
      <c r="F154" s="160"/>
      <c r="G154" s="230">
        <v>13520501800</v>
      </c>
      <c r="H154" s="160"/>
      <c r="I154" s="5"/>
      <c r="J154" s="5"/>
      <c r="K154" s="5"/>
      <c r="L154" s="5"/>
      <c r="M154" s="5"/>
      <c r="N154" s="5"/>
    </row>
    <row r="155" spans="1:14" x14ac:dyDescent="0.25">
      <c r="A155" s="17"/>
      <c r="B155" s="6"/>
      <c r="C155" s="161"/>
      <c r="D155" s="160"/>
      <c r="E155" s="160"/>
      <c r="F155" s="160"/>
      <c r="G155" s="231"/>
      <c r="H155" s="160"/>
      <c r="I155" s="5"/>
      <c r="J155" s="5"/>
      <c r="K155" s="5"/>
      <c r="L155" s="5"/>
      <c r="M155" s="5"/>
      <c r="N155" s="5"/>
    </row>
    <row r="156" spans="1:14" x14ac:dyDescent="0.25">
      <c r="A156" s="17"/>
      <c r="B156" s="6"/>
      <c r="C156" s="159" t="s">
        <v>59</v>
      </c>
      <c r="D156" s="160"/>
      <c r="E156" s="160"/>
      <c r="F156" s="160"/>
      <c r="G156" s="229">
        <f>SUM(G153:H155)</f>
        <v>13520501800</v>
      </c>
      <c r="H156" s="160"/>
      <c r="I156" s="5"/>
      <c r="J156" s="5"/>
      <c r="K156" s="5"/>
      <c r="L156" s="5"/>
      <c r="M156" s="5"/>
      <c r="N156" s="5"/>
    </row>
    <row r="157" spans="1:14" x14ac:dyDescent="0.25">
      <c r="A157" s="17"/>
      <c r="B157" s="6"/>
      <c r="C157" s="159" t="s">
        <v>60</v>
      </c>
      <c r="D157" s="160"/>
      <c r="E157" s="160"/>
      <c r="F157" s="160"/>
      <c r="G157" s="160"/>
      <c r="H157" s="71">
        <f>IF(OR(G150="",G150=0,G156=0),0,G156/(G151*G150))</f>
        <v>0</v>
      </c>
      <c r="I157" s="5"/>
      <c r="J157" s="5"/>
      <c r="K157" s="5"/>
      <c r="L157" s="5"/>
      <c r="M157" s="5"/>
      <c r="N157" s="5"/>
    </row>
    <row r="158" spans="1:14" x14ac:dyDescent="0.25">
      <c r="A158" s="17"/>
      <c r="B158" s="6"/>
      <c r="C158" s="159" t="s">
        <v>61</v>
      </c>
      <c r="D158" s="160"/>
      <c r="E158" s="160"/>
      <c r="F158" s="160"/>
      <c r="G158" s="160"/>
      <c r="H158" s="22">
        <f>IF(H157&lt;=J150,K150,IF(H157&lt;=J151,K151,IF(H157&lt;=J152,K152,K153)))</f>
        <v>60</v>
      </c>
      <c r="I158" s="5"/>
      <c r="J158" s="23"/>
      <c r="K158" s="5"/>
      <c r="L158" s="5"/>
      <c r="M158" s="5"/>
      <c r="N158" s="5"/>
    </row>
    <row r="159" spans="1:14" x14ac:dyDescent="0.25">
      <c r="A159" s="14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</row>
    <row r="160" spans="1:14" x14ac:dyDescent="0.25">
      <c r="A160" s="17"/>
      <c r="B160" s="6"/>
      <c r="C160" s="219" t="s">
        <v>62</v>
      </c>
      <c r="D160" s="160"/>
      <c r="E160" s="160"/>
      <c r="F160" s="160"/>
      <c r="G160" s="160"/>
      <c r="H160" s="160"/>
      <c r="I160" s="7" t="s">
        <v>63</v>
      </c>
      <c r="J160" s="7" t="s">
        <v>64</v>
      </c>
      <c r="K160" s="7" t="s">
        <v>52</v>
      </c>
      <c r="L160" s="6"/>
      <c r="M160" s="5"/>
      <c r="N160" s="5"/>
    </row>
    <row r="161" spans="1:14" x14ac:dyDescent="0.25">
      <c r="A161" s="17"/>
      <c r="B161" s="6"/>
      <c r="C161" s="159" t="s">
        <v>65</v>
      </c>
      <c r="D161" s="160"/>
      <c r="E161" s="160"/>
      <c r="F161" s="160"/>
      <c r="G161" s="160"/>
      <c r="H161" s="67" t="e">
        <f>VLOOKUP(A134,'CAPACIDAD FINANCIERA'!$A$6:$AK$308,5,FALSE)</f>
        <v>#N/A</v>
      </c>
      <c r="I161" s="24">
        <v>0</v>
      </c>
      <c r="J161" s="24">
        <v>0.5</v>
      </c>
      <c r="K161" s="70">
        <v>20</v>
      </c>
      <c r="L161" s="4"/>
      <c r="M161" s="5"/>
      <c r="N161" s="5"/>
    </row>
    <row r="162" spans="1:14" x14ac:dyDescent="0.25">
      <c r="A162" s="17"/>
      <c r="B162" s="6"/>
      <c r="C162" s="159" t="s">
        <v>66</v>
      </c>
      <c r="D162" s="160"/>
      <c r="E162" s="160"/>
      <c r="F162" s="160"/>
      <c r="G162" s="160"/>
      <c r="H162" s="67" t="e">
        <f>VLOOKUP(A134,'CAPACIDAD FINANCIERA'!$A$6:$AK$308,7,FALSE)</f>
        <v>#N/A</v>
      </c>
      <c r="I162" s="24">
        <v>0.5</v>
      </c>
      <c r="J162" s="24">
        <v>0.75</v>
      </c>
      <c r="K162" s="70">
        <v>25</v>
      </c>
      <c r="L162" s="4"/>
      <c r="M162" s="5"/>
      <c r="N162" s="5"/>
    </row>
    <row r="163" spans="1:14" x14ac:dyDescent="0.25">
      <c r="A163" s="17"/>
      <c r="B163" s="6"/>
      <c r="C163" s="159" t="s">
        <v>67</v>
      </c>
      <c r="D163" s="160"/>
      <c r="E163" s="160"/>
      <c r="F163" s="160"/>
      <c r="G163" s="160"/>
      <c r="H163" s="71" t="e">
        <f>ROUND(IF(H161="",0,H161/H162),2)</f>
        <v>#N/A</v>
      </c>
      <c r="I163" s="24">
        <v>0.75</v>
      </c>
      <c r="J163" s="24">
        <v>1</v>
      </c>
      <c r="K163" s="70">
        <v>30</v>
      </c>
      <c r="L163" s="4"/>
      <c r="M163" s="5"/>
      <c r="N163" s="5"/>
    </row>
    <row r="164" spans="1:14" x14ac:dyDescent="0.25">
      <c r="A164" s="17"/>
      <c r="B164" s="6"/>
      <c r="C164" s="159" t="s">
        <v>68</v>
      </c>
      <c r="D164" s="160"/>
      <c r="E164" s="160"/>
      <c r="F164" s="160"/>
      <c r="G164" s="160"/>
      <c r="H164" s="22" t="e">
        <f>IF(H163="",0,IF(H163&lt;J161,K161,IF(H163&lt;J162,K162,IF(H163&lt;J163,K163,IF(H163&lt;J164,K164,K165)))))</f>
        <v>#N/A</v>
      </c>
      <c r="I164" s="24">
        <v>1</v>
      </c>
      <c r="J164" s="24">
        <v>1.5</v>
      </c>
      <c r="K164" s="70">
        <v>35</v>
      </c>
      <c r="L164" s="4"/>
      <c r="M164" s="5"/>
      <c r="N164" s="5"/>
    </row>
    <row r="165" spans="1:14" x14ac:dyDescent="0.25">
      <c r="A165" s="17"/>
      <c r="B165" s="6"/>
      <c r="C165" s="5"/>
      <c r="D165" s="5"/>
      <c r="E165" s="5"/>
      <c r="F165" s="5"/>
      <c r="G165" s="5"/>
      <c r="H165" s="5"/>
      <c r="I165" s="24">
        <v>1.5</v>
      </c>
      <c r="J165" s="24" t="s">
        <v>57</v>
      </c>
      <c r="K165" s="70">
        <v>40</v>
      </c>
      <c r="L165" s="4"/>
      <c r="M165" s="5"/>
      <c r="N165" s="5"/>
    </row>
    <row r="166" spans="1:14" x14ac:dyDescent="0.25">
      <c r="A166" s="14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</row>
    <row r="167" spans="1:14" x14ac:dyDescent="0.25">
      <c r="A167" s="17"/>
      <c r="B167" s="6"/>
      <c r="C167" s="219" t="s">
        <v>69</v>
      </c>
      <c r="D167" s="160"/>
      <c r="E167" s="160"/>
      <c r="F167" s="160"/>
      <c r="G167" s="160"/>
      <c r="H167" s="160"/>
      <c r="I167" s="7" t="s">
        <v>70</v>
      </c>
      <c r="J167" s="7" t="s">
        <v>71</v>
      </c>
      <c r="K167" s="7" t="s">
        <v>52</v>
      </c>
      <c r="L167" s="6"/>
      <c r="M167" s="5"/>
      <c r="N167" s="5"/>
    </row>
    <row r="168" spans="1:14" x14ac:dyDescent="0.25">
      <c r="A168" s="17"/>
      <c r="B168" s="6"/>
      <c r="C168" s="159" t="s">
        <v>72</v>
      </c>
      <c r="D168" s="160"/>
      <c r="E168" s="160"/>
      <c r="F168" s="160"/>
      <c r="G168" s="160"/>
      <c r="H168" s="25">
        <v>1</v>
      </c>
      <c r="I168" s="26">
        <v>1</v>
      </c>
      <c r="J168" s="26">
        <v>5</v>
      </c>
      <c r="K168" s="70">
        <v>20</v>
      </c>
      <c r="L168" s="4"/>
      <c r="M168" s="5"/>
      <c r="N168" s="5"/>
    </row>
    <row r="169" spans="1:14" x14ac:dyDescent="0.25">
      <c r="A169" s="17"/>
      <c r="B169" s="6"/>
      <c r="C169" s="159" t="s">
        <v>73</v>
      </c>
      <c r="D169" s="160"/>
      <c r="E169" s="160"/>
      <c r="F169" s="160"/>
      <c r="G169" s="160"/>
      <c r="H169" s="22">
        <f>IF(H168&lt;I168,0,IF(H168&lt;=J168,K168,IF(H168&lt;=J169,K169,K170)))</f>
        <v>20</v>
      </c>
      <c r="I169" s="26">
        <v>6</v>
      </c>
      <c r="J169" s="26">
        <v>10</v>
      </c>
      <c r="K169" s="70">
        <v>30</v>
      </c>
      <c r="L169" s="4"/>
      <c r="M169" s="5"/>
      <c r="N169" s="5"/>
    </row>
    <row r="170" spans="1:14" x14ac:dyDescent="0.25">
      <c r="A170" s="17"/>
      <c r="B170" s="6"/>
      <c r="C170" s="5"/>
      <c r="D170" s="5"/>
      <c r="E170" s="5"/>
      <c r="F170" s="5"/>
      <c r="G170" s="5"/>
      <c r="H170" s="5"/>
      <c r="I170" s="26">
        <v>11</v>
      </c>
      <c r="J170" s="24" t="s">
        <v>57</v>
      </c>
      <c r="K170" s="70">
        <v>40</v>
      </c>
      <c r="L170" s="4"/>
      <c r="M170" s="5"/>
      <c r="N170" s="5"/>
    </row>
    <row r="171" spans="1:14" x14ac:dyDescent="0.25">
      <c r="A171" s="14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</row>
    <row r="172" spans="1:14" x14ac:dyDescent="0.25">
      <c r="A172" s="17"/>
      <c r="B172" s="6"/>
      <c r="C172" s="222" t="s">
        <v>74</v>
      </c>
      <c r="D172" s="160"/>
      <c r="E172" s="160"/>
      <c r="F172" s="160"/>
      <c r="G172" s="160"/>
      <c r="H172" s="160"/>
      <c r="I172" s="160"/>
      <c r="J172" s="160"/>
      <c r="K172" s="160"/>
      <c r="L172" s="160"/>
      <c r="M172" s="160"/>
      <c r="N172" s="160"/>
    </row>
    <row r="173" spans="1:14" x14ac:dyDescent="0.25">
      <c r="A173" s="27"/>
      <c r="B173" s="28"/>
      <c r="C173" s="162" t="s">
        <v>75</v>
      </c>
      <c r="D173" s="160"/>
      <c r="E173" s="160"/>
      <c r="F173" s="160"/>
      <c r="G173" s="160"/>
      <c r="H173" s="160"/>
      <c r="I173" s="160"/>
      <c r="J173" s="160"/>
      <c r="K173" s="160"/>
      <c r="L173" s="160"/>
      <c r="M173" s="160"/>
      <c r="N173" s="160"/>
    </row>
    <row r="174" spans="1:14" ht="36" x14ac:dyDescent="0.25">
      <c r="A174" s="29"/>
      <c r="B174" s="28"/>
      <c r="C174" s="69" t="s">
        <v>76</v>
      </c>
      <c r="D174" s="70" t="s">
        <v>77</v>
      </c>
      <c r="E174" s="70" t="s">
        <v>56</v>
      </c>
      <c r="F174" s="70" t="s">
        <v>78</v>
      </c>
      <c r="G174" s="30" t="s">
        <v>123</v>
      </c>
      <c r="H174" s="70" t="s">
        <v>80</v>
      </c>
      <c r="I174" s="70" t="s">
        <v>81</v>
      </c>
      <c r="J174" s="70" t="s">
        <v>82</v>
      </c>
      <c r="K174" s="70" t="s">
        <v>83</v>
      </c>
      <c r="L174" s="70"/>
      <c r="M174" s="30" t="s">
        <v>84</v>
      </c>
      <c r="N174" s="70" t="s">
        <v>85</v>
      </c>
    </row>
    <row r="175" spans="1:14" hidden="1" x14ac:dyDescent="0.25">
      <c r="A175" s="29"/>
      <c r="B175" s="28"/>
      <c r="C175" s="69"/>
      <c r="D175" s="70"/>
      <c r="E175" s="70"/>
      <c r="F175" s="70"/>
      <c r="G175" s="70"/>
      <c r="H175" s="70"/>
      <c r="I175" s="70"/>
      <c r="J175" s="70"/>
      <c r="K175" s="70"/>
      <c r="L175" s="70"/>
      <c r="M175" s="30"/>
      <c r="N175" s="70"/>
    </row>
    <row r="176" spans="1:14" x14ac:dyDescent="0.25">
      <c r="A176" s="29"/>
      <c r="B176" s="28"/>
      <c r="C176" s="72"/>
      <c r="D176" s="31"/>
      <c r="E176" s="57"/>
      <c r="F176" s="56"/>
      <c r="G176" s="34"/>
      <c r="H176" s="35"/>
      <c r="I176" s="35"/>
      <c r="J176" s="35"/>
      <c r="K176" s="35"/>
      <c r="L176" s="35"/>
      <c r="M176" s="24" t="str">
        <f t="shared" ref="M176:M180" si="4">IF(C176="","",IF(IF(H176&lt;&gt;"",IF(I176&lt;&gt;"",IF(J176&lt;&gt;"",IF(K176&lt;&gt;"",G176+F176*30+(I176-H176)+(K176-J176)-$E$6,G176+F176*30+(I176-H176)-J176),G176+F176*30+(I176-H176)-$E$6),G176+F176*30-H176),G176+F176*30-$E$6)&lt;0,0,IF(H176&lt;&gt;"",IF(I176&lt;&gt;"",IF(J176&lt;&gt;"",IF(K176&lt;&gt;"",G176+F176*30+(I176-H176)+(K176-J176)-$E$6,G176+F176*30+(I176-H176)-J176),G176+F176*30+(I176-H176)-$E$6),G176+F176*30-H176),G176+F176*30-$E$6)))</f>
        <v/>
      </c>
      <c r="N176" s="65" t="str">
        <f t="shared" ref="N176:N180" si="5">IF(C176="","",IF(M176&lt;360,D176*E176*M176/(F176*30),D176*E176*360/(F176*30)))</f>
        <v/>
      </c>
    </row>
    <row r="177" spans="1:14" x14ac:dyDescent="0.25">
      <c r="A177" s="29"/>
      <c r="B177" s="28"/>
      <c r="C177" s="72"/>
      <c r="D177" s="31"/>
      <c r="E177" s="57"/>
      <c r="F177" s="56"/>
      <c r="G177" s="34"/>
      <c r="H177" s="35"/>
      <c r="I177" s="35"/>
      <c r="J177" s="35"/>
      <c r="K177" s="35"/>
      <c r="L177" s="35"/>
      <c r="M177" s="24" t="str">
        <f t="shared" si="4"/>
        <v/>
      </c>
      <c r="N177" s="65" t="str">
        <f t="shared" si="5"/>
        <v/>
      </c>
    </row>
    <row r="178" spans="1:14" x14ac:dyDescent="0.25">
      <c r="A178" s="29"/>
      <c r="B178" s="28"/>
      <c r="C178" s="72"/>
      <c r="D178" s="31"/>
      <c r="E178" s="57"/>
      <c r="F178" s="56"/>
      <c r="G178" s="34"/>
      <c r="H178" s="35"/>
      <c r="I178" s="35"/>
      <c r="J178" s="35"/>
      <c r="K178" s="35"/>
      <c r="L178" s="35"/>
      <c r="M178" s="24" t="str">
        <f t="shared" si="4"/>
        <v/>
      </c>
      <c r="N178" s="65" t="str">
        <f t="shared" si="5"/>
        <v/>
      </c>
    </row>
    <row r="179" spans="1:14" x14ac:dyDescent="0.25">
      <c r="A179" s="29"/>
      <c r="B179" s="28"/>
      <c r="C179" s="72"/>
      <c r="D179" s="31"/>
      <c r="E179" s="57"/>
      <c r="F179" s="56"/>
      <c r="G179" s="34"/>
      <c r="H179" s="35"/>
      <c r="I179" s="35"/>
      <c r="J179" s="35"/>
      <c r="K179" s="35"/>
      <c r="L179" s="35"/>
      <c r="M179" s="24" t="str">
        <f t="shared" si="4"/>
        <v/>
      </c>
      <c r="N179" s="65" t="str">
        <f t="shared" si="5"/>
        <v/>
      </c>
    </row>
    <row r="180" spans="1:14" x14ac:dyDescent="0.25">
      <c r="A180" s="29"/>
      <c r="B180" s="28"/>
      <c r="C180" s="72"/>
      <c r="D180" s="31"/>
      <c r="E180" s="57"/>
      <c r="F180" s="56"/>
      <c r="G180" s="34"/>
      <c r="H180" s="35"/>
      <c r="I180" s="35"/>
      <c r="J180" s="35"/>
      <c r="K180" s="35"/>
      <c r="L180" s="35"/>
      <c r="M180" s="24" t="str">
        <f t="shared" si="4"/>
        <v/>
      </c>
      <c r="N180" s="65" t="str">
        <f t="shared" si="5"/>
        <v/>
      </c>
    </row>
    <row r="181" spans="1:14" hidden="1" x14ac:dyDescent="0.25">
      <c r="A181" s="29"/>
      <c r="B181" s="28"/>
      <c r="C181" s="72"/>
      <c r="D181" s="31"/>
      <c r="E181" s="32"/>
      <c r="F181" s="33"/>
      <c r="G181" s="34"/>
      <c r="H181" s="35"/>
      <c r="I181" s="35"/>
      <c r="J181" s="35"/>
      <c r="K181" s="35"/>
      <c r="L181" s="35"/>
      <c r="M181" s="70"/>
      <c r="N181" s="65"/>
    </row>
    <row r="182" spans="1:14" x14ac:dyDescent="0.25">
      <c r="A182" s="29"/>
      <c r="B182" s="1"/>
      <c r="C182" s="159" t="s">
        <v>86</v>
      </c>
      <c r="D182" s="160"/>
      <c r="E182" s="160"/>
      <c r="F182" s="160"/>
      <c r="G182" s="160"/>
      <c r="H182" s="160"/>
      <c r="I182" s="160"/>
      <c r="J182" s="160"/>
      <c r="K182" s="160"/>
      <c r="L182" s="160"/>
      <c r="M182" s="160"/>
      <c r="N182" s="66">
        <f>SUM(N175:N181)</f>
        <v>0</v>
      </c>
    </row>
    <row r="184" spans="1:14" x14ac:dyDescent="0.25">
      <c r="A184" s="197" t="s">
        <v>95</v>
      </c>
      <c r="B184" s="197"/>
      <c r="C184" s="197" t="s">
        <v>96</v>
      </c>
      <c r="D184" s="197"/>
      <c r="E184" s="197"/>
      <c r="F184" s="197" t="s">
        <v>97</v>
      </c>
      <c r="G184" s="197"/>
      <c r="H184" s="197"/>
      <c r="I184" s="197"/>
      <c r="J184" s="197"/>
      <c r="K184" s="197"/>
      <c r="L184" s="197"/>
      <c r="M184" s="197"/>
      <c r="N184" s="197"/>
    </row>
    <row r="185" spans="1:14" x14ac:dyDescent="0.25">
      <c r="A185" s="197" t="str">
        <f>IF(A27="N/A","",A27)</f>
        <v/>
      </c>
      <c r="B185" s="197"/>
      <c r="C185" s="198" t="s">
        <v>91</v>
      </c>
      <c r="D185" s="199" t="str">
        <f>IF(A185="","",VLOOKUP(A185,'CAPACIDAD RESIDUAL'!$A$6:$D$304,2,FALSE))</f>
        <v/>
      </c>
      <c r="E185" s="200"/>
      <c r="F185" s="197" t="str">
        <f>$C$38</f>
        <v>Capacidad de Organización (CO)</v>
      </c>
      <c r="G185" s="197"/>
      <c r="H185" s="197"/>
      <c r="I185" s="58" t="str">
        <f>IF(A185="","",G198)</f>
        <v/>
      </c>
      <c r="J185" s="203" t="s">
        <v>88</v>
      </c>
      <c r="K185" s="183" t="str">
        <f>IF(A185="","",I185*(I186+I187+I188)/100-I189)</f>
        <v/>
      </c>
      <c r="L185" s="184"/>
      <c r="M185" s="184"/>
      <c r="N185" s="185"/>
    </row>
    <row r="186" spans="1:14" x14ac:dyDescent="0.25">
      <c r="A186" s="197"/>
      <c r="B186" s="197"/>
      <c r="C186" s="198"/>
      <c r="D186" s="201"/>
      <c r="E186" s="202"/>
      <c r="F186" s="197" t="str">
        <f>$C$47</f>
        <v>Experiencia (E)</v>
      </c>
      <c r="G186" s="197"/>
      <c r="H186" s="197"/>
      <c r="I186" s="22" t="str">
        <f>IF(A185="","",H209)</f>
        <v/>
      </c>
      <c r="J186" s="204"/>
      <c r="K186" s="186"/>
      <c r="L186" s="187"/>
      <c r="M186" s="187"/>
      <c r="N186" s="188"/>
    </row>
    <row r="187" spans="1:14" x14ac:dyDescent="0.25">
      <c r="A187" s="197"/>
      <c r="B187" s="197"/>
      <c r="C187" s="198" t="s">
        <v>92</v>
      </c>
      <c r="D187" s="205" t="str">
        <f>IF(A185="","",VLOOKUP(A185,'CAPACIDAD RESIDUAL'!$A$6:$D$304,3,FALSE))</f>
        <v/>
      </c>
      <c r="E187" s="206"/>
      <c r="F187" s="197" t="str">
        <f>$C$58</f>
        <v>Capacidad Financiera (CF)</v>
      </c>
      <c r="G187" s="197"/>
      <c r="H187" s="197"/>
      <c r="I187" s="22" t="str">
        <f>IF(A185="","",H215)</f>
        <v/>
      </c>
      <c r="J187" s="191" t="str">
        <f>IF(A185="","",IF(K185&gt;$E$9,"CUMPLE","NO CUMPLE"))</f>
        <v/>
      </c>
      <c r="K187" s="191"/>
      <c r="L187" s="191"/>
      <c r="M187" s="191"/>
      <c r="N187" s="191"/>
    </row>
    <row r="188" spans="1:14" x14ac:dyDescent="0.25">
      <c r="A188" s="197"/>
      <c r="B188" s="197"/>
      <c r="C188" s="198"/>
      <c r="D188" s="207"/>
      <c r="E188" s="208"/>
      <c r="F188" s="197" t="str">
        <f>$C$65</f>
        <v>Capacidad Técnica (CT)</v>
      </c>
      <c r="G188" s="197"/>
      <c r="H188" s="197"/>
      <c r="I188" s="22" t="str">
        <f>IF(A185="","",H220)</f>
        <v/>
      </c>
      <c r="J188" s="191"/>
      <c r="K188" s="191"/>
      <c r="L188" s="191"/>
      <c r="M188" s="191"/>
      <c r="N188" s="191"/>
    </row>
    <row r="189" spans="1:14" x14ac:dyDescent="0.25">
      <c r="A189" s="197"/>
      <c r="B189" s="197"/>
      <c r="C189" s="73" t="s">
        <v>93</v>
      </c>
      <c r="D189" s="209" t="str">
        <f>IF(A185="","",VLOOKUP(A185,'CAPACIDAD RESIDUAL'!$A$6:$D$304,4,FALSE))</f>
        <v/>
      </c>
      <c r="E189" s="210"/>
      <c r="F189" s="211" t="str">
        <f>$C$70</f>
        <v>Saldo de los Contratos en Ejecución (SCE)</v>
      </c>
      <c r="G189" s="211"/>
      <c r="H189" s="211"/>
      <c r="I189" s="58" t="str">
        <f>IF(A185="","",N233)</f>
        <v/>
      </c>
      <c r="J189" s="191"/>
      <c r="K189" s="191"/>
      <c r="L189" s="191"/>
      <c r="M189" s="191"/>
      <c r="N189" s="191"/>
    </row>
    <row r="190" spans="1:14" x14ac:dyDescent="0.25">
      <c r="A190" s="14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</row>
    <row r="191" spans="1:14" x14ac:dyDescent="0.25">
      <c r="A191" s="44"/>
      <c r="C191" s="219" t="s">
        <v>34</v>
      </c>
      <c r="D191" s="160"/>
      <c r="E191" s="160"/>
      <c r="F191" s="160"/>
      <c r="G191" s="160"/>
      <c r="H191" s="160"/>
      <c r="I191" s="220" t="s">
        <v>35</v>
      </c>
      <c r="J191" s="160"/>
      <c r="K191" s="220" t="s">
        <v>36</v>
      </c>
      <c r="L191" s="220"/>
      <c r="M191" s="160"/>
      <c r="N191" s="160"/>
    </row>
    <row r="192" spans="1:14" x14ac:dyDescent="0.25">
      <c r="A192" s="17"/>
      <c r="B192" s="6"/>
      <c r="C192" s="161" t="s">
        <v>37</v>
      </c>
      <c r="D192" s="160"/>
      <c r="E192" s="160"/>
      <c r="F192" s="160"/>
      <c r="G192" s="221" t="s">
        <v>27</v>
      </c>
      <c r="H192" s="160"/>
      <c r="I192" s="214" t="s">
        <v>38</v>
      </c>
      <c r="J192" s="160"/>
      <c r="K192" s="214" t="s">
        <v>39</v>
      </c>
      <c r="L192" s="214"/>
      <c r="M192" s="160"/>
      <c r="N192" s="160"/>
    </row>
    <row r="193" spans="1:14" x14ac:dyDescent="0.25">
      <c r="A193" s="17"/>
      <c r="B193" s="6"/>
      <c r="C193" s="161" t="s">
        <v>40</v>
      </c>
      <c r="D193" s="160"/>
      <c r="E193" s="160"/>
      <c r="F193" s="160"/>
      <c r="G193" s="212"/>
      <c r="H193" s="213"/>
      <c r="I193" s="214" t="s">
        <v>41</v>
      </c>
      <c r="J193" s="160"/>
      <c r="K193" s="214" t="s">
        <v>42</v>
      </c>
      <c r="L193" s="214"/>
      <c r="M193" s="160"/>
      <c r="N193" s="160"/>
    </row>
    <row r="194" spans="1:14" x14ac:dyDescent="0.25">
      <c r="A194" s="17"/>
      <c r="B194" s="6"/>
      <c r="C194" s="159" t="str">
        <f>IF(G192="","",IF(G192=$S$5,"Valor umbral Mipyme.","Total Ingresos Operacionales Acreditados"))</f>
        <v>Total Ingresos Operacionales Acreditados</v>
      </c>
      <c r="D194" s="160"/>
      <c r="E194" s="160"/>
      <c r="F194" s="160"/>
      <c r="G194" s="215"/>
      <c r="H194" s="216"/>
      <c r="I194" s="214" t="s">
        <v>43</v>
      </c>
      <c r="J194" s="160"/>
      <c r="K194" s="18" t="s">
        <v>44</v>
      </c>
      <c r="L194" s="18"/>
      <c r="M194" s="217">
        <v>457297264</v>
      </c>
      <c r="N194" s="218"/>
    </row>
    <row r="195" spans="1:14" x14ac:dyDescent="0.25">
      <c r="A195" s="17"/>
      <c r="B195" s="6"/>
      <c r="C195" s="162" t="s">
        <v>45</v>
      </c>
      <c r="D195" s="160"/>
      <c r="E195" s="160"/>
      <c r="F195" s="160"/>
      <c r="G195" s="160"/>
      <c r="H195" s="160"/>
      <c r="I195" s="19"/>
      <c r="J195" s="19"/>
      <c r="K195" s="20"/>
      <c r="L195" s="20"/>
      <c r="M195" s="21"/>
      <c r="N195" s="21"/>
    </row>
    <row r="196" spans="1:14" x14ac:dyDescent="0.25">
      <c r="A196" s="17"/>
      <c r="B196" s="6"/>
      <c r="C196" s="69" t="s">
        <v>46</v>
      </c>
      <c r="D196" s="225"/>
      <c r="E196" s="160"/>
      <c r="F196" s="226" t="s">
        <v>47</v>
      </c>
      <c r="G196" s="160"/>
      <c r="H196" s="72" t="s">
        <v>87</v>
      </c>
      <c r="I196" s="19"/>
      <c r="J196" s="19"/>
      <c r="K196" s="20"/>
      <c r="L196" s="20"/>
      <c r="M196" s="21"/>
      <c r="N196" s="21"/>
    </row>
    <row r="197" spans="1:14" x14ac:dyDescent="0.25">
      <c r="A197" s="17"/>
      <c r="B197" s="6"/>
      <c r="C197" s="69" t="s">
        <v>48</v>
      </c>
      <c r="D197" s="225"/>
      <c r="E197" s="160"/>
      <c r="F197" s="226" t="s">
        <v>47</v>
      </c>
      <c r="G197" s="160"/>
      <c r="H197" s="72" t="s">
        <v>87</v>
      </c>
      <c r="I197" s="19"/>
      <c r="J197" s="19"/>
      <c r="K197" s="20"/>
      <c r="L197" s="20"/>
      <c r="M197" s="21"/>
      <c r="N197" s="21"/>
    </row>
    <row r="198" spans="1:14" x14ac:dyDescent="0.25">
      <c r="A198" s="17"/>
      <c r="B198" s="6"/>
      <c r="C198" s="69" t="s">
        <v>49</v>
      </c>
      <c r="D198" s="69"/>
      <c r="E198" s="69"/>
      <c r="F198" s="69"/>
      <c r="G198" s="227">
        <f>IF(OR(H196="SIN VIGENCIA",H196="NO APORTA",H197="SIN VIGENCIA",H197="NO APORTA"),0,IF(G192="",0,IF(G192=$S$5,M194,IF(G194&lt;M194,M194,G194))))</f>
        <v>457297264</v>
      </c>
      <c r="H198" s="228"/>
      <c r="I198" s="5"/>
      <c r="J198" s="5"/>
      <c r="K198" s="5"/>
      <c r="L198" s="5"/>
      <c r="M198" s="5"/>
      <c r="N198" s="5"/>
    </row>
    <row r="199" spans="1:14" x14ac:dyDescent="0.25">
      <c r="A199" s="14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</row>
    <row r="200" spans="1:14" x14ac:dyDescent="0.25">
      <c r="A200" s="17"/>
      <c r="B200" s="6"/>
      <c r="C200" s="222" t="s">
        <v>26</v>
      </c>
      <c r="D200" s="160"/>
      <c r="E200" s="160"/>
      <c r="F200" s="160"/>
      <c r="G200" s="160"/>
      <c r="H200" s="160"/>
      <c r="I200" s="7" t="s">
        <v>50</v>
      </c>
      <c r="J200" s="7" t="s">
        <v>51</v>
      </c>
      <c r="K200" s="7" t="s">
        <v>52</v>
      </c>
      <c r="L200" s="6"/>
      <c r="M200" s="5"/>
      <c r="N200" s="5"/>
    </row>
    <row r="201" spans="1:14" x14ac:dyDescent="0.25">
      <c r="A201" s="17"/>
      <c r="B201" s="6"/>
      <c r="C201" s="161" t="s">
        <v>53</v>
      </c>
      <c r="D201" s="160"/>
      <c r="E201" s="160"/>
      <c r="F201" s="160"/>
      <c r="G201" s="223" t="str">
        <f>D189</f>
        <v/>
      </c>
      <c r="H201" s="160"/>
      <c r="I201" s="70">
        <v>0</v>
      </c>
      <c r="J201" s="70">
        <v>3</v>
      </c>
      <c r="K201" s="70">
        <v>60</v>
      </c>
      <c r="L201" s="4"/>
      <c r="M201" s="5"/>
      <c r="N201" s="5"/>
    </row>
    <row r="202" spans="1:14" x14ac:dyDescent="0.25">
      <c r="A202" s="17"/>
      <c r="B202" s="6"/>
      <c r="C202" s="161" t="s">
        <v>22</v>
      </c>
      <c r="D202" s="160"/>
      <c r="E202" s="160"/>
      <c r="F202" s="160"/>
      <c r="G202" s="224">
        <f>$E$5</f>
        <v>1169500932</v>
      </c>
      <c r="H202" s="216"/>
      <c r="I202" s="70">
        <v>3</v>
      </c>
      <c r="J202" s="70">
        <v>6</v>
      </c>
      <c r="K202" s="70">
        <v>80</v>
      </c>
      <c r="L202" s="4"/>
      <c r="M202" s="5"/>
      <c r="N202" s="5"/>
    </row>
    <row r="203" spans="1:14" x14ac:dyDescent="0.25">
      <c r="A203" s="17"/>
      <c r="B203" s="6"/>
      <c r="C203" s="162" t="s">
        <v>54</v>
      </c>
      <c r="D203" s="160"/>
      <c r="E203" s="160"/>
      <c r="F203" s="160"/>
      <c r="G203" s="160"/>
      <c r="H203" s="160"/>
      <c r="I203" s="70">
        <v>6</v>
      </c>
      <c r="J203" s="70">
        <v>10</v>
      </c>
      <c r="K203" s="70">
        <v>100</v>
      </c>
      <c r="L203" s="4"/>
      <c r="M203" s="5"/>
      <c r="N203" s="5"/>
    </row>
    <row r="204" spans="1:14" x14ac:dyDescent="0.25">
      <c r="A204" s="17"/>
      <c r="B204" s="6"/>
      <c r="C204" s="161" t="s">
        <v>55</v>
      </c>
      <c r="D204" s="160"/>
      <c r="E204" s="160"/>
      <c r="F204" s="160"/>
      <c r="G204" s="166" t="s">
        <v>56</v>
      </c>
      <c r="H204" s="160"/>
      <c r="I204" s="70">
        <v>10</v>
      </c>
      <c r="J204" s="70" t="s">
        <v>57</v>
      </c>
      <c r="K204" s="70">
        <v>120</v>
      </c>
      <c r="L204" s="4"/>
      <c r="M204" s="5"/>
      <c r="N204" s="5"/>
    </row>
    <row r="205" spans="1:14" x14ac:dyDescent="0.25">
      <c r="A205" s="17"/>
      <c r="B205" s="6"/>
      <c r="C205" s="162" t="s">
        <v>58</v>
      </c>
      <c r="D205" s="160"/>
      <c r="E205" s="160"/>
      <c r="F205" s="160"/>
      <c r="G205" s="230"/>
      <c r="H205" s="160"/>
      <c r="I205" s="5"/>
      <c r="J205" s="5"/>
      <c r="K205" s="5"/>
      <c r="L205" s="5"/>
      <c r="M205" s="5"/>
      <c r="N205" s="5"/>
    </row>
    <row r="206" spans="1:14" x14ac:dyDescent="0.25">
      <c r="A206" s="17"/>
      <c r="B206" s="6"/>
      <c r="C206" s="161"/>
      <c r="D206" s="160"/>
      <c r="E206" s="160"/>
      <c r="F206" s="160"/>
      <c r="G206" s="231"/>
      <c r="H206" s="160"/>
      <c r="I206" s="5"/>
      <c r="J206" s="5"/>
      <c r="K206" s="5"/>
      <c r="L206" s="5"/>
      <c r="M206" s="5"/>
      <c r="N206" s="5"/>
    </row>
    <row r="207" spans="1:14" x14ac:dyDescent="0.25">
      <c r="A207" s="17"/>
      <c r="B207" s="6"/>
      <c r="C207" s="159" t="s">
        <v>59</v>
      </c>
      <c r="D207" s="160"/>
      <c r="E207" s="160"/>
      <c r="F207" s="160"/>
      <c r="G207" s="229">
        <f>SUM(G204:H206)</f>
        <v>0</v>
      </c>
      <c r="H207" s="160"/>
      <c r="I207" s="5"/>
      <c r="J207" s="5"/>
      <c r="K207" s="5"/>
      <c r="L207" s="5"/>
      <c r="M207" s="5"/>
      <c r="N207" s="5"/>
    </row>
    <row r="208" spans="1:14" x14ac:dyDescent="0.25">
      <c r="A208" s="17"/>
      <c r="B208" s="6"/>
      <c r="C208" s="159" t="s">
        <v>60</v>
      </c>
      <c r="D208" s="160"/>
      <c r="E208" s="160"/>
      <c r="F208" s="160"/>
      <c r="G208" s="160"/>
      <c r="H208" s="71">
        <f>IF(OR(G201="",G201=0,G207=0),0,G207/(G202*G201))</f>
        <v>0</v>
      </c>
      <c r="I208" s="5"/>
      <c r="J208" s="5"/>
      <c r="K208" s="5"/>
      <c r="L208" s="5"/>
      <c r="M208" s="5"/>
      <c r="N208" s="5"/>
    </row>
    <row r="209" spans="1:14" x14ac:dyDescent="0.25">
      <c r="A209" s="17"/>
      <c r="B209" s="6"/>
      <c r="C209" s="159" t="s">
        <v>61</v>
      </c>
      <c r="D209" s="160"/>
      <c r="E209" s="160"/>
      <c r="F209" s="160"/>
      <c r="G209" s="160"/>
      <c r="H209" s="22">
        <f>IF(H208&lt;=J201,K201,IF(H208&lt;=J202,K202,IF(H208&lt;=J203,K203,K204)))</f>
        <v>60</v>
      </c>
      <c r="I209" s="5"/>
      <c r="J209" s="23"/>
      <c r="K209" s="5"/>
      <c r="L209" s="5"/>
      <c r="M209" s="5"/>
      <c r="N209" s="5"/>
    </row>
    <row r="210" spans="1:14" x14ac:dyDescent="0.25">
      <c r="A210" s="14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</row>
    <row r="211" spans="1:14" x14ac:dyDescent="0.25">
      <c r="A211" s="17"/>
      <c r="B211" s="6"/>
      <c r="C211" s="219" t="s">
        <v>62</v>
      </c>
      <c r="D211" s="160"/>
      <c r="E211" s="160"/>
      <c r="F211" s="160"/>
      <c r="G211" s="160"/>
      <c r="H211" s="160"/>
      <c r="I211" s="7" t="s">
        <v>63</v>
      </c>
      <c r="J211" s="7" t="s">
        <v>64</v>
      </c>
      <c r="K211" s="7" t="s">
        <v>52</v>
      </c>
      <c r="L211" s="6"/>
      <c r="M211" s="5"/>
      <c r="N211" s="5"/>
    </row>
    <row r="212" spans="1:14" x14ac:dyDescent="0.25">
      <c r="A212" s="17"/>
      <c r="B212" s="6"/>
      <c r="C212" s="159" t="s">
        <v>65</v>
      </c>
      <c r="D212" s="160"/>
      <c r="E212" s="160"/>
      <c r="F212" s="160"/>
      <c r="G212" s="160"/>
      <c r="H212" s="67" t="e">
        <f>VLOOKUP(A185,'CAPACIDAD FINANCIERA'!$A$6:$AK$308,5,FALSE)</f>
        <v>#N/A</v>
      </c>
      <c r="I212" s="24">
        <v>0</v>
      </c>
      <c r="J212" s="24">
        <v>0.5</v>
      </c>
      <c r="K212" s="70">
        <v>20</v>
      </c>
      <c r="L212" s="4"/>
      <c r="M212" s="5"/>
      <c r="N212" s="5"/>
    </row>
    <row r="213" spans="1:14" x14ac:dyDescent="0.25">
      <c r="A213" s="17"/>
      <c r="B213" s="6"/>
      <c r="C213" s="159" t="s">
        <v>66</v>
      </c>
      <c r="D213" s="160"/>
      <c r="E213" s="160"/>
      <c r="F213" s="160"/>
      <c r="G213" s="160"/>
      <c r="H213" s="67" t="e">
        <f>VLOOKUP(A185,'CAPACIDAD FINANCIERA'!$A$6:$AK$308,7,FALSE)</f>
        <v>#N/A</v>
      </c>
      <c r="I213" s="24">
        <v>0.5</v>
      </c>
      <c r="J213" s="24">
        <v>0.75</v>
      </c>
      <c r="K213" s="70">
        <v>25</v>
      </c>
      <c r="L213" s="4"/>
      <c r="M213" s="5"/>
      <c r="N213" s="5"/>
    </row>
    <row r="214" spans="1:14" x14ac:dyDescent="0.25">
      <c r="A214" s="17"/>
      <c r="B214" s="6"/>
      <c r="C214" s="159" t="s">
        <v>67</v>
      </c>
      <c r="D214" s="160"/>
      <c r="E214" s="160"/>
      <c r="F214" s="160"/>
      <c r="G214" s="160"/>
      <c r="H214" s="71" t="e">
        <f>ROUND(IF(H212="",0,H212/H213),2)</f>
        <v>#N/A</v>
      </c>
      <c r="I214" s="24">
        <v>0.75</v>
      </c>
      <c r="J214" s="24">
        <v>1</v>
      </c>
      <c r="K214" s="70">
        <v>30</v>
      </c>
      <c r="L214" s="4"/>
      <c r="M214" s="5"/>
      <c r="N214" s="5"/>
    </row>
    <row r="215" spans="1:14" x14ac:dyDescent="0.25">
      <c r="A215" s="17"/>
      <c r="B215" s="6"/>
      <c r="C215" s="159" t="s">
        <v>68</v>
      </c>
      <c r="D215" s="160"/>
      <c r="E215" s="160"/>
      <c r="F215" s="160"/>
      <c r="G215" s="160"/>
      <c r="H215" s="22" t="e">
        <f>IF(H214="",0,IF(H214&lt;J212,K212,IF(H214&lt;J213,K213,IF(H214&lt;J214,K214,IF(H214&lt;J215,K215,K216)))))</f>
        <v>#N/A</v>
      </c>
      <c r="I215" s="24">
        <v>1</v>
      </c>
      <c r="J215" s="24">
        <v>1.5</v>
      </c>
      <c r="K215" s="70">
        <v>35</v>
      </c>
      <c r="L215" s="4"/>
      <c r="M215" s="5"/>
      <c r="N215" s="5"/>
    </row>
    <row r="216" spans="1:14" x14ac:dyDescent="0.25">
      <c r="A216" s="17"/>
      <c r="B216" s="6"/>
      <c r="C216" s="5"/>
      <c r="D216" s="5"/>
      <c r="E216" s="5"/>
      <c r="F216" s="5"/>
      <c r="G216" s="5"/>
      <c r="H216" s="5"/>
      <c r="I216" s="24">
        <v>1.5</v>
      </c>
      <c r="J216" s="24" t="s">
        <v>57</v>
      </c>
      <c r="K216" s="70">
        <v>40</v>
      </c>
      <c r="L216" s="4"/>
      <c r="M216" s="5"/>
      <c r="N216" s="5"/>
    </row>
    <row r="217" spans="1:14" x14ac:dyDescent="0.25">
      <c r="A217" s="14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</row>
    <row r="218" spans="1:14" x14ac:dyDescent="0.25">
      <c r="A218" s="17"/>
      <c r="B218" s="6"/>
      <c r="C218" s="219" t="s">
        <v>69</v>
      </c>
      <c r="D218" s="160"/>
      <c r="E218" s="160"/>
      <c r="F218" s="160"/>
      <c r="G218" s="160"/>
      <c r="H218" s="160"/>
      <c r="I218" s="7" t="s">
        <v>70</v>
      </c>
      <c r="J218" s="7" t="s">
        <v>71</v>
      </c>
      <c r="K218" s="7" t="s">
        <v>52</v>
      </c>
      <c r="L218" s="6"/>
      <c r="M218" s="5"/>
      <c r="N218" s="5"/>
    </row>
    <row r="219" spans="1:14" x14ac:dyDescent="0.25">
      <c r="A219" s="17"/>
      <c r="B219" s="6"/>
      <c r="C219" s="159" t="s">
        <v>72</v>
      </c>
      <c r="D219" s="160"/>
      <c r="E219" s="160"/>
      <c r="F219" s="160"/>
      <c r="G219" s="160"/>
      <c r="H219" s="25"/>
      <c r="I219" s="26">
        <v>1</v>
      </c>
      <c r="J219" s="26">
        <v>5</v>
      </c>
      <c r="K219" s="70">
        <v>20</v>
      </c>
      <c r="L219" s="4"/>
      <c r="M219" s="5"/>
      <c r="N219" s="5"/>
    </row>
    <row r="220" spans="1:14" x14ac:dyDescent="0.25">
      <c r="A220" s="17"/>
      <c r="B220" s="6"/>
      <c r="C220" s="159" t="s">
        <v>73</v>
      </c>
      <c r="D220" s="160"/>
      <c r="E220" s="160"/>
      <c r="F220" s="160"/>
      <c r="G220" s="160"/>
      <c r="H220" s="22">
        <f>IF(H219&lt;I219,0,IF(H219&lt;=J219,K219,IF(H219&lt;=J220,K220,K221)))</f>
        <v>0</v>
      </c>
      <c r="I220" s="26">
        <v>6</v>
      </c>
      <c r="J220" s="26">
        <v>10</v>
      </c>
      <c r="K220" s="70">
        <v>30</v>
      </c>
      <c r="L220" s="4"/>
      <c r="M220" s="5"/>
      <c r="N220" s="5"/>
    </row>
    <row r="221" spans="1:14" x14ac:dyDescent="0.25">
      <c r="A221" s="17"/>
      <c r="B221" s="6"/>
      <c r="C221" s="5"/>
      <c r="D221" s="5"/>
      <c r="E221" s="5"/>
      <c r="F221" s="5"/>
      <c r="G221" s="5"/>
      <c r="H221" s="5"/>
      <c r="I221" s="26">
        <v>11</v>
      </c>
      <c r="J221" s="24" t="s">
        <v>57</v>
      </c>
      <c r="K221" s="70">
        <v>40</v>
      </c>
      <c r="L221" s="4"/>
      <c r="M221" s="5"/>
      <c r="N221" s="5"/>
    </row>
    <row r="222" spans="1:14" x14ac:dyDescent="0.25">
      <c r="A222" s="14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</row>
    <row r="223" spans="1:14" x14ac:dyDescent="0.25">
      <c r="A223" s="17"/>
      <c r="B223" s="6"/>
      <c r="C223" s="222" t="s">
        <v>74</v>
      </c>
      <c r="D223" s="160"/>
      <c r="E223" s="160"/>
      <c r="F223" s="160"/>
      <c r="G223" s="160"/>
      <c r="H223" s="160"/>
      <c r="I223" s="160"/>
      <c r="J223" s="160"/>
      <c r="K223" s="160"/>
      <c r="L223" s="160"/>
      <c r="M223" s="160"/>
      <c r="N223" s="160"/>
    </row>
    <row r="224" spans="1:14" x14ac:dyDescent="0.25">
      <c r="A224" s="27"/>
      <c r="B224" s="28"/>
      <c r="C224" s="162" t="s">
        <v>75</v>
      </c>
      <c r="D224" s="160"/>
      <c r="E224" s="160"/>
      <c r="F224" s="160"/>
      <c r="G224" s="160"/>
      <c r="H224" s="160"/>
      <c r="I224" s="160"/>
      <c r="J224" s="160"/>
      <c r="K224" s="160"/>
      <c r="L224" s="160"/>
      <c r="M224" s="160"/>
      <c r="N224" s="160"/>
    </row>
    <row r="225" spans="1:14" ht="36" x14ac:dyDescent="0.25">
      <c r="A225" s="29"/>
      <c r="B225" s="28"/>
      <c r="C225" s="69" t="s">
        <v>76</v>
      </c>
      <c r="D225" s="70" t="s">
        <v>77</v>
      </c>
      <c r="E225" s="70" t="s">
        <v>56</v>
      </c>
      <c r="F225" s="70" t="s">
        <v>78</v>
      </c>
      <c r="G225" s="30" t="s">
        <v>123</v>
      </c>
      <c r="H225" s="70" t="s">
        <v>80</v>
      </c>
      <c r="I225" s="70" t="s">
        <v>81</v>
      </c>
      <c r="J225" s="70" t="s">
        <v>82</v>
      </c>
      <c r="K225" s="70" t="s">
        <v>83</v>
      </c>
      <c r="L225" s="70"/>
      <c r="M225" s="30" t="s">
        <v>84</v>
      </c>
      <c r="N225" s="70" t="s">
        <v>85</v>
      </c>
    </row>
    <row r="226" spans="1:14" hidden="1" x14ac:dyDescent="0.25">
      <c r="A226" s="29"/>
      <c r="B226" s="28"/>
      <c r="C226" s="69"/>
      <c r="D226" s="70"/>
      <c r="E226" s="70"/>
      <c r="F226" s="70"/>
      <c r="G226" s="70"/>
      <c r="H226" s="70"/>
      <c r="I226" s="70"/>
      <c r="J226" s="70"/>
      <c r="K226" s="70"/>
      <c r="L226" s="70"/>
      <c r="M226" s="30"/>
      <c r="N226" s="70"/>
    </row>
    <row r="227" spans="1:14" x14ac:dyDescent="0.25">
      <c r="A227" s="29"/>
      <c r="B227" s="28"/>
      <c r="C227" s="72"/>
      <c r="D227" s="31"/>
      <c r="E227" s="57"/>
      <c r="F227" s="56"/>
      <c r="G227" s="34"/>
      <c r="H227" s="35"/>
      <c r="I227" s="35"/>
      <c r="J227" s="35"/>
      <c r="K227" s="35"/>
      <c r="L227" s="35"/>
      <c r="M227" s="24" t="str">
        <f t="shared" ref="M227:M231" si="6">IF(C227="","",IF(IF(H227&lt;&gt;"",IF(I227&lt;&gt;"",IF(J227&lt;&gt;"",IF(K227&lt;&gt;"",G227+F227*30+(I227-H227)+(K227-J227)-$E$6,G227+F227*30+(I227-H227)-J227),G227+F227*30+(I227-H227)-$E$6),G227+F227*30-H227),G227+F227*30-$E$6)&lt;0,0,IF(H227&lt;&gt;"",IF(I227&lt;&gt;"",IF(J227&lt;&gt;"",IF(K227&lt;&gt;"",G227+F227*30+(I227-H227)+(K227-J227)-$E$6,G227+F227*30+(I227-H227)-J227),G227+F227*30+(I227-H227)-$E$6),G227+F227*30-H227),G227+F227*30-$E$6)))</f>
        <v/>
      </c>
      <c r="N227" s="65" t="str">
        <f t="shared" ref="N227:N231" si="7">IF(C227="","",IF(M227&lt;360,D227*E227*M227/(F227*30),D227*E227*360/(F227*30)))</f>
        <v/>
      </c>
    </row>
    <row r="228" spans="1:14" x14ac:dyDescent="0.25">
      <c r="A228" s="29"/>
      <c r="B228" s="28"/>
      <c r="C228" s="72"/>
      <c r="D228" s="31"/>
      <c r="E228" s="57"/>
      <c r="F228" s="56"/>
      <c r="G228" s="34"/>
      <c r="H228" s="35"/>
      <c r="I228" s="35"/>
      <c r="J228" s="35"/>
      <c r="K228" s="35"/>
      <c r="L228" s="35"/>
      <c r="M228" s="24" t="str">
        <f t="shared" si="6"/>
        <v/>
      </c>
      <c r="N228" s="65" t="str">
        <f t="shared" si="7"/>
        <v/>
      </c>
    </row>
    <row r="229" spans="1:14" x14ac:dyDescent="0.25">
      <c r="A229" s="29"/>
      <c r="B229" s="28"/>
      <c r="C229" s="72"/>
      <c r="D229" s="31"/>
      <c r="E229" s="57"/>
      <c r="F229" s="56"/>
      <c r="G229" s="34"/>
      <c r="H229" s="35"/>
      <c r="I229" s="35"/>
      <c r="J229" s="35"/>
      <c r="K229" s="35"/>
      <c r="L229" s="35"/>
      <c r="M229" s="24" t="str">
        <f t="shared" si="6"/>
        <v/>
      </c>
      <c r="N229" s="65" t="str">
        <f t="shared" si="7"/>
        <v/>
      </c>
    </row>
    <row r="230" spans="1:14" x14ac:dyDescent="0.25">
      <c r="A230" s="29"/>
      <c r="B230" s="28"/>
      <c r="C230" s="72"/>
      <c r="D230" s="31"/>
      <c r="E230" s="57"/>
      <c r="F230" s="56"/>
      <c r="G230" s="34"/>
      <c r="H230" s="35"/>
      <c r="I230" s="35"/>
      <c r="J230" s="35"/>
      <c r="K230" s="35"/>
      <c r="L230" s="35"/>
      <c r="M230" s="24" t="str">
        <f t="shared" si="6"/>
        <v/>
      </c>
      <c r="N230" s="65" t="str">
        <f t="shared" si="7"/>
        <v/>
      </c>
    </row>
    <row r="231" spans="1:14" x14ac:dyDescent="0.25">
      <c r="A231" s="29"/>
      <c r="B231" s="28"/>
      <c r="C231" s="72"/>
      <c r="D231" s="31"/>
      <c r="E231" s="57"/>
      <c r="F231" s="56"/>
      <c r="G231" s="34"/>
      <c r="H231" s="35"/>
      <c r="I231" s="35"/>
      <c r="J231" s="35"/>
      <c r="K231" s="35"/>
      <c r="L231" s="35"/>
      <c r="M231" s="24" t="str">
        <f t="shared" si="6"/>
        <v/>
      </c>
      <c r="N231" s="65" t="str">
        <f t="shared" si="7"/>
        <v/>
      </c>
    </row>
    <row r="232" spans="1:14" hidden="1" x14ac:dyDescent="0.25">
      <c r="A232" s="29"/>
      <c r="B232" s="28"/>
      <c r="C232" s="72"/>
      <c r="D232" s="31"/>
      <c r="E232" s="32"/>
      <c r="F232" s="33"/>
      <c r="G232" s="34"/>
      <c r="H232" s="35"/>
      <c r="I232" s="35"/>
      <c r="J232" s="35"/>
      <c r="K232" s="35"/>
      <c r="L232" s="35"/>
      <c r="M232" s="70"/>
      <c r="N232" s="65"/>
    </row>
    <row r="233" spans="1:14" x14ac:dyDescent="0.25">
      <c r="A233" s="29"/>
      <c r="B233" s="1"/>
      <c r="C233" s="159" t="s">
        <v>86</v>
      </c>
      <c r="D233" s="160"/>
      <c r="E233" s="160"/>
      <c r="F233" s="160"/>
      <c r="G233" s="160"/>
      <c r="H233" s="160"/>
      <c r="I233" s="160"/>
      <c r="J233" s="160"/>
      <c r="K233" s="160"/>
      <c r="L233" s="160"/>
      <c r="M233" s="160"/>
      <c r="N233" s="66">
        <f>SUM(N226:N232)</f>
        <v>0</v>
      </c>
    </row>
    <row r="235" spans="1:14" x14ac:dyDescent="0.25">
      <c r="A235" s="197" t="s">
        <v>95</v>
      </c>
      <c r="B235" s="197"/>
      <c r="C235" s="197" t="s">
        <v>96</v>
      </c>
      <c r="D235" s="197"/>
      <c r="E235" s="197"/>
      <c r="F235" s="197" t="s">
        <v>97</v>
      </c>
      <c r="G235" s="197"/>
      <c r="H235" s="197"/>
      <c r="I235" s="197"/>
      <c r="J235" s="197"/>
      <c r="K235" s="197"/>
      <c r="L235" s="197"/>
      <c r="M235" s="197"/>
      <c r="N235" s="197"/>
    </row>
    <row r="236" spans="1:14" x14ac:dyDescent="0.25">
      <c r="A236" s="197" t="str">
        <f>IF(A28="N/A","",A28)</f>
        <v/>
      </c>
      <c r="B236" s="197"/>
      <c r="C236" s="198" t="s">
        <v>91</v>
      </c>
      <c r="D236" s="199" t="str">
        <f>IF(A236="","",VLOOKUP(A236,'CAPACIDAD RESIDUAL'!$A$6:$D$304,2,FALSE))</f>
        <v/>
      </c>
      <c r="E236" s="200"/>
      <c r="F236" s="197" t="str">
        <f>$C$38</f>
        <v>Capacidad de Organización (CO)</v>
      </c>
      <c r="G236" s="197"/>
      <c r="H236" s="197"/>
      <c r="I236" s="58" t="str">
        <f>IF(A236="","",G249)</f>
        <v/>
      </c>
      <c r="J236" s="203" t="s">
        <v>88</v>
      </c>
      <c r="K236" s="183" t="str">
        <f>IF(A236="","",I236*(I237+I238+I239)/100-I240)</f>
        <v/>
      </c>
      <c r="L236" s="184"/>
      <c r="M236" s="184"/>
      <c r="N236" s="185"/>
    </row>
    <row r="237" spans="1:14" x14ac:dyDescent="0.25">
      <c r="A237" s="197"/>
      <c r="B237" s="197"/>
      <c r="C237" s="198"/>
      <c r="D237" s="201"/>
      <c r="E237" s="202"/>
      <c r="F237" s="197" t="str">
        <f>$C$47</f>
        <v>Experiencia (E)</v>
      </c>
      <c r="G237" s="197"/>
      <c r="H237" s="197"/>
      <c r="I237" s="22" t="str">
        <f>IF(A236="","",H260)</f>
        <v/>
      </c>
      <c r="J237" s="204"/>
      <c r="K237" s="186"/>
      <c r="L237" s="187"/>
      <c r="M237" s="187"/>
      <c r="N237" s="188"/>
    </row>
    <row r="238" spans="1:14" x14ac:dyDescent="0.25">
      <c r="A238" s="197"/>
      <c r="B238" s="197"/>
      <c r="C238" s="198" t="s">
        <v>92</v>
      </c>
      <c r="D238" s="205" t="str">
        <f>IF(A236="","",VLOOKUP(A236,'CAPACIDAD RESIDUAL'!$A$6:$D$304,3,FALSE))</f>
        <v/>
      </c>
      <c r="E238" s="206"/>
      <c r="F238" s="197" t="str">
        <f>$C$58</f>
        <v>Capacidad Financiera (CF)</v>
      </c>
      <c r="G238" s="197"/>
      <c r="H238" s="197"/>
      <c r="I238" s="22" t="str">
        <f>IF(A236="","",H266)</f>
        <v/>
      </c>
      <c r="J238" s="191" t="str">
        <f>IF(A236="","",IF(K236&gt;$E$9,"CUMPLE","NO CUMPLE"))</f>
        <v/>
      </c>
      <c r="K238" s="191"/>
      <c r="L238" s="191"/>
      <c r="M238" s="191"/>
      <c r="N238" s="191"/>
    </row>
    <row r="239" spans="1:14" x14ac:dyDescent="0.25">
      <c r="A239" s="197"/>
      <c r="B239" s="197"/>
      <c r="C239" s="198"/>
      <c r="D239" s="207"/>
      <c r="E239" s="208"/>
      <c r="F239" s="197" t="str">
        <f>$C$65</f>
        <v>Capacidad Técnica (CT)</v>
      </c>
      <c r="G239" s="197"/>
      <c r="H239" s="197"/>
      <c r="I239" s="22" t="str">
        <f>IF(A236="","",H271)</f>
        <v/>
      </c>
      <c r="J239" s="191"/>
      <c r="K239" s="191"/>
      <c r="L239" s="191"/>
      <c r="M239" s="191"/>
      <c r="N239" s="191"/>
    </row>
    <row r="240" spans="1:14" x14ac:dyDescent="0.25">
      <c r="A240" s="197"/>
      <c r="B240" s="197"/>
      <c r="C240" s="73" t="s">
        <v>93</v>
      </c>
      <c r="D240" s="209" t="str">
        <f>IF(A236="","",VLOOKUP(A236,'CAPACIDAD RESIDUAL'!$A$6:$D$304,4,FALSE))</f>
        <v/>
      </c>
      <c r="E240" s="210"/>
      <c r="F240" s="211" t="str">
        <f>$C$70</f>
        <v>Saldo de los Contratos en Ejecución (SCE)</v>
      </c>
      <c r="G240" s="211"/>
      <c r="H240" s="211"/>
      <c r="I240" s="58" t="str">
        <f>IF(A236="","",N284)</f>
        <v/>
      </c>
      <c r="J240" s="191"/>
      <c r="K240" s="191"/>
      <c r="L240" s="191"/>
      <c r="M240" s="191"/>
      <c r="N240" s="191"/>
    </row>
    <row r="241" spans="1:14" x14ac:dyDescent="0.25">
      <c r="A241" s="14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</row>
    <row r="242" spans="1:14" x14ac:dyDescent="0.25">
      <c r="A242" s="44"/>
      <c r="C242" s="219" t="s">
        <v>34</v>
      </c>
      <c r="D242" s="160"/>
      <c r="E242" s="160"/>
      <c r="F242" s="160"/>
      <c r="G242" s="160"/>
      <c r="H242" s="160"/>
      <c r="I242" s="220" t="s">
        <v>35</v>
      </c>
      <c r="J242" s="160"/>
      <c r="K242" s="220" t="s">
        <v>36</v>
      </c>
      <c r="L242" s="220"/>
      <c r="M242" s="160"/>
      <c r="N242" s="160"/>
    </row>
    <row r="243" spans="1:14" x14ac:dyDescent="0.25">
      <c r="A243" s="17"/>
      <c r="B243" s="6"/>
      <c r="C243" s="161" t="s">
        <v>37</v>
      </c>
      <c r="D243" s="160"/>
      <c r="E243" s="160"/>
      <c r="F243" s="160"/>
      <c r="G243" s="221" t="s">
        <v>27</v>
      </c>
      <c r="H243" s="160"/>
      <c r="I243" s="214" t="s">
        <v>38</v>
      </c>
      <c r="J243" s="160"/>
      <c r="K243" s="214" t="s">
        <v>39</v>
      </c>
      <c r="L243" s="214"/>
      <c r="M243" s="160"/>
      <c r="N243" s="160"/>
    </row>
    <row r="244" spans="1:14" x14ac:dyDescent="0.25">
      <c r="A244" s="17"/>
      <c r="B244" s="6"/>
      <c r="C244" s="161" t="s">
        <v>40</v>
      </c>
      <c r="D244" s="160"/>
      <c r="E244" s="160"/>
      <c r="F244" s="160"/>
      <c r="G244" s="212"/>
      <c r="H244" s="213"/>
      <c r="I244" s="214" t="s">
        <v>41</v>
      </c>
      <c r="J244" s="160"/>
      <c r="K244" s="214" t="s">
        <v>42</v>
      </c>
      <c r="L244" s="214"/>
      <c r="M244" s="160"/>
      <c r="N244" s="160"/>
    </row>
    <row r="245" spans="1:14" x14ac:dyDescent="0.25">
      <c r="A245" s="17"/>
      <c r="B245" s="6"/>
      <c r="C245" s="159" t="str">
        <f>IF(G243="","",IF(G243=$S$5,"Valor umbral Mipyme.","Total Ingresos Operacionales Acreditados"))</f>
        <v>Total Ingresos Operacionales Acreditados</v>
      </c>
      <c r="D245" s="160"/>
      <c r="E245" s="160"/>
      <c r="F245" s="160"/>
      <c r="G245" s="215"/>
      <c r="H245" s="216"/>
      <c r="I245" s="214" t="s">
        <v>43</v>
      </c>
      <c r="J245" s="160"/>
      <c r="K245" s="18" t="s">
        <v>44</v>
      </c>
      <c r="L245" s="18"/>
      <c r="M245" s="217">
        <v>457297264</v>
      </c>
      <c r="N245" s="218"/>
    </row>
    <row r="246" spans="1:14" x14ac:dyDescent="0.25">
      <c r="A246" s="17"/>
      <c r="B246" s="6"/>
      <c r="C246" s="162" t="s">
        <v>45</v>
      </c>
      <c r="D246" s="160"/>
      <c r="E246" s="160"/>
      <c r="F246" s="160"/>
      <c r="G246" s="160"/>
      <c r="H246" s="160"/>
      <c r="I246" s="19"/>
      <c r="J246" s="19"/>
      <c r="K246" s="20"/>
      <c r="L246" s="20"/>
      <c r="M246" s="21"/>
      <c r="N246" s="21"/>
    </row>
    <row r="247" spans="1:14" x14ac:dyDescent="0.25">
      <c r="A247" s="17"/>
      <c r="B247" s="6"/>
      <c r="C247" s="69" t="s">
        <v>46</v>
      </c>
      <c r="D247" s="225"/>
      <c r="E247" s="160"/>
      <c r="F247" s="226" t="s">
        <v>47</v>
      </c>
      <c r="G247" s="160"/>
      <c r="H247" s="72" t="s">
        <v>87</v>
      </c>
      <c r="I247" s="19"/>
      <c r="J247" s="19"/>
      <c r="K247" s="20"/>
      <c r="L247" s="20"/>
      <c r="M247" s="21"/>
      <c r="N247" s="21"/>
    </row>
    <row r="248" spans="1:14" x14ac:dyDescent="0.25">
      <c r="A248" s="17"/>
      <c r="B248" s="6"/>
      <c r="C248" s="69" t="s">
        <v>48</v>
      </c>
      <c r="D248" s="225"/>
      <c r="E248" s="160"/>
      <c r="F248" s="226" t="s">
        <v>47</v>
      </c>
      <c r="G248" s="160"/>
      <c r="H248" s="72" t="s">
        <v>87</v>
      </c>
      <c r="I248" s="19"/>
      <c r="J248" s="19"/>
      <c r="K248" s="20"/>
      <c r="L248" s="20"/>
      <c r="M248" s="21"/>
      <c r="N248" s="21"/>
    </row>
    <row r="249" spans="1:14" x14ac:dyDescent="0.25">
      <c r="A249" s="17"/>
      <c r="B249" s="6"/>
      <c r="C249" s="69" t="s">
        <v>49</v>
      </c>
      <c r="D249" s="69"/>
      <c r="E249" s="69"/>
      <c r="F249" s="69"/>
      <c r="G249" s="227">
        <f>IF(OR(H247="SIN VIGENCIA",H247="NO APORTA",H248="SIN VIGENCIA",H248="NO APORTA"),0,IF(G243="",0,IF(G243=$S$5,M245,IF(G245&lt;M245,M245,G245))))</f>
        <v>457297264</v>
      </c>
      <c r="H249" s="228"/>
      <c r="I249" s="5"/>
      <c r="J249" s="5"/>
      <c r="K249" s="5"/>
      <c r="L249" s="5"/>
      <c r="M249" s="5"/>
      <c r="N249" s="5"/>
    </row>
    <row r="250" spans="1:14" x14ac:dyDescent="0.25">
      <c r="A250" s="14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</row>
    <row r="251" spans="1:14" x14ac:dyDescent="0.25">
      <c r="A251" s="17"/>
      <c r="B251" s="6"/>
      <c r="C251" s="222" t="s">
        <v>26</v>
      </c>
      <c r="D251" s="160"/>
      <c r="E251" s="160"/>
      <c r="F251" s="160"/>
      <c r="G251" s="160"/>
      <c r="H251" s="160"/>
      <c r="I251" s="7" t="s">
        <v>50</v>
      </c>
      <c r="J251" s="7" t="s">
        <v>51</v>
      </c>
      <c r="K251" s="7" t="s">
        <v>52</v>
      </c>
      <c r="L251" s="6"/>
      <c r="M251" s="5"/>
      <c r="N251" s="5"/>
    </row>
    <row r="252" spans="1:14" x14ac:dyDescent="0.25">
      <c r="A252" s="17"/>
      <c r="B252" s="6"/>
      <c r="C252" s="161" t="s">
        <v>53</v>
      </c>
      <c r="D252" s="160"/>
      <c r="E252" s="160"/>
      <c r="F252" s="160"/>
      <c r="G252" s="223" t="str">
        <f>D240</f>
        <v/>
      </c>
      <c r="H252" s="160"/>
      <c r="I252" s="70">
        <v>0</v>
      </c>
      <c r="J252" s="70">
        <v>3</v>
      </c>
      <c r="K252" s="70">
        <v>60</v>
      </c>
      <c r="L252" s="4"/>
      <c r="M252" s="5"/>
      <c r="N252" s="5"/>
    </row>
    <row r="253" spans="1:14" x14ac:dyDescent="0.25">
      <c r="A253" s="17"/>
      <c r="B253" s="6"/>
      <c r="C253" s="161" t="s">
        <v>22</v>
      </c>
      <c r="D253" s="160"/>
      <c r="E253" s="160"/>
      <c r="F253" s="160"/>
      <c r="G253" s="224">
        <f>$E$5</f>
        <v>1169500932</v>
      </c>
      <c r="H253" s="216"/>
      <c r="I253" s="70">
        <v>3</v>
      </c>
      <c r="J253" s="70">
        <v>6</v>
      </c>
      <c r="K253" s="70">
        <v>80</v>
      </c>
      <c r="L253" s="4"/>
      <c r="M253" s="5"/>
      <c r="N253" s="5"/>
    </row>
    <row r="254" spans="1:14" x14ac:dyDescent="0.25">
      <c r="A254" s="17"/>
      <c r="B254" s="6"/>
      <c r="C254" s="162" t="s">
        <v>54</v>
      </c>
      <c r="D254" s="160"/>
      <c r="E254" s="160"/>
      <c r="F254" s="160"/>
      <c r="G254" s="160"/>
      <c r="H254" s="160"/>
      <c r="I254" s="70">
        <v>6</v>
      </c>
      <c r="J254" s="70">
        <v>10</v>
      </c>
      <c r="K254" s="70">
        <v>100</v>
      </c>
      <c r="L254" s="4"/>
      <c r="M254" s="5"/>
      <c r="N254" s="5"/>
    </row>
    <row r="255" spans="1:14" x14ac:dyDescent="0.25">
      <c r="A255" s="17"/>
      <c r="B255" s="6"/>
      <c r="C255" s="161" t="s">
        <v>55</v>
      </c>
      <c r="D255" s="160"/>
      <c r="E255" s="160"/>
      <c r="F255" s="160"/>
      <c r="G255" s="166" t="s">
        <v>56</v>
      </c>
      <c r="H255" s="160"/>
      <c r="I255" s="70">
        <v>10</v>
      </c>
      <c r="J255" s="70" t="s">
        <v>57</v>
      </c>
      <c r="K255" s="70">
        <v>120</v>
      </c>
      <c r="L255" s="4"/>
      <c r="M255" s="5"/>
      <c r="N255" s="5"/>
    </row>
    <row r="256" spans="1:14" x14ac:dyDescent="0.25">
      <c r="A256" s="17"/>
      <c r="B256" s="6"/>
      <c r="C256" s="162" t="s">
        <v>58</v>
      </c>
      <c r="D256" s="160"/>
      <c r="E256" s="160"/>
      <c r="F256" s="160"/>
      <c r="G256" s="230"/>
      <c r="H256" s="160"/>
      <c r="I256" s="5"/>
      <c r="J256" s="5"/>
      <c r="K256" s="5"/>
      <c r="L256" s="5"/>
      <c r="M256" s="5"/>
      <c r="N256" s="5"/>
    </row>
    <row r="257" spans="1:14" x14ac:dyDescent="0.25">
      <c r="A257" s="17"/>
      <c r="B257" s="6"/>
      <c r="C257" s="161"/>
      <c r="D257" s="160"/>
      <c r="E257" s="160"/>
      <c r="F257" s="160"/>
      <c r="G257" s="231"/>
      <c r="H257" s="160"/>
      <c r="I257" s="5"/>
      <c r="J257" s="5"/>
      <c r="K257" s="5"/>
      <c r="L257" s="5"/>
      <c r="M257" s="5"/>
      <c r="N257" s="5"/>
    </row>
    <row r="258" spans="1:14" x14ac:dyDescent="0.25">
      <c r="A258" s="17"/>
      <c r="B258" s="6"/>
      <c r="C258" s="159" t="s">
        <v>59</v>
      </c>
      <c r="D258" s="160"/>
      <c r="E258" s="160"/>
      <c r="F258" s="160"/>
      <c r="G258" s="229">
        <f>SUM(G255:H257)</f>
        <v>0</v>
      </c>
      <c r="H258" s="160"/>
      <c r="I258" s="5"/>
      <c r="J258" s="5"/>
      <c r="K258" s="5"/>
      <c r="L258" s="5"/>
      <c r="M258" s="5"/>
      <c r="N258" s="5"/>
    </row>
    <row r="259" spans="1:14" x14ac:dyDescent="0.25">
      <c r="A259" s="17"/>
      <c r="B259" s="6"/>
      <c r="C259" s="159" t="s">
        <v>60</v>
      </c>
      <c r="D259" s="160"/>
      <c r="E259" s="160"/>
      <c r="F259" s="160"/>
      <c r="G259" s="160"/>
      <c r="H259" s="71">
        <f>IF(OR(G252="",G252=0,G258=0),0,G258/(G253*G252))</f>
        <v>0</v>
      </c>
      <c r="I259" s="5"/>
      <c r="J259" s="5"/>
      <c r="K259" s="5"/>
      <c r="L259" s="5"/>
      <c r="M259" s="5"/>
      <c r="N259" s="5"/>
    </row>
    <row r="260" spans="1:14" x14ac:dyDescent="0.25">
      <c r="A260" s="17"/>
      <c r="B260" s="6"/>
      <c r="C260" s="159" t="s">
        <v>61</v>
      </c>
      <c r="D260" s="160"/>
      <c r="E260" s="160"/>
      <c r="F260" s="160"/>
      <c r="G260" s="160"/>
      <c r="H260" s="22">
        <f>IF(H259&lt;=J252,K252,IF(H259&lt;=J253,K253,IF(H259&lt;=J254,K254,K255)))</f>
        <v>60</v>
      </c>
      <c r="I260" s="5"/>
      <c r="J260" s="23"/>
      <c r="K260" s="5"/>
      <c r="L260" s="5"/>
      <c r="M260" s="5"/>
      <c r="N260" s="5"/>
    </row>
    <row r="261" spans="1:14" x14ac:dyDescent="0.25">
      <c r="A261" s="14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</row>
    <row r="262" spans="1:14" x14ac:dyDescent="0.25">
      <c r="A262" s="17"/>
      <c r="B262" s="6"/>
      <c r="C262" s="219" t="s">
        <v>62</v>
      </c>
      <c r="D262" s="160"/>
      <c r="E262" s="160"/>
      <c r="F262" s="160"/>
      <c r="G262" s="160"/>
      <c r="H262" s="160"/>
      <c r="I262" s="7" t="s">
        <v>63</v>
      </c>
      <c r="J262" s="7" t="s">
        <v>64</v>
      </c>
      <c r="K262" s="7" t="s">
        <v>52</v>
      </c>
      <c r="L262" s="6"/>
      <c r="M262" s="5"/>
      <c r="N262" s="5"/>
    </row>
    <row r="263" spans="1:14" x14ac:dyDescent="0.25">
      <c r="A263" s="17"/>
      <c r="B263" s="6"/>
      <c r="C263" s="159" t="s">
        <v>65</v>
      </c>
      <c r="D263" s="160"/>
      <c r="E263" s="160"/>
      <c r="F263" s="160"/>
      <c r="G263" s="160"/>
      <c r="H263" s="67" t="e">
        <f>VLOOKUP(A236,'CAPACIDAD FINANCIERA'!$A$6:$AK$308,5,FALSE)</f>
        <v>#N/A</v>
      </c>
      <c r="I263" s="24">
        <v>0</v>
      </c>
      <c r="J263" s="24">
        <v>0.5</v>
      </c>
      <c r="K263" s="70">
        <v>20</v>
      </c>
      <c r="L263" s="4"/>
      <c r="M263" s="5"/>
      <c r="N263" s="5"/>
    </row>
    <row r="264" spans="1:14" x14ac:dyDescent="0.25">
      <c r="A264" s="17"/>
      <c r="B264" s="6"/>
      <c r="C264" s="159" t="s">
        <v>66</v>
      </c>
      <c r="D264" s="160"/>
      <c r="E264" s="160"/>
      <c r="F264" s="160"/>
      <c r="G264" s="160"/>
      <c r="H264" s="67" t="e">
        <f>VLOOKUP(A236,'CAPACIDAD FINANCIERA'!$A$6:$AK$308,7,FALSE)</f>
        <v>#N/A</v>
      </c>
      <c r="I264" s="24">
        <v>0.5</v>
      </c>
      <c r="J264" s="24">
        <v>0.75</v>
      </c>
      <c r="K264" s="70">
        <v>25</v>
      </c>
      <c r="L264" s="4"/>
      <c r="M264" s="5"/>
      <c r="N264" s="5"/>
    </row>
    <row r="265" spans="1:14" x14ac:dyDescent="0.25">
      <c r="A265" s="17"/>
      <c r="B265" s="6"/>
      <c r="C265" s="159" t="s">
        <v>67</v>
      </c>
      <c r="D265" s="160"/>
      <c r="E265" s="160"/>
      <c r="F265" s="160"/>
      <c r="G265" s="160"/>
      <c r="H265" s="71" t="e">
        <f>ROUND(IF(H263="",0,H263/H264),2)</f>
        <v>#N/A</v>
      </c>
      <c r="I265" s="24">
        <v>0.75</v>
      </c>
      <c r="J265" s="24">
        <v>1</v>
      </c>
      <c r="K265" s="70">
        <v>30</v>
      </c>
      <c r="L265" s="4"/>
      <c r="M265" s="5"/>
      <c r="N265" s="5"/>
    </row>
    <row r="266" spans="1:14" x14ac:dyDescent="0.25">
      <c r="A266" s="17"/>
      <c r="B266" s="6"/>
      <c r="C266" s="159" t="s">
        <v>68</v>
      </c>
      <c r="D266" s="160"/>
      <c r="E266" s="160"/>
      <c r="F266" s="160"/>
      <c r="G266" s="160"/>
      <c r="H266" s="22" t="e">
        <f>IF(H265="",0,IF(H265&lt;J263,K263,IF(H265&lt;J264,K264,IF(H265&lt;J265,K265,IF(H265&lt;J266,K266,K267)))))</f>
        <v>#N/A</v>
      </c>
      <c r="I266" s="24">
        <v>1</v>
      </c>
      <c r="J266" s="24">
        <v>1.5</v>
      </c>
      <c r="K266" s="70">
        <v>35</v>
      </c>
      <c r="L266" s="4"/>
      <c r="M266" s="5"/>
      <c r="N266" s="5"/>
    </row>
    <row r="267" spans="1:14" x14ac:dyDescent="0.25">
      <c r="A267" s="17"/>
      <c r="B267" s="6"/>
      <c r="C267" s="5"/>
      <c r="D267" s="5"/>
      <c r="E267" s="5"/>
      <c r="F267" s="5"/>
      <c r="G267" s="5"/>
      <c r="H267" s="5"/>
      <c r="I267" s="24">
        <v>1.5</v>
      </c>
      <c r="J267" s="24" t="s">
        <v>57</v>
      </c>
      <c r="K267" s="70">
        <v>40</v>
      </c>
      <c r="L267" s="4"/>
      <c r="M267" s="5"/>
      <c r="N267" s="5"/>
    </row>
    <row r="268" spans="1:14" x14ac:dyDescent="0.25">
      <c r="A268" s="14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</row>
    <row r="269" spans="1:14" x14ac:dyDescent="0.25">
      <c r="A269" s="17"/>
      <c r="B269" s="6"/>
      <c r="C269" s="219" t="s">
        <v>69</v>
      </c>
      <c r="D269" s="160"/>
      <c r="E269" s="160"/>
      <c r="F269" s="160"/>
      <c r="G269" s="160"/>
      <c r="H269" s="160"/>
      <c r="I269" s="7" t="s">
        <v>70</v>
      </c>
      <c r="J269" s="7" t="s">
        <v>71</v>
      </c>
      <c r="K269" s="7" t="s">
        <v>52</v>
      </c>
      <c r="L269" s="6"/>
      <c r="M269" s="5"/>
      <c r="N269" s="5"/>
    </row>
    <row r="270" spans="1:14" x14ac:dyDescent="0.25">
      <c r="A270" s="17"/>
      <c r="B270" s="6"/>
      <c r="C270" s="159" t="s">
        <v>72</v>
      </c>
      <c r="D270" s="160"/>
      <c r="E270" s="160"/>
      <c r="F270" s="160"/>
      <c r="G270" s="160"/>
      <c r="H270" s="25"/>
      <c r="I270" s="26">
        <v>1</v>
      </c>
      <c r="J270" s="26">
        <v>5</v>
      </c>
      <c r="K270" s="70">
        <v>20</v>
      </c>
      <c r="L270" s="4"/>
      <c r="M270" s="5"/>
      <c r="N270" s="5"/>
    </row>
    <row r="271" spans="1:14" x14ac:dyDescent="0.25">
      <c r="A271" s="17"/>
      <c r="B271" s="6"/>
      <c r="C271" s="159" t="s">
        <v>73</v>
      </c>
      <c r="D271" s="160"/>
      <c r="E271" s="160"/>
      <c r="F271" s="160"/>
      <c r="G271" s="160"/>
      <c r="H271" s="22">
        <f>IF(H270&lt;I270,0,IF(H270&lt;=J270,K270,IF(H270&lt;=J271,K271,K272)))</f>
        <v>0</v>
      </c>
      <c r="I271" s="26">
        <v>6</v>
      </c>
      <c r="J271" s="26">
        <v>10</v>
      </c>
      <c r="K271" s="70">
        <v>30</v>
      </c>
      <c r="L271" s="4"/>
      <c r="M271" s="5"/>
      <c r="N271" s="5"/>
    </row>
    <row r="272" spans="1:14" x14ac:dyDescent="0.25">
      <c r="A272" s="17"/>
      <c r="B272" s="6"/>
      <c r="C272" s="5"/>
      <c r="D272" s="5"/>
      <c r="E272" s="5"/>
      <c r="F272" s="5"/>
      <c r="G272" s="5"/>
      <c r="H272" s="5"/>
      <c r="I272" s="26">
        <v>11</v>
      </c>
      <c r="J272" s="24" t="s">
        <v>57</v>
      </c>
      <c r="K272" s="70">
        <v>40</v>
      </c>
      <c r="L272" s="4"/>
      <c r="M272" s="5"/>
      <c r="N272" s="5"/>
    </row>
    <row r="273" spans="1:14" x14ac:dyDescent="0.25">
      <c r="A273" s="14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</row>
    <row r="274" spans="1:14" x14ac:dyDescent="0.25">
      <c r="A274" s="17"/>
      <c r="B274" s="6"/>
      <c r="C274" s="222" t="s">
        <v>74</v>
      </c>
      <c r="D274" s="160"/>
      <c r="E274" s="160"/>
      <c r="F274" s="160"/>
      <c r="G274" s="160"/>
      <c r="H274" s="160"/>
      <c r="I274" s="160"/>
      <c r="J274" s="160"/>
      <c r="K274" s="160"/>
      <c r="L274" s="160"/>
      <c r="M274" s="160"/>
      <c r="N274" s="160"/>
    </row>
    <row r="275" spans="1:14" x14ac:dyDescent="0.25">
      <c r="A275" s="27"/>
      <c r="B275" s="28"/>
      <c r="C275" s="162" t="s">
        <v>75</v>
      </c>
      <c r="D275" s="160"/>
      <c r="E275" s="160"/>
      <c r="F275" s="160"/>
      <c r="G275" s="160"/>
      <c r="H275" s="160"/>
      <c r="I275" s="160"/>
      <c r="J275" s="160"/>
      <c r="K275" s="160"/>
      <c r="L275" s="160"/>
      <c r="M275" s="160"/>
      <c r="N275" s="160"/>
    </row>
    <row r="276" spans="1:14" ht="36" x14ac:dyDescent="0.25">
      <c r="A276" s="29"/>
      <c r="B276" s="28"/>
      <c r="C276" s="69" t="s">
        <v>76</v>
      </c>
      <c r="D276" s="70" t="s">
        <v>77</v>
      </c>
      <c r="E276" s="70" t="s">
        <v>56</v>
      </c>
      <c r="F276" s="70" t="s">
        <v>78</v>
      </c>
      <c r="G276" s="30" t="s">
        <v>123</v>
      </c>
      <c r="H276" s="70" t="s">
        <v>80</v>
      </c>
      <c r="I276" s="70" t="s">
        <v>81</v>
      </c>
      <c r="J276" s="70" t="s">
        <v>82</v>
      </c>
      <c r="K276" s="70" t="s">
        <v>83</v>
      </c>
      <c r="L276" s="70"/>
      <c r="M276" s="30" t="s">
        <v>84</v>
      </c>
      <c r="N276" s="70" t="s">
        <v>85</v>
      </c>
    </row>
    <row r="277" spans="1:14" hidden="1" x14ac:dyDescent="0.25">
      <c r="A277" s="29"/>
      <c r="B277" s="28"/>
      <c r="C277" s="69"/>
      <c r="D277" s="70"/>
      <c r="E277" s="70"/>
      <c r="F277" s="70"/>
      <c r="G277" s="70"/>
      <c r="H277" s="70"/>
      <c r="I277" s="70"/>
      <c r="J277" s="70"/>
      <c r="K277" s="70"/>
      <c r="L277" s="70"/>
      <c r="M277" s="30"/>
      <c r="N277" s="70"/>
    </row>
    <row r="278" spans="1:14" x14ac:dyDescent="0.25">
      <c r="A278" s="29"/>
      <c r="B278" s="28"/>
      <c r="C278" s="72"/>
      <c r="D278" s="31"/>
      <c r="E278" s="57"/>
      <c r="F278" s="56"/>
      <c r="G278" s="34"/>
      <c r="H278" s="35"/>
      <c r="I278" s="35"/>
      <c r="J278" s="35"/>
      <c r="K278" s="35"/>
      <c r="L278" s="35"/>
      <c r="M278" s="24" t="str">
        <f t="shared" ref="M278:M282" si="8">IF(C278="","",IF(IF(H278&lt;&gt;"",IF(I278&lt;&gt;"",IF(J278&lt;&gt;"",IF(K278&lt;&gt;"",G278+F278*30+(I278-H278)+(K278-J278)-$E$6,G278+F278*30+(I278-H278)-J278),G278+F278*30+(I278-H278)-$E$6),G278+F278*30-H278),G278+F278*30-$E$6)&lt;0,0,IF(H278&lt;&gt;"",IF(I278&lt;&gt;"",IF(J278&lt;&gt;"",IF(K278&lt;&gt;"",G278+F278*30+(I278-H278)+(K278-J278)-$E$6,G278+F278*30+(I278-H278)-J278),G278+F278*30+(I278-H278)-$E$6),G278+F278*30-H278),G278+F278*30-$E$6)))</f>
        <v/>
      </c>
      <c r="N278" s="65" t="str">
        <f t="shared" ref="N278:N282" si="9">IF(C278="","",IF(M278&lt;360,D278*E278*M278/(F278*30),D278*E278*360/(F278*30)))</f>
        <v/>
      </c>
    </row>
    <row r="279" spans="1:14" x14ac:dyDescent="0.25">
      <c r="A279" s="29"/>
      <c r="B279" s="28"/>
      <c r="C279" s="72"/>
      <c r="D279" s="31"/>
      <c r="E279" s="57"/>
      <c r="F279" s="56"/>
      <c r="G279" s="34"/>
      <c r="H279" s="35"/>
      <c r="I279" s="35"/>
      <c r="J279" s="35"/>
      <c r="K279" s="35"/>
      <c r="L279" s="35"/>
      <c r="M279" s="24" t="str">
        <f t="shared" si="8"/>
        <v/>
      </c>
      <c r="N279" s="65" t="str">
        <f t="shared" si="9"/>
        <v/>
      </c>
    </row>
    <row r="280" spans="1:14" x14ac:dyDescent="0.25">
      <c r="A280" s="29"/>
      <c r="B280" s="28"/>
      <c r="C280" s="72"/>
      <c r="D280" s="31"/>
      <c r="E280" s="57"/>
      <c r="F280" s="56"/>
      <c r="G280" s="34"/>
      <c r="H280" s="35"/>
      <c r="I280" s="35"/>
      <c r="J280" s="35"/>
      <c r="K280" s="35"/>
      <c r="L280" s="35"/>
      <c r="M280" s="24" t="str">
        <f t="shared" si="8"/>
        <v/>
      </c>
      <c r="N280" s="65" t="str">
        <f t="shared" si="9"/>
        <v/>
      </c>
    </row>
    <row r="281" spans="1:14" x14ac:dyDescent="0.25">
      <c r="A281" s="29"/>
      <c r="B281" s="28"/>
      <c r="C281" s="72"/>
      <c r="D281" s="31"/>
      <c r="E281" s="57"/>
      <c r="F281" s="56"/>
      <c r="G281" s="34"/>
      <c r="H281" s="35"/>
      <c r="I281" s="35"/>
      <c r="J281" s="35"/>
      <c r="K281" s="35"/>
      <c r="L281" s="35"/>
      <c r="M281" s="24" t="str">
        <f t="shared" si="8"/>
        <v/>
      </c>
      <c r="N281" s="65" t="str">
        <f t="shared" si="9"/>
        <v/>
      </c>
    </row>
    <row r="282" spans="1:14" x14ac:dyDescent="0.25">
      <c r="A282" s="29"/>
      <c r="B282" s="28"/>
      <c r="C282" s="72"/>
      <c r="D282" s="31"/>
      <c r="E282" s="57"/>
      <c r="F282" s="56"/>
      <c r="G282" s="34"/>
      <c r="H282" s="35"/>
      <c r="I282" s="35"/>
      <c r="J282" s="35"/>
      <c r="K282" s="35"/>
      <c r="L282" s="35"/>
      <c r="M282" s="24" t="str">
        <f t="shared" si="8"/>
        <v/>
      </c>
      <c r="N282" s="65" t="str">
        <f t="shared" si="9"/>
        <v/>
      </c>
    </row>
    <row r="283" spans="1:14" hidden="1" x14ac:dyDescent="0.25">
      <c r="A283" s="29"/>
      <c r="B283" s="28"/>
      <c r="C283" s="72"/>
      <c r="D283" s="31"/>
      <c r="E283" s="32"/>
      <c r="F283" s="33"/>
      <c r="G283" s="34"/>
      <c r="H283" s="35"/>
      <c r="I283" s="35"/>
      <c r="J283" s="35"/>
      <c r="K283" s="35"/>
      <c r="L283" s="35"/>
      <c r="M283" s="70"/>
      <c r="N283" s="65"/>
    </row>
    <row r="284" spans="1:14" x14ac:dyDescent="0.25">
      <c r="A284" s="29"/>
      <c r="B284" s="1"/>
      <c r="C284" s="159" t="s">
        <v>86</v>
      </c>
      <c r="D284" s="160"/>
      <c r="E284" s="160"/>
      <c r="F284" s="160"/>
      <c r="G284" s="160"/>
      <c r="H284" s="160"/>
      <c r="I284" s="160"/>
      <c r="J284" s="160"/>
      <c r="K284" s="160"/>
      <c r="L284" s="160"/>
      <c r="M284" s="160"/>
      <c r="N284" s="66">
        <f>SUM(N277:N283)</f>
        <v>0</v>
      </c>
    </row>
  </sheetData>
  <mergeCells count="381">
    <mergeCell ref="C270:G270"/>
    <mergeCell ref="C271:G271"/>
    <mergeCell ref="C274:N274"/>
    <mergeCell ref="C275:N275"/>
    <mergeCell ref="C284:M284"/>
    <mergeCell ref="C262:H262"/>
    <mergeCell ref="C263:G263"/>
    <mergeCell ref="C264:G264"/>
    <mergeCell ref="C265:G265"/>
    <mergeCell ref="C266:G266"/>
    <mergeCell ref="C269:H269"/>
    <mergeCell ref="C257:F257"/>
    <mergeCell ref="G257:H257"/>
    <mergeCell ref="C258:F258"/>
    <mergeCell ref="G258:H258"/>
    <mergeCell ref="C259:G259"/>
    <mergeCell ref="C260:G260"/>
    <mergeCell ref="C253:F253"/>
    <mergeCell ref="G253:H253"/>
    <mergeCell ref="C254:H254"/>
    <mergeCell ref="C255:F255"/>
    <mergeCell ref="G255:H255"/>
    <mergeCell ref="C256:F256"/>
    <mergeCell ref="G256:H256"/>
    <mergeCell ref="D248:E248"/>
    <mergeCell ref="F248:G248"/>
    <mergeCell ref="G249:H249"/>
    <mergeCell ref="C251:H251"/>
    <mergeCell ref="C252:F252"/>
    <mergeCell ref="G252:H252"/>
    <mergeCell ref="C245:F245"/>
    <mergeCell ref="G245:H245"/>
    <mergeCell ref="I245:J245"/>
    <mergeCell ref="M245:N245"/>
    <mergeCell ref="C246:H246"/>
    <mergeCell ref="D247:E247"/>
    <mergeCell ref="F247:G247"/>
    <mergeCell ref="C243:F243"/>
    <mergeCell ref="G243:H243"/>
    <mergeCell ref="I243:J243"/>
    <mergeCell ref="K243:N243"/>
    <mergeCell ref="C244:F244"/>
    <mergeCell ref="G244:H244"/>
    <mergeCell ref="I244:J244"/>
    <mergeCell ref="K244:N244"/>
    <mergeCell ref="J238:N240"/>
    <mergeCell ref="F239:H239"/>
    <mergeCell ref="D240:E240"/>
    <mergeCell ref="F240:H240"/>
    <mergeCell ref="C242:H242"/>
    <mergeCell ref="I242:J242"/>
    <mergeCell ref="K242:N242"/>
    <mergeCell ref="A236:B240"/>
    <mergeCell ref="C236:C237"/>
    <mergeCell ref="D236:E237"/>
    <mergeCell ref="F236:H236"/>
    <mergeCell ref="J236:J237"/>
    <mergeCell ref="K236:N237"/>
    <mergeCell ref="F237:H237"/>
    <mergeCell ref="C238:C239"/>
    <mergeCell ref="D238:E239"/>
    <mergeCell ref="F238:H238"/>
    <mergeCell ref="C219:G219"/>
    <mergeCell ref="C220:G220"/>
    <mergeCell ref="C223:N223"/>
    <mergeCell ref="C224:N224"/>
    <mergeCell ref="C233:M233"/>
    <mergeCell ref="A235:B235"/>
    <mergeCell ref="C235:E235"/>
    <mergeCell ref="F235:N235"/>
    <mergeCell ref="C211:H211"/>
    <mergeCell ref="C212:G212"/>
    <mergeCell ref="C213:G213"/>
    <mergeCell ref="C214:G214"/>
    <mergeCell ref="C215:G215"/>
    <mergeCell ref="C218:H218"/>
    <mergeCell ref="C206:F206"/>
    <mergeCell ref="G206:H206"/>
    <mergeCell ref="C207:F207"/>
    <mergeCell ref="G207:H207"/>
    <mergeCell ref="C208:G208"/>
    <mergeCell ref="C209:G209"/>
    <mergeCell ref="C202:F202"/>
    <mergeCell ref="G202:H202"/>
    <mergeCell ref="C203:H203"/>
    <mergeCell ref="C204:F204"/>
    <mergeCell ref="G204:H204"/>
    <mergeCell ref="C205:F205"/>
    <mergeCell ref="G205:H205"/>
    <mergeCell ref="D197:E197"/>
    <mergeCell ref="F197:G197"/>
    <mergeCell ref="G198:H198"/>
    <mergeCell ref="C200:H200"/>
    <mergeCell ref="C201:F201"/>
    <mergeCell ref="G201:H201"/>
    <mergeCell ref="C194:F194"/>
    <mergeCell ref="G194:H194"/>
    <mergeCell ref="I194:J194"/>
    <mergeCell ref="M194:N194"/>
    <mergeCell ref="C195:H195"/>
    <mergeCell ref="D196:E196"/>
    <mergeCell ref="F196:G196"/>
    <mergeCell ref="C192:F192"/>
    <mergeCell ref="G192:H192"/>
    <mergeCell ref="I192:J192"/>
    <mergeCell ref="K192:N192"/>
    <mergeCell ref="C193:F193"/>
    <mergeCell ref="G193:H193"/>
    <mergeCell ref="I193:J193"/>
    <mergeCell ref="K193:N193"/>
    <mergeCell ref="J187:N189"/>
    <mergeCell ref="F188:H188"/>
    <mergeCell ref="D189:E189"/>
    <mergeCell ref="F189:H189"/>
    <mergeCell ref="C191:H191"/>
    <mergeCell ref="I191:J191"/>
    <mergeCell ref="K191:N191"/>
    <mergeCell ref="A185:B189"/>
    <mergeCell ref="C185:C186"/>
    <mergeCell ref="D185:E186"/>
    <mergeCell ref="F185:H185"/>
    <mergeCell ref="J185:J186"/>
    <mergeCell ref="K185:N186"/>
    <mergeCell ref="F186:H186"/>
    <mergeCell ref="C187:C188"/>
    <mergeCell ref="D187:E188"/>
    <mergeCell ref="F187:H187"/>
    <mergeCell ref="C168:G168"/>
    <mergeCell ref="C169:G169"/>
    <mergeCell ref="C172:N172"/>
    <mergeCell ref="C173:N173"/>
    <mergeCell ref="C182:M182"/>
    <mergeCell ref="A184:B184"/>
    <mergeCell ref="C184:E184"/>
    <mergeCell ref="F184:N184"/>
    <mergeCell ref="C160:H160"/>
    <mergeCell ref="C161:G161"/>
    <mergeCell ref="C162:G162"/>
    <mergeCell ref="C163:G163"/>
    <mergeCell ref="C164:G164"/>
    <mergeCell ref="C167:H167"/>
    <mergeCell ref="C155:F155"/>
    <mergeCell ref="G155:H155"/>
    <mergeCell ref="C156:F156"/>
    <mergeCell ref="G156:H156"/>
    <mergeCell ref="C157:G157"/>
    <mergeCell ref="C158:G158"/>
    <mergeCell ref="C151:F151"/>
    <mergeCell ref="G151:H151"/>
    <mergeCell ref="C152:H152"/>
    <mergeCell ref="C153:F153"/>
    <mergeCell ref="G153:H153"/>
    <mergeCell ref="C154:F154"/>
    <mergeCell ref="G154:H154"/>
    <mergeCell ref="D146:E146"/>
    <mergeCell ref="F146:G146"/>
    <mergeCell ref="G147:H147"/>
    <mergeCell ref="C149:H149"/>
    <mergeCell ref="C150:F150"/>
    <mergeCell ref="G150:H150"/>
    <mergeCell ref="C143:F143"/>
    <mergeCell ref="G143:H143"/>
    <mergeCell ref="I143:J143"/>
    <mergeCell ref="M143:N143"/>
    <mergeCell ref="C144:H144"/>
    <mergeCell ref="D145:E145"/>
    <mergeCell ref="F145:G145"/>
    <mergeCell ref="C141:F141"/>
    <mergeCell ref="G141:H141"/>
    <mergeCell ref="I141:J141"/>
    <mergeCell ref="K141:N141"/>
    <mergeCell ref="C142:F142"/>
    <mergeCell ref="G142:H142"/>
    <mergeCell ref="I142:J142"/>
    <mergeCell ref="K142:N142"/>
    <mergeCell ref="J136:N138"/>
    <mergeCell ref="F137:H137"/>
    <mergeCell ref="D138:E138"/>
    <mergeCell ref="F138:H138"/>
    <mergeCell ref="C140:H140"/>
    <mergeCell ref="I140:J140"/>
    <mergeCell ref="K140:N140"/>
    <mergeCell ref="A134:B138"/>
    <mergeCell ref="C134:C135"/>
    <mergeCell ref="D134:E135"/>
    <mergeCell ref="F134:H134"/>
    <mergeCell ref="J134:J135"/>
    <mergeCell ref="K134:N135"/>
    <mergeCell ref="F135:H135"/>
    <mergeCell ref="C136:C137"/>
    <mergeCell ref="D136:E137"/>
    <mergeCell ref="F136:H136"/>
    <mergeCell ref="C117:G117"/>
    <mergeCell ref="C118:G118"/>
    <mergeCell ref="C121:N121"/>
    <mergeCell ref="C122:N122"/>
    <mergeCell ref="C131:M131"/>
    <mergeCell ref="A133:B133"/>
    <mergeCell ref="C133:E133"/>
    <mergeCell ref="F133:N133"/>
    <mergeCell ref="C109:H109"/>
    <mergeCell ref="C110:G110"/>
    <mergeCell ref="C111:G111"/>
    <mergeCell ref="C112:G112"/>
    <mergeCell ref="C113:G113"/>
    <mergeCell ref="C116:H116"/>
    <mergeCell ref="C104:F104"/>
    <mergeCell ref="G104:H104"/>
    <mergeCell ref="C105:F105"/>
    <mergeCell ref="G105:H105"/>
    <mergeCell ref="C106:G106"/>
    <mergeCell ref="C107:G107"/>
    <mergeCell ref="C100:F100"/>
    <mergeCell ref="G100:H100"/>
    <mergeCell ref="C101:H101"/>
    <mergeCell ref="C102:F102"/>
    <mergeCell ref="G102:H102"/>
    <mergeCell ref="C103:F103"/>
    <mergeCell ref="G103:H103"/>
    <mergeCell ref="D95:E95"/>
    <mergeCell ref="F95:G95"/>
    <mergeCell ref="G96:H96"/>
    <mergeCell ref="C98:H98"/>
    <mergeCell ref="C99:F99"/>
    <mergeCell ref="G99:H99"/>
    <mergeCell ref="C92:F92"/>
    <mergeCell ref="G92:H92"/>
    <mergeCell ref="I92:J92"/>
    <mergeCell ref="M92:N92"/>
    <mergeCell ref="C93:H93"/>
    <mergeCell ref="D94:E94"/>
    <mergeCell ref="F94:G94"/>
    <mergeCell ref="C90:F90"/>
    <mergeCell ref="G90:H90"/>
    <mergeCell ref="I90:J90"/>
    <mergeCell ref="K90:N90"/>
    <mergeCell ref="C91:F91"/>
    <mergeCell ref="G91:H91"/>
    <mergeCell ref="I91:J91"/>
    <mergeCell ref="K91:N91"/>
    <mergeCell ref="J85:N87"/>
    <mergeCell ref="F86:H86"/>
    <mergeCell ref="D87:E87"/>
    <mergeCell ref="F87:H87"/>
    <mergeCell ref="C89:H89"/>
    <mergeCell ref="I89:J89"/>
    <mergeCell ref="K89:N89"/>
    <mergeCell ref="A83:B87"/>
    <mergeCell ref="C83:C84"/>
    <mergeCell ref="D83:E84"/>
    <mergeCell ref="F83:H83"/>
    <mergeCell ref="J83:J84"/>
    <mergeCell ref="K83:N84"/>
    <mergeCell ref="F84:H84"/>
    <mergeCell ref="C85:C86"/>
    <mergeCell ref="D85:E86"/>
    <mergeCell ref="F85:H85"/>
    <mergeCell ref="C70:N70"/>
    <mergeCell ref="C71:N71"/>
    <mergeCell ref="C80:M80"/>
    <mergeCell ref="A82:B82"/>
    <mergeCell ref="C82:E82"/>
    <mergeCell ref="F82:N82"/>
    <mergeCell ref="C60:G60"/>
    <mergeCell ref="C61:G61"/>
    <mergeCell ref="C62:G62"/>
    <mergeCell ref="C65:H65"/>
    <mergeCell ref="C66:G66"/>
    <mergeCell ref="C67:G67"/>
    <mergeCell ref="C54:F54"/>
    <mergeCell ref="G54:H54"/>
    <mergeCell ref="C55:G55"/>
    <mergeCell ref="C56:G56"/>
    <mergeCell ref="C58:H58"/>
    <mergeCell ref="C59:G59"/>
    <mergeCell ref="C51:F51"/>
    <mergeCell ref="G51:H51"/>
    <mergeCell ref="C52:F52"/>
    <mergeCell ref="G52:H52"/>
    <mergeCell ref="C53:F53"/>
    <mergeCell ref="G53:H53"/>
    <mergeCell ref="C47:H47"/>
    <mergeCell ref="C48:F48"/>
    <mergeCell ref="G48:H48"/>
    <mergeCell ref="C49:F49"/>
    <mergeCell ref="G49:H49"/>
    <mergeCell ref="C50:H50"/>
    <mergeCell ref="C42:H42"/>
    <mergeCell ref="D43:E43"/>
    <mergeCell ref="F43:G43"/>
    <mergeCell ref="D44:E44"/>
    <mergeCell ref="F44:G44"/>
    <mergeCell ref="G45:H45"/>
    <mergeCell ref="C40:F40"/>
    <mergeCell ref="G40:H40"/>
    <mergeCell ref="I40:J40"/>
    <mergeCell ref="K40:N40"/>
    <mergeCell ref="C41:F41"/>
    <mergeCell ref="G41:H41"/>
    <mergeCell ref="I41:J41"/>
    <mergeCell ref="M41:N41"/>
    <mergeCell ref="C38:H38"/>
    <mergeCell ref="I38:J38"/>
    <mergeCell ref="K38:N38"/>
    <mergeCell ref="C39:F39"/>
    <mergeCell ref="G39:H39"/>
    <mergeCell ref="I39:J39"/>
    <mergeCell ref="K39:N39"/>
    <mergeCell ref="A29:E29"/>
    <mergeCell ref="K29:M29"/>
    <mergeCell ref="A31:B31"/>
    <mergeCell ref="C31:E31"/>
    <mergeCell ref="F31:N31"/>
    <mergeCell ref="A32:B36"/>
    <mergeCell ref="C32:C33"/>
    <mergeCell ref="D32:E33"/>
    <mergeCell ref="F32:H32"/>
    <mergeCell ref="J32:J33"/>
    <mergeCell ref="K32:N33"/>
    <mergeCell ref="F33:H33"/>
    <mergeCell ref="C34:C35"/>
    <mergeCell ref="D34:E35"/>
    <mergeCell ref="F34:H34"/>
    <mergeCell ref="J34:N36"/>
    <mergeCell ref="F35:H35"/>
    <mergeCell ref="D36:E36"/>
    <mergeCell ref="F36:H36"/>
    <mergeCell ref="A27:B27"/>
    <mergeCell ref="C27:D27"/>
    <mergeCell ref="K27:M27"/>
    <mergeCell ref="A28:B28"/>
    <mergeCell ref="C28:D28"/>
    <mergeCell ref="K28:M28"/>
    <mergeCell ref="A25:B25"/>
    <mergeCell ref="C25:D25"/>
    <mergeCell ref="K25:M25"/>
    <mergeCell ref="A26:B26"/>
    <mergeCell ref="C26:D26"/>
    <mergeCell ref="K26:M26"/>
    <mergeCell ref="A22:N22"/>
    <mergeCell ref="A23:B23"/>
    <mergeCell ref="C23:D23"/>
    <mergeCell ref="K23:M23"/>
    <mergeCell ref="A24:B24"/>
    <mergeCell ref="C24:D24"/>
    <mergeCell ref="K24:M24"/>
    <mergeCell ref="K16:N17"/>
    <mergeCell ref="F17:H17"/>
    <mergeCell ref="C18:C19"/>
    <mergeCell ref="D18:E19"/>
    <mergeCell ref="F18:H18"/>
    <mergeCell ref="J18:N20"/>
    <mergeCell ref="F19:H19"/>
    <mergeCell ref="D20:E20"/>
    <mergeCell ref="F20:H20"/>
    <mergeCell ref="A11:C11"/>
    <mergeCell ref="A13:N14"/>
    <mergeCell ref="A15:B15"/>
    <mergeCell ref="C15:E15"/>
    <mergeCell ref="F15:N15"/>
    <mergeCell ref="A16:B20"/>
    <mergeCell ref="C16:C17"/>
    <mergeCell ref="D16:E17"/>
    <mergeCell ref="F16:H16"/>
    <mergeCell ref="J16:J17"/>
    <mergeCell ref="A7:D7"/>
    <mergeCell ref="K7:M7"/>
    <mergeCell ref="A8:D8"/>
    <mergeCell ref="K8:M8"/>
    <mergeCell ref="A9:D9"/>
    <mergeCell ref="K9:M9"/>
    <mergeCell ref="A1:N1"/>
    <mergeCell ref="A2:N2"/>
    <mergeCell ref="A3:N3"/>
    <mergeCell ref="A4:N4"/>
    <mergeCell ref="A5:D5"/>
    <mergeCell ref="F5:G9"/>
    <mergeCell ref="H5:J9"/>
    <mergeCell ref="K5:M5"/>
    <mergeCell ref="A6:D6"/>
    <mergeCell ref="K6:M6"/>
  </mergeCells>
  <conditionalFormatting sqref="G40:H40">
    <cfRule type="cellIs" dxfId="36" priority="12" operator="equal">
      <formula>""</formula>
    </cfRule>
  </conditionalFormatting>
  <conditionalFormatting sqref="G91:H91">
    <cfRule type="cellIs" dxfId="35" priority="9" operator="equal">
      <formula>""</formula>
    </cfRule>
  </conditionalFormatting>
  <conditionalFormatting sqref="G142:H142">
    <cfRule type="cellIs" dxfId="34" priority="7" operator="equal">
      <formula>""</formula>
    </cfRule>
  </conditionalFormatting>
  <conditionalFormatting sqref="G193:H193">
    <cfRule type="cellIs" dxfId="33" priority="5" operator="equal">
      <formula>""</formula>
    </cfRule>
  </conditionalFormatting>
  <conditionalFormatting sqref="G244:H244">
    <cfRule type="cellIs" dxfId="32" priority="3" operator="equal">
      <formula>""</formula>
    </cfRule>
  </conditionalFormatting>
  <conditionalFormatting sqref="J18">
    <cfRule type="cellIs" dxfId="31" priority="10" operator="equal">
      <formula>"CUMPLE"</formula>
    </cfRule>
  </conditionalFormatting>
  <conditionalFormatting sqref="J85">
    <cfRule type="cellIs" dxfId="30" priority="8" operator="equal">
      <formula>"CUMPLE"</formula>
    </cfRule>
  </conditionalFormatting>
  <conditionalFormatting sqref="J136">
    <cfRule type="cellIs" dxfId="29" priority="6" operator="equal">
      <formula>"CUMPLE"</formula>
    </cfRule>
  </conditionalFormatting>
  <conditionalFormatting sqref="J187">
    <cfRule type="cellIs" dxfId="28" priority="4" operator="equal">
      <formula>"CUMPLE"</formula>
    </cfRule>
  </conditionalFormatting>
  <conditionalFormatting sqref="J238">
    <cfRule type="cellIs" dxfId="27" priority="2" operator="equal">
      <formula>"CUMPLE"</formula>
    </cfRule>
  </conditionalFormatting>
  <conditionalFormatting sqref="O32:R36 J34">
    <cfRule type="cellIs" dxfId="26" priority="11" operator="equal">
      <formula>"CUMPLE"</formula>
    </cfRule>
  </conditionalFormatting>
  <dataValidations disablePrompts="1" count="4">
    <dataValidation type="list" allowBlank="1" showErrorMessage="1" sqref="H44 H95 H146 H197 H248" xr:uid="{00000000-0002-0000-0300-000000000000}">
      <formula1>"VIGENTE,SIN VIGENCIA,NO APORTA,N/A"</formula1>
    </dataValidation>
    <dataValidation type="decimal" operator="greaterThan" allowBlank="1" showErrorMessage="1" sqref="G40 G91 G142 G193 G244" xr:uid="{00000000-0002-0000-0300-000001000000}">
      <formula1>0</formula1>
    </dataValidation>
    <dataValidation type="list" allowBlank="1" showErrorMessage="1" sqref="H43 H94 H145 H196 H247" xr:uid="{00000000-0002-0000-0300-000002000000}">
      <formula1>"VIGENTE,SIN VIGENCIA,NO APORTA"</formula1>
    </dataValidation>
    <dataValidation type="list" allowBlank="1" showErrorMessage="1" sqref="G39 G243 G192 G141 G90" xr:uid="{00000000-0002-0000-0300-000003000000}">
      <formula1>$S$5:$S$6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73"/>
  <sheetViews>
    <sheetView topLeftCell="A40" zoomScale="90" zoomScaleNormal="90" workbookViewId="0">
      <selection activeCell="G66" sqref="G66"/>
    </sheetView>
  </sheetViews>
  <sheetFormatPr baseColWidth="10" defaultColWidth="14.42578125" defaultRowHeight="15" outlineLevelRow="1" x14ac:dyDescent="0.25"/>
  <cols>
    <col min="1" max="1" width="4.7109375" customWidth="1"/>
    <col min="2" max="2" width="4.85546875" customWidth="1"/>
    <col min="3" max="3" width="18.5703125" customWidth="1"/>
    <col min="4" max="4" width="18" customWidth="1"/>
    <col min="5" max="5" width="19.7109375" customWidth="1"/>
    <col min="6" max="7" width="18" customWidth="1"/>
    <col min="8" max="8" width="20.85546875" customWidth="1"/>
    <col min="9" max="10" width="16.140625" customWidth="1"/>
    <col min="11" max="12" width="14.7109375" customWidth="1"/>
    <col min="13" max="13" width="13.85546875" customWidth="1"/>
    <col min="14" max="14" width="17.42578125" customWidth="1"/>
    <col min="15" max="18" width="20" customWidth="1"/>
    <col min="19" max="19" width="8.28515625" hidden="1" customWidth="1"/>
    <col min="20" max="23" width="11.42578125" customWidth="1"/>
    <col min="24" max="24" width="17" customWidth="1"/>
    <col min="25" max="26" width="11.42578125" customWidth="1"/>
  </cols>
  <sheetData>
    <row r="1" spans="1:26" ht="22.5" customHeight="1" x14ac:dyDescent="0.25">
      <c r="A1" s="163" t="s">
        <v>21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5"/>
      <c r="S1" s="2"/>
      <c r="T1" s="2"/>
      <c r="U1" s="2"/>
      <c r="V1" s="2"/>
      <c r="W1" s="2"/>
      <c r="X1" s="1"/>
      <c r="Y1" s="1"/>
      <c r="Z1" s="1"/>
    </row>
    <row r="2" spans="1:26" ht="22.5" customHeight="1" x14ac:dyDescent="0.25">
      <c r="A2" s="163" t="s">
        <v>125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5"/>
      <c r="S2" s="2"/>
      <c r="T2" s="2"/>
      <c r="U2" s="2"/>
      <c r="V2" s="2"/>
      <c r="W2" s="2"/>
      <c r="X2" s="1"/>
      <c r="Y2" s="1"/>
      <c r="Z2" s="1"/>
    </row>
    <row r="3" spans="1:26" ht="22.5" customHeight="1" x14ac:dyDescent="0.25">
      <c r="A3" s="163" t="s">
        <v>126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5"/>
      <c r="S3" s="2"/>
      <c r="T3" s="2"/>
      <c r="U3" s="2"/>
      <c r="V3" s="2"/>
      <c r="W3" s="2"/>
      <c r="X3" s="1"/>
      <c r="Y3" s="1"/>
      <c r="Z3" s="1"/>
    </row>
    <row r="4" spans="1:26" ht="22.5" customHeight="1" x14ac:dyDescent="0.25">
      <c r="A4" s="163" t="s">
        <v>101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5"/>
      <c r="S4" s="3"/>
      <c r="T4" s="4"/>
      <c r="U4" s="5"/>
      <c r="V4" s="5"/>
      <c r="W4" s="5"/>
      <c r="X4" s="1"/>
      <c r="Y4" s="1"/>
      <c r="Z4" s="1"/>
    </row>
    <row r="5" spans="1:26" ht="23.25" customHeight="1" x14ac:dyDescent="0.25">
      <c r="A5" s="159" t="s">
        <v>22</v>
      </c>
      <c r="B5" s="160"/>
      <c r="C5" s="160"/>
      <c r="D5" s="160"/>
      <c r="E5" s="40">
        <f>'DATOS INICIALES'!B3</f>
        <v>1169500932</v>
      </c>
      <c r="F5" s="166"/>
      <c r="G5" s="160"/>
      <c r="H5" s="167" t="s">
        <v>124</v>
      </c>
      <c r="I5" s="160"/>
      <c r="J5" s="160"/>
      <c r="K5" s="162" t="s">
        <v>23</v>
      </c>
      <c r="L5" s="162"/>
      <c r="M5" s="160"/>
      <c r="N5" s="7" t="s">
        <v>24</v>
      </c>
      <c r="O5" s="6"/>
      <c r="P5" s="6"/>
      <c r="Q5" s="6"/>
      <c r="R5" s="6"/>
      <c r="S5" s="5" t="s">
        <v>25</v>
      </c>
      <c r="T5" s="5"/>
      <c r="U5" s="5"/>
      <c r="V5" s="5"/>
      <c r="W5" s="5"/>
      <c r="X5" s="5"/>
      <c r="Y5" s="5"/>
      <c r="Z5" s="5"/>
    </row>
    <row r="6" spans="1:26" ht="15.75" customHeight="1" x14ac:dyDescent="0.25">
      <c r="A6" s="159" t="s">
        <v>106</v>
      </c>
      <c r="B6" s="160"/>
      <c r="C6" s="160"/>
      <c r="D6" s="160"/>
      <c r="E6" s="8">
        <f>'DATOS INICIALES'!B5</f>
        <v>45568</v>
      </c>
      <c r="F6" s="160"/>
      <c r="G6" s="160"/>
      <c r="H6" s="168"/>
      <c r="I6" s="168"/>
      <c r="J6" s="168"/>
      <c r="K6" s="161" t="s">
        <v>26</v>
      </c>
      <c r="L6" s="161"/>
      <c r="M6" s="160"/>
      <c r="N6" s="70">
        <v>120</v>
      </c>
      <c r="O6" s="4"/>
      <c r="P6" s="4"/>
      <c r="Q6" s="4"/>
      <c r="R6" s="4"/>
      <c r="S6" s="5" t="s">
        <v>27</v>
      </c>
      <c r="T6" s="5"/>
      <c r="U6" s="5"/>
      <c r="V6" s="5"/>
      <c r="W6" s="5"/>
      <c r="X6" s="5"/>
      <c r="Y6" s="5"/>
      <c r="Z6" s="5"/>
    </row>
    <row r="7" spans="1:26" ht="15.75" customHeight="1" x14ac:dyDescent="0.25">
      <c r="A7" s="159" t="s">
        <v>28</v>
      </c>
      <c r="B7" s="160"/>
      <c r="C7" s="160"/>
      <c r="D7" s="160"/>
      <c r="E7" s="9">
        <v>0</v>
      </c>
      <c r="F7" s="160"/>
      <c r="G7" s="160"/>
      <c r="H7" s="168"/>
      <c r="I7" s="168"/>
      <c r="J7" s="168"/>
      <c r="K7" s="161" t="s">
        <v>29</v>
      </c>
      <c r="L7" s="161"/>
      <c r="M7" s="160"/>
      <c r="N7" s="70">
        <v>40</v>
      </c>
      <c r="O7" s="4"/>
      <c r="P7" s="4"/>
      <c r="Q7" s="4"/>
      <c r="R7" s="4"/>
      <c r="S7" s="4"/>
      <c r="T7" s="5"/>
      <c r="U7" s="5"/>
      <c r="V7" s="5"/>
      <c r="W7" s="5"/>
      <c r="X7" s="5"/>
      <c r="Y7" s="5"/>
      <c r="Z7" s="5"/>
    </row>
    <row r="8" spans="1:26" ht="15.75" customHeight="1" x14ac:dyDescent="0.25">
      <c r="A8" s="159" t="s">
        <v>30</v>
      </c>
      <c r="B8" s="160"/>
      <c r="C8" s="160"/>
      <c r="D8" s="160"/>
      <c r="E8" s="117">
        <f>'DATOS INICIALES'!B4</f>
        <v>2</v>
      </c>
      <c r="F8" s="160"/>
      <c r="G8" s="160"/>
      <c r="H8" s="168"/>
      <c r="I8" s="168"/>
      <c r="J8" s="168"/>
      <c r="K8" s="161" t="s">
        <v>31</v>
      </c>
      <c r="L8" s="161"/>
      <c r="M8" s="160"/>
      <c r="N8" s="70">
        <v>40</v>
      </c>
      <c r="O8" s="4"/>
      <c r="P8" s="4"/>
      <c r="Q8" s="4"/>
      <c r="R8" s="4"/>
      <c r="S8" s="4"/>
      <c r="T8" s="5"/>
      <c r="U8" s="5"/>
      <c r="V8" s="5"/>
      <c r="W8" s="5"/>
      <c r="X8" s="5"/>
      <c r="Y8" s="5"/>
      <c r="Z8" s="5"/>
    </row>
    <row r="9" spans="1:26" ht="15.75" customHeight="1" x14ac:dyDescent="0.25">
      <c r="A9" s="159" t="s">
        <v>32</v>
      </c>
      <c r="B9" s="160"/>
      <c r="C9" s="160"/>
      <c r="D9" s="160"/>
      <c r="E9" s="10">
        <f>IF(E8&lt;12,E5-E7*E5,(E5-E7*E5)/E8*12)</f>
        <v>1169500932</v>
      </c>
      <c r="F9" s="160"/>
      <c r="G9" s="160"/>
      <c r="H9" s="160"/>
      <c r="I9" s="160"/>
      <c r="J9" s="160"/>
      <c r="K9" s="162" t="s">
        <v>33</v>
      </c>
      <c r="L9" s="162"/>
      <c r="M9" s="160"/>
      <c r="N9" s="7">
        <v>200</v>
      </c>
      <c r="O9" s="6"/>
      <c r="P9" s="6"/>
      <c r="Q9" s="6"/>
      <c r="R9" s="6"/>
      <c r="S9" s="4"/>
      <c r="T9" s="5"/>
      <c r="U9" s="5"/>
      <c r="V9" s="5"/>
      <c r="W9" s="5"/>
      <c r="X9" s="5"/>
      <c r="Y9" s="5"/>
      <c r="Z9" s="5"/>
    </row>
    <row r="10" spans="1:26" ht="12" customHeight="1" thickBot="1" x14ac:dyDescent="0.3">
      <c r="A10" s="6"/>
      <c r="B10" s="6"/>
      <c r="C10" s="6"/>
      <c r="D10" s="6"/>
      <c r="E10" s="11"/>
      <c r="F10" s="6"/>
      <c r="G10" s="6"/>
      <c r="H10" s="6"/>
      <c r="I10" s="6"/>
      <c r="J10" s="6"/>
      <c r="K10" s="6"/>
      <c r="L10" s="6"/>
      <c r="M10" s="5"/>
      <c r="N10" s="5"/>
      <c r="O10" s="5"/>
      <c r="P10" s="5"/>
      <c r="Q10" s="5"/>
      <c r="R10" s="5"/>
      <c r="S10" s="6"/>
      <c r="T10" s="4"/>
      <c r="U10" s="5"/>
      <c r="V10" s="5"/>
      <c r="W10" s="5"/>
      <c r="X10" s="5"/>
      <c r="Y10" s="5"/>
      <c r="Z10" s="5"/>
    </row>
    <row r="11" spans="1:26" ht="12" customHeight="1" thickBot="1" x14ac:dyDescent="0.3">
      <c r="A11" s="169" t="s">
        <v>94</v>
      </c>
      <c r="B11" s="170"/>
      <c r="C11" s="171"/>
      <c r="D11" s="6"/>
      <c r="E11" s="11"/>
      <c r="F11" s="6"/>
      <c r="G11" s="6"/>
      <c r="H11" s="6"/>
      <c r="I11" s="6"/>
      <c r="J11" s="6"/>
      <c r="K11" s="6"/>
      <c r="L11" s="6"/>
      <c r="M11" s="5"/>
      <c r="N11" s="5"/>
      <c r="O11" s="5"/>
      <c r="P11" s="5"/>
      <c r="Q11" s="5"/>
      <c r="R11" s="5"/>
      <c r="S11" s="6"/>
      <c r="T11" s="4"/>
      <c r="U11" s="5"/>
      <c r="V11" s="5"/>
      <c r="W11" s="5"/>
      <c r="X11" s="5"/>
      <c r="Y11" s="5"/>
      <c r="Z11" s="5"/>
    </row>
    <row r="12" spans="1:26" ht="12" customHeight="1" x14ac:dyDescent="0.25">
      <c r="A12" s="6"/>
      <c r="B12" s="6"/>
      <c r="C12" s="6"/>
      <c r="D12" s="6"/>
      <c r="E12" s="11"/>
      <c r="F12" s="6"/>
      <c r="G12" s="6"/>
      <c r="H12" s="6"/>
      <c r="I12" s="6"/>
      <c r="J12" s="6"/>
      <c r="K12" s="6"/>
      <c r="L12" s="6"/>
      <c r="M12" s="5"/>
      <c r="N12" s="5"/>
      <c r="O12" s="5"/>
      <c r="P12" s="5"/>
      <c r="Q12" s="5"/>
      <c r="R12" s="5"/>
      <c r="S12" s="6"/>
      <c r="T12" s="4"/>
      <c r="U12" s="5"/>
      <c r="V12" s="5"/>
      <c r="W12" s="5"/>
      <c r="X12" s="5"/>
      <c r="Y12" s="5"/>
      <c r="Z12" s="5"/>
    </row>
    <row r="13" spans="1:26" ht="12" customHeight="1" x14ac:dyDescent="0.25">
      <c r="A13" s="172" t="str">
        <f>"Se considerará HÁBIL el proponente que presente una CR igual o superior a "&amp;TEXT(E9,"$#.##0")</f>
        <v>Se considerará HÁBIL el proponente que presente una CR igual o superior a $1.169.500.932</v>
      </c>
      <c r="B13" s="172"/>
      <c r="C13" s="172"/>
      <c r="D13" s="172"/>
      <c r="E13" s="172"/>
      <c r="F13" s="172"/>
      <c r="G13" s="172"/>
      <c r="H13" s="172"/>
      <c r="I13" s="172"/>
      <c r="J13" s="172"/>
      <c r="K13" s="172"/>
      <c r="L13" s="172"/>
      <c r="M13" s="172"/>
      <c r="N13" s="172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25">
      <c r="A14" s="172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" customHeight="1" x14ac:dyDescent="0.25">
      <c r="A15" s="233" t="s">
        <v>95</v>
      </c>
      <c r="B15" s="233"/>
      <c r="C15" s="197" t="s">
        <v>96</v>
      </c>
      <c r="D15" s="197"/>
      <c r="E15" s="197"/>
      <c r="F15" s="234" t="s">
        <v>97</v>
      </c>
      <c r="G15" s="233"/>
      <c r="H15" s="233"/>
      <c r="I15" s="233"/>
      <c r="J15" s="233"/>
      <c r="K15" s="233"/>
      <c r="L15" s="233"/>
      <c r="M15" s="233"/>
      <c r="N15" s="23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.75" customHeight="1" x14ac:dyDescent="0.25">
      <c r="A16" s="197">
        <v>2</v>
      </c>
      <c r="B16" s="197"/>
      <c r="C16" s="198" t="s">
        <v>91</v>
      </c>
      <c r="D16" s="199" t="str">
        <f>VLOOKUP(A16,'CAPACIDAD RESIDUAL'!$A$6:$D$304,2,FALSE)</f>
        <v>MARY SOL DUQUE HURTADO</v>
      </c>
      <c r="E16" s="200"/>
      <c r="F16" s="197" t="str">
        <f>C22</f>
        <v>Capacidad de Organización (CO)</v>
      </c>
      <c r="G16" s="197"/>
      <c r="H16" s="197"/>
      <c r="I16" s="22">
        <f>G29</f>
        <v>14800340093</v>
      </c>
      <c r="J16" s="203" t="s">
        <v>88</v>
      </c>
      <c r="K16" s="183">
        <f>G29*(H40+H46+H51)/100-N64</f>
        <v>25791665811.556</v>
      </c>
      <c r="L16" s="184"/>
      <c r="M16" s="184"/>
      <c r="N16" s="185"/>
      <c r="O16" s="6"/>
      <c r="P16" s="6"/>
      <c r="Q16" s="6"/>
      <c r="R16" s="6"/>
      <c r="S16" s="4"/>
      <c r="T16" s="6"/>
      <c r="U16" s="13"/>
      <c r="V16" s="6"/>
      <c r="W16" s="5"/>
      <c r="X16" s="5"/>
      <c r="Y16" s="5"/>
      <c r="Z16" s="5"/>
    </row>
    <row r="17" spans="1:26" ht="15.75" customHeight="1" x14ac:dyDescent="0.25">
      <c r="A17" s="197"/>
      <c r="B17" s="197"/>
      <c r="C17" s="198"/>
      <c r="D17" s="201"/>
      <c r="E17" s="202"/>
      <c r="F17" s="197" t="str">
        <f>C31</f>
        <v>Experiencia (E)</v>
      </c>
      <c r="G17" s="197"/>
      <c r="H17" s="197"/>
      <c r="I17" s="22">
        <f>H40</f>
        <v>120</v>
      </c>
      <c r="J17" s="204"/>
      <c r="K17" s="186"/>
      <c r="L17" s="187"/>
      <c r="M17" s="187"/>
      <c r="N17" s="188"/>
      <c r="O17" s="6"/>
      <c r="P17" s="6"/>
      <c r="Q17" s="6"/>
      <c r="R17" s="6"/>
      <c r="S17" s="4"/>
      <c r="T17" s="6"/>
      <c r="U17" s="13"/>
      <c r="V17" s="6"/>
      <c r="W17" s="5"/>
      <c r="X17" s="5"/>
      <c r="Y17" s="5"/>
      <c r="Z17" s="5"/>
    </row>
    <row r="18" spans="1:26" ht="15.75" customHeight="1" x14ac:dyDescent="0.25">
      <c r="A18" s="197"/>
      <c r="B18" s="197"/>
      <c r="C18" s="198" t="s">
        <v>92</v>
      </c>
      <c r="D18" s="205" t="str">
        <f>VLOOKUP(A16,'CAPACIDAD RESIDUAL'!$A$6:$D$304,3,FALSE)</f>
        <v>43.757.484-7</v>
      </c>
      <c r="E18" s="206"/>
      <c r="F18" s="197" t="str">
        <f>C42</f>
        <v>Capacidad Financiera (CF)</v>
      </c>
      <c r="G18" s="197"/>
      <c r="H18" s="197"/>
      <c r="I18" s="22">
        <f>H46</f>
        <v>40</v>
      </c>
      <c r="J18" s="191" t="str">
        <f>IF(K16&gt;$E$9,"CUMPLE","NO CUMPLE")</f>
        <v>CUMPLE</v>
      </c>
      <c r="K18" s="191"/>
      <c r="L18" s="191"/>
      <c r="M18" s="191"/>
      <c r="N18" s="191"/>
      <c r="O18" s="6"/>
      <c r="P18" s="6"/>
      <c r="Q18" s="6"/>
      <c r="R18" s="6"/>
      <c r="S18" s="4"/>
      <c r="T18" s="6"/>
      <c r="U18" s="13"/>
      <c r="V18" s="6"/>
      <c r="W18" s="5"/>
      <c r="X18" s="5"/>
      <c r="Y18" s="5"/>
      <c r="Z18" s="5"/>
    </row>
    <row r="19" spans="1:26" ht="15.75" customHeight="1" x14ac:dyDescent="0.25">
      <c r="A19" s="197"/>
      <c r="B19" s="197"/>
      <c r="C19" s="198"/>
      <c r="D19" s="207"/>
      <c r="E19" s="208"/>
      <c r="F19" s="197" t="str">
        <f>C49</f>
        <v>Capacidad Técnica (CT)</v>
      </c>
      <c r="G19" s="197"/>
      <c r="H19" s="197"/>
      <c r="I19" s="22">
        <f>H51</f>
        <v>20</v>
      </c>
      <c r="J19" s="191"/>
      <c r="K19" s="191"/>
      <c r="L19" s="191"/>
      <c r="M19" s="191"/>
      <c r="N19" s="191"/>
      <c r="O19" s="6"/>
      <c r="P19" s="6"/>
      <c r="Q19" s="6"/>
      <c r="R19" s="6"/>
      <c r="S19" s="4"/>
      <c r="T19" s="6"/>
      <c r="U19" s="13"/>
      <c r="V19" s="6"/>
      <c r="W19" s="5"/>
      <c r="X19" s="5"/>
      <c r="Y19" s="5"/>
      <c r="Z19" s="5"/>
    </row>
    <row r="20" spans="1:26" x14ac:dyDescent="0.25">
      <c r="A20" s="197"/>
      <c r="B20" s="197"/>
      <c r="C20" s="73" t="s">
        <v>93</v>
      </c>
      <c r="D20" s="209">
        <f>VLOOKUP(A16,'CAPACIDAD RESIDUAL'!$A$6:$D$304,4,FALSE)</f>
        <v>1</v>
      </c>
      <c r="E20" s="210"/>
      <c r="F20" s="211" t="str">
        <f>C54</f>
        <v>Saldo de los Contratos en Ejecución (SCE)</v>
      </c>
      <c r="G20" s="211"/>
      <c r="H20" s="211"/>
      <c r="I20" s="22">
        <f>N64</f>
        <v>848946355.8440001</v>
      </c>
      <c r="J20" s="191"/>
      <c r="K20" s="191"/>
      <c r="L20" s="191"/>
      <c r="M20" s="191"/>
      <c r="N20" s="191"/>
      <c r="O20" s="6"/>
      <c r="P20" s="6"/>
      <c r="Q20" s="6"/>
      <c r="R20" s="6"/>
      <c r="S20" s="4"/>
      <c r="T20" s="6"/>
      <c r="U20" s="13"/>
      <c r="V20" s="6"/>
      <c r="W20" s="5"/>
      <c r="X20" s="5"/>
      <c r="Y20" s="5"/>
      <c r="Z20" s="5"/>
    </row>
    <row r="21" spans="1:26" outlineLevel="1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4"/>
      <c r="T21" s="6"/>
      <c r="U21" s="6"/>
      <c r="V21" s="6"/>
      <c r="W21" s="5"/>
      <c r="X21" s="5"/>
      <c r="Y21" s="5"/>
      <c r="Z21" s="5"/>
    </row>
    <row r="22" spans="1:26" ht="12" customHeight="1" outlineLevel="1" x14ac:dyDescent="0.25">
      <c r="A22" s="44"/>
      <c r="C22" s="219" t="s">
        <v>34</v>
      </c>
      <c r="D22" s="160"/>
      <c r="E22" s="160"/>
      <c r="F22" s="160"/>
      <c r="G22" s="160"/>
      <c r="H22" s="160"/>
      <c r="I22" s="220" t="s">
        <v>35</v>
      </c>
      <c r="J22" s="160"/>
      <c r="K22" s="220" t="s">
        <v>36</v>
      </c>
      <c r="L22" s="220"/>
      <c r="M22" s="160"/>
      <c r="N22" s="160"/>
      <c r="O22" s="16"/>
      <c r="P22" s="16"/>
      <c r="Q22" s="16"/>
      <c r="R22" s="16"/>
      <c r="S22" s="4"/>
      <c r="T22" s="6"/>
      <c r="U22" s="6"/>
      <c r="V22" s="6"/>
      <c r="W22" s="5"/>
      <c r="X22" s="5"/>
      <c r="Y22" s="5"/>
      <c r="Z22" s="5"/>
    </row>
    <row r="23" spans="1:26" ht="12.75" customHeight="1" outlineLevel="1" x14ac:dyDescent="0.25">
      <c r="A23" s="17"/>
      <c r="B23" s="6"/>
      <c r="C23" s="161" t="s">
        <v>37</v>
      </c>
      <c r="D23" s="160"/>
      <c r="E23" s="160"/>
      <c r="F23" s="160"/>
      <c r="G23" s="221" t="s">
        <v>27</v>
      </c>
      <c r="H23" s="160"/>
      <c r="I23" s="214" t="s">
        <v>38</v>
      </c>
      <c r="J23" s="160"/>
      <c r="K23" s="214" t="s">
        <v>39</v>
      </c>
      <c r="L23" s="214"/>
      <c r="M23" s="160"/>
      <c r="N23" s="160"/>
      <c r="O23" s="16"/>
      <c r="P23" s="16"/>
      <c r="Q23" s="16"/>
      <c r="R23" s="16"/>
      <c r="S23" s="4"/>
      <c r="T23" s="6"/>
      <c r="U23" s="6"/>
      <c r="V23" s="6"/>
      <c r="W23" s="5"/>
      <c r="X23" s="5"/>
      <c r="Y23" s="5"/>
      <c r="Z23" s="5"/>
    </row>
    <row r="24" spans="1:26" ht="12.75" customHeight="1" outlineLevel="1" x14ac:dyDescent="0.25">
      <c r="A24" s="17"/>
      <c r="B24" s="6"/>
      <c r="C24" s="161" t="s">
        <v>40</v>
      </c>
      <c r="D24" s="160"/>
      <c r="E24" s="160"/>
      <c r="F24" s="160"/>
      <c r="G24" s="221">
        <v>2022</v>
      </c>
      <c r="H24" s="160"/>
      <c r="I24" s="214" t="s">
        <v>41</v>
      </c>
      <c r="J24" s="160"/>
      <c r="K24" s="214" t="s">
        <v>42</v>
      </c>
      <c r="L24" s="214"/>
      <c r="M24" s="160"/>
      <c r="N24" s="160"/>
      <c r="O24" s="16"/>
      <c r="P24" s="16"/>
      <c r="Q24" s="16"/>
      <c r="R24" s="16"/>
      <c r="S24" s="4"/>
      <c r="T24" s="6"/>
      <c r="U24" s="6"/>
      <c r="V24" s="6"/>
      <c r="W24" s="5"/>
      <c r="X24" s="5"/>
      <c r="Y24" s="5"/>
      <c r="Z24" s="5"/>
    </row>
    <row r="25" spans="1:26" ht="12.75" customHeight="1" outlineLevel="1" x14ac:dyDescent="0.25">
      <c r="A25" s="17"/>
      <c r="B25" s="6"/>
      <c r="C25" s="159" t="str">
        <f>IF(G23="","",IF(G23=$S$5,"Valor umbral Mipyme.","Total Ingresos Operacionales Acreditados"))</f>
        <v>Total Ingresos Operacionales Acreditados</v>
      </c>
      <c r="D25" s="160"/>
      <c r="E25" s="160"/>
      <c r="F25" s="160"/>
      <c r="G25" s="215">
        <v>14800340093</v>
      </c>
      <c r="H25" s="216"/>
      <c r="I25" s="214" t="s">
        <v>43</v>
      </c>
      <c r="J25" s="160"/>
      <c r="K25" s="18" t="s">
        <v>44</v>
      </c>
      <c r="L25" s="18"/>
      <c r="M25" s="217">
        <v>457297264</v>
      </c>
      <c r="N25" s="218"/>
      <c r="O25" s="16"/>
      <c r="P25" s="16"/>
      <c r="Q25" s="16"/>
      <c r="R25" s="16"/>
      <c r="S25" s="4"/>
      <c r="T25" s="6"/>
      <c r="U25" s="6"/>
      <c r="V25" s="6"/>
      <c r="W25" s="5"/>
      <c r="X25" s="5"/>
      <c r="Y25" s="5"/>
      <c r="Z25" s="5"/>
    </row>
    <row r="26" spans="1:26" ht="12.75" customHeight="1" outlineLevel="1" x14ac:dyDescent="0.25">
      <c r="A26" s="17"/>
      <c r="B26" s="6"/>
      <c r="C26" s="162" t="s">
        <v>45</v>
      </c>
      <c r="D26" s="160"/>
      <c r="E26" s="160"/>
      <c r="F26" s="160"/>
      <c r="G26" s="160"/>
      <c r="H26" s="160"/>
      <c r="I26" s="19"/>
      <c r="J26" s="19"/>
      <c r="K26" s="20"/>
      <c r="L26" s="20"/>
      <c r="M26" s="21"/>
      <c r="N26" s="21"/>
      <c r="O26" s="21"/>
      <c r="P26" s="21"/>
      <c r="Q26" s="21"/>
      <c r="R26" s="21"/>
      <c r="S26" s="4"/>
      <c r="T26" s="6"/>
      <c r="U26" s="6"/>
      <c r="V26" s="6"/>
      <c r="W26" s="5"/>
      <c r="X26" s="5"/>
      <c r="Y26" s="5"/>
      <c r="Z26" s="5"/>
    </row>
    <row r="27" spans="1:26" outlineLevel="1" x14ac:dyDescent="0.25">
      <c r="A27" s="17"/>
      <c r="B27" s="6"/>
      <c r="C27" s="69" t="s">
        <v>46</v>
      </c>
      <c r="D27" s="225" t="s">
        <v>192</v>
      </c>
      <c r="E27" s="160"/>
      <c r="F27" s="226" t="s">
        <v>47</v>
      </c>
      <c r="G27" s="160"/>
      <c r="H27" s="72" t="s">
        <v>87</v>
      </c>
      <c r="I27" s="19"/>
      <c r="J27" s="19"/>
      <c r="K27" s="20"/>
      <c r="L27" s="20"/>
      <c r="M27" s="21"/>
      <c r="N27" s="21"/>
      <c r="O27" s="21"/>
      <c r="P27" s="21"/>
      <c r="Q27" s="21"/>
      <c r="R27" s="21"/>
      <c r="S27" s="4"/>
      <c r="T27" s="6"/>
      <c r="U27" s="6"/>
      <c r="V27" s="6"/>
      <c r="W27" s="5"/>
      <c r="X27" s="5"/>
      <c r="Y27" s="5"/>
      <c r="Z27" s="5"/>
    </row>
    <row r="28" spans="1:26" outlineLevel="1" x14ac:dyDescent="0.25">
      <c r="A28" s="17"/>
      <c r="B28" s="6"/>
      <c r="C28" s="69" t="s">
        <v>48</v>
      </c>
      <c r="D28" s="225"/>
      <c r="E28" s="160"/>
      <c r="F28" s="226" t="s">
        <v>47</v>
      </c>
      <c r="G28" s="160"/>
      <c r="H28" s="72" t="s">
        <v>87</v>
      </c>
      <c r="I28" s="19"/>
      <c r="J28" s="19"/>
      <c r="K28" s="20"/>
      <c r="L28" s="20"/>
      <c r="M28" s="21"/>
      <c r="N28" s="21"/>
      <c r="O28" s="21"/>
      <c r="P28" s="21"/>
      <c r="Q28" s="21"/>
      <c r="R28" s="21"/>
      <c r="S28" s="4"/>
      <c r="T28" s="6"/>
      <c r="U28" s="6"/>
      <c r="V28" s="6"/>
      <c r="W28" s="5"/>
      <c r="X28" s="5"/>
      <c r="Y28" s="5"/>
      <c r="Z28" s="5"/>
    </row>
    <row r="29" spans="1:26" ht="13.5" customHeight="1" outlineLevel="1" x14ac:dyDescent="0.25">
      <c r="A29" s="17"/>
      <c r="B29" s="6"/>
      <c r="C29" s="69" t="s">
        <v>49</v>
      </c>
      <c r="D29" s="69"/>
      <c r="E29" s="69"/>
      <c r="F29" s="69"/>
      <c r="G29" s="227">
        <f>IF(OR(H27="SIN VIGENCIA",H27="NO APORTA",H28="SIN VIGENCIA",H28="NO APORTA"),0,IF(G23="",0,IF(G23=$S$5,M25,IF(G25&lt;M25,M25,G25))))</f>
        <v>14800340093</v>
      </c>
      <c r="H29" s="228"/>
      <c r="I29" s="5"/>
      <c r="J29" s="5"/>
      <c r="K29" s="5"/>
      <c r="L29" s="5"/>
      <c r="M29" s="5"/>
      <c r="N29" s="5"/>
      <c r="O29" s="5"/>
      <c r="P29" s="5"/>
      <c r="Q29" s="5"/>
      <c r="R29" s="5"/>
      <c r="S29" s="4"/>
      <c r="T29" s="6"/>
      <c r="U29" s="6"/>
      <c r="V29" s="6"/>
      <c r="W29" s="5"/>
      <c r="X29" s="5"/>
      <c r="Y29" s="5"/>
      <c r="Z29" s="5"/>
    </row>
    <row r="30" spans="1:26" ht="5.25" customHeight="1" outlineLevel="1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4"/>
      <c r="T30" s="6"/>
      <c r="U30" s="6"/>
      <c r="V30" s="6"/>
      <c r="W30" s="5"/>
      <c r="X30" s="5"/>
      <c r="Y30" s="5"/>
      <c r="Z30" s="5"/>
    </row>
    <row r="31" spans="1:26" ht="12" customHeight="1" outlineLevel="1" x14ac:dyDescent="0.25">
      <c r="A31" s="17"/>
      <c r="B31" s="6"/>
      <c r="C31" s="222" t="s">
        <v>26</v>
      </c>
      <c r="D31" s="160"/>
      <c r="E31" s="160"/>
      <c r="F31" s="160"/>
      <c r="G31" s="160"/>
      <c r="H31" s="160"/>
      <c r="I31" s="7" t="s">
        <v>50</v>
      </c>
      <c r="J31" s="7" t="s">
        <v>51</v>
      </c>
      <c r="K31" s="7" t="s">
        <v>52</v>
      </c>
      <c r="L31" s="6"/>
      <c r="M31" s="5"/>
      <c r="N31" s="5"/>
      <c r="O31" s="5"/>
      <c r="P31" s="5"/>
      <c r="Q31" s="5"/>
      <c r="R31" s="5"/>
      <c r="S31" s="4"/>
      <c r="T31" s="6"/>
      <c r="U31" s="6"/>
      <c r="V31" s="6"/>
      <c r="W31" s="6"/>
      <c r="X31" s="5"/>
      <c r="Y31" s="5"/>
      <c r="Z31" s="5"/>
    </row>
    <row r="32" spans="1:26" ht="12" customHeight="1" outlineLevel="1" x14ac:dyDescent="0.25">
      <c r="A32" s="17"/>
      <c r="B32" s="6"/>
      <c r="C32" s="161" t="s">
        <v>53</v>
      </c>
      <c r="D32" s="160"/>
      <c r="E32" s="160"/>
      <c r="F32" s="160"/>
      <c r="G32" s="223">
        <f>$D$20</f>
        <v>1</v>
      </c>
      <c r="H32" s="160"/>
      <c r="I32" s="70">
        <v>0</v>
      </c>
      <c r="J32" s="70">
        <v>3</v>
      </c>
      <c r="K32" s="70">
        <v>60</v>
      </c>
      <c r="L32" s="4"/>
      <c r="M32" s="5"/>
      <c r="N32" s="5"/>
      <c r="O32" s="5"/>
      <c r="P32" s="5"/>
      <c r="Q32" s="5"/>
      <c r="R32" s="5"/>
      <c r="S32" s="4"/>
      <c r="T32" s="6"/>
      <c r="U32" s="6"/>
      <c r="V32" s="6"/>
      <c r="W32" s="6"/>
      <c r="X32" s="5"/>
      <c r="Y32" s="5"/>
      <c r="Z32" s="5"/>
    </row>
    <row r="33" spans="1:26" ht="12" customHeight="1" outlineLevel="1" x14ac:dyDescent="0.25">
      <c r="A33" s="17"/>
      <c r="B33" s="6"/>
      <c r="C33" s="161" t="s">
        <v>22</v>
      </c>
      <c r="D33" s="160"/>
      <c r="E33" s="160"/>
      <c r="F33" s="160"/>
      <c r="G33" s="232">
        <f>$E$5</f>
        <v>1169500932</v>
      </c>
      <c r="H33" s="160"/>
      <c r="I33" s="70">
        <v>3</v>
      </c>
      <c r="J33" s="70">
        <v>6</v>
      </c>
      <c r="K33" s="70">
        <v>80</v>
      </c>
      <c r="L33" s="4"/>
      <c r="M33" s="5"/>
      <c r="N33" s="5"/>
      <c r="O33" s="5"/>
      <c r="P33" s="5"/>
      <c r="Q33" s="5"/>
      <c r="R33" s="5"/>
      <c r="S33" s="4"/>
      <c r="T33" s="6"/>
      <c r="U33" s="6"/>
      <c r="V33" s="6"/>
      <c r="W33" s="6"/>
      <c r="X33" s="5"/>
      <c r="Y33" s="5"/>
      <c r="Z33" s="5"/>
    </row>
    <row r="34" spans="1:26" ht="12" customHeight="1" outlineLevel="1" x14ac:dyDescent="0.25">
      <c r="A34" s="17"/>
      <c r="B34" s="6"/>
      <c r="C34" s="162" t="s">
        <v>54</v>
      </c>
      <c r="D34" s="160"/>
      <c r="E34" s="160"/>
      <c r="F34" s="160"/>
      <c r="G34" s="160"/>
      <c r="H34" s="160"/>
      <c r="I34" s="70">
        <v>6</v>
      </c>
      <c r="J34" s="70">
        <v>10</v>
      </c>
      <c r="K34" s="70">
        <v>100</v>
      </c>
      <c r="L34" s="4"/>
      <c r="M34" s="5"/>
      <c r="N34" s="5"/>
      <c r="O34" s="5"/>
      <c r="P34" s="5"/>
      <c r="Q34" s="5"/>
      <c r="R34" s="5"/>
      <c r="S34" s="4"/>
      <c r="T34" s="6"/>
      <c r="U34" s="6"/>
      <c r="V34" s="6"/>
      <c r="W34" s="6"/>
      <c r="X34" s="5"/>
      <c r="Y34" s="5"/>
      <c r="Z34" s="5"/>
    </row>
    <row r="35" spans="1:26" ht="15.75" customHeight="1" outlineLevel="1" x14ac:dyDescent="0.25">
      <c r="A35" s="17"/>
      <c r="B35" s="6"/>
      <c r="C35" s="161" t="s">
        <v>55</v>
      </c>
      <c r="D35" s="160"/>
      <c r="E35" s="160"/>
      <c r="F35" s="160"/>
      <c r="G35" s="166" t="s">
        <v>56</v>
      </c>
      <c r="H35" s="160"/>
      <c r="I35" s="70">
        <v>10</v>
      </c>
      <c r="J35" s="70" t="s">
        <v>57</v>
      </c>
      <c r="K35" s="70">
        <v>120</v>
      </c>
      <c r="L35" s="4"/>
      <c r="M35" s="5"/>
      <c r="N35" s="5"/>
      <c r="O35" s="5"/>
      <c r="P35" s="5"/>
      <c r="Q35" s="5"/>
      <c r="R35" s="5"/>
      <c r="S35" s="4"/>
      <c r="T35" s="6"/>
      <c r="U35" s="6"/>
      <c r="V35" s="6"/>
      <c r="W35" s="6"/>
      <c r="X35" s="5"/>
      <c r="Y35" s="5"/>
      <c r="Z35" s="5"/>
    </row>
    <row r="36" spans="1:26" ht="15" customHeight="1" outlineLevel="1" x14ac:dyDescent="0.25">
      <c r="A36" s="17"/>
      <c r="B36" s="6"/>
      <c r="C36" s="162" t="s">
        <v>58</v>
      </c>
      <c r="D36" s="160"/>
      <c r="E36" s="160"/>
      <c r="F36" s="160"/>
      <c r="G36" s="230">
        <v>94880364150</v>
      </c>
      <c r="H36" s="160"/>
      <c r="I36" s="5"/>
      <c r="J36" s="5"/>
      <c r="K36" s="5"/>
      <c r="L36" s="5"/>
      <c r="M36" s="5"/>
      <c r="N36" s="5"/>
      <c r="O36" s="5"/>
      <c r="P36" s="5"/>
      <c r="Q36" s="5"/>
      <c r="R36" s="5"/>
      <c r="S36" s="4"/>
      <c r="T36" s="6"/>
      <c r="U36" s="6"/>
      <c r="V36" s="6"/>
      <c r="W36" s="6"/>
      <c r="X36" s="5"/>
      <c r="Y36" s="5"/>
      <c r="Z36" s="5"/>
    </row>
    <row r="37" spans="1:26" ht="3" customHeight="1" outlineLevel="1" x14ac:dyDescent="0.25">
      <c r="A37" s="17"/>
      <c r="B37" s="6"/>
      <c r="C37" s="161"/>
      <c r="D37" s="160"/>
      <c r="E37" s="160"/>
      <c r="F37" s="160"/>
      <c r="G37" s="231"/>
      <c r="H37" s="160"/>
      <c r="I37" s="5"/>
      <c r="J37" s="5"/>
      <c r="K37" s="5"/>
      <c r="L37" s="5"/>
      <c r="M37" s="5"/>
      <c r="N37" s="5"/>
      <c r="O37" s="5"/>
      <c r="P37" s="5"/>
      <c r="Q37" s="5"/>
      <c r="R37" s="5"/>
      <c r="S37" s="4"/>
      <c r="T37" s="6"/>
      <c r="U37" s="6"/>
      <c r="V37" s="6"/>
      <c r="W37" s="6"/>
      <c r="X37" s="5"/>
      <c r="Y37" s="5"/>
      <c r="Z37" s="5"/>
    </row>
    <row r="38" spans="1:26" ht="13.5" customHeight="1" outlineLevel="1" x14ac:dyDescent="0.25">
      <c r="A38" s="17"/>
      <c r="B38" s="6"/>
      <c r="C38" s="159" t="s">
        <v>59</v>
      </c>
      <c r="D38" s="160"/>
      <c r="E38" s="160"/>
      <c r="F38" s="160"/>
      <c r="G38" s="229">
        <f>SUM(G35:H37)</f>
        <v>94880364150</v>
      </c>
      <c r="H38" s="160"/>
      <c r="I38" s="5"/>
      <c r="J38" s="5"/>
      <c r="K38" s="5"/>
      <c r="L38" s="5"/>
      <c r="M38" s="5"/>
      <c r="N38" s="5"/>
      <c r="O38" s="5"/>
      <c r="P38" s="5"/>
      <c r="Q38" s="5"/>
      <c r="R38" s="5"/>
      <c r="S38" s="4"/>
      <c r="T38" s="6"/>
      <c r="U38" s="6"/>
      <c r="V38" s="6"/>
      <c r="W38" s="6"/>
      <c r="X38" s="5"/>
      <c r="Y38" s="5"/>
      <c r="Z38" s="5"/>
    </row>
    <row r="39" spans="1:26" ht="12" customHeight="1" outlineLevel="1" x14ac:dyDescent="0.25">
      <c r="A39" s="17"/>
      <c r="B39" s="6"/>
      <c r="C39" s="159" t="s">
        <v>60</v>
      </c>
      <c r="D39" s="160"/>
      <c r="E39" s="160"/>
      <c r="F39" s="160"/>
      <c r="G39" s="160"/>
      <c r="H39" s="71">
        <f>IF(OR(G32="",G32=0,G38=0),0,G38/(G33*G32))</f>
        <v>81.128934192247399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4"/>
      <c r="T39" s="6"/>
      <c r="U39" s="6"/>
      <c r="V39" s="6"/>
      <c r="W39" s="6"/>
      <c r="X39" s="5"/>
      <c r="Y39" s="5"/>
      <c r="Z39" s="5"/>
    </row>
    <row r="40" spans="1:26" ht="13.5" customHeight="1" outlineLevel="1" x14ac:dyDescent="0.25">
      <c r="A40" s="17"/>
      <c r="B40" s="6"/>
      <c r="C40" s="159" t="s">
        <v>61</v>
      </c>
      <c r="D40" s="160"/>
      <c r="E40" s="160"/>
      <c r="F40" s="160"/>
      <c r="G40" s="160"/>
      <c r="H40" s="22">
        <f>IF(H39&lt;=J32,K32,IF(H39&lt;=J33,K33,IF(H39&lt;=J34,K34,K35)))</f>
        <v>120</v>
      </c>
      <c r="I40" s="5"/>
      <c r="J40" s="23"/>
      <c r="K40" s="5"/>
      <c r="L40" s="5"/>
      <c r="M40" s="5"/>
      <c r="N40" s="5"/>
      <c r="O40" s="5"/>
      <c r="P40" s="5"/>
      <c r="Q40" s="5"/>
      <c r="R40" s="5"/>
      <c r="S40" s="4"/>
      <c r="T40" s="6"/>
      <c r="U40" s="6"/>
      <c r="V40" s="6"/>
      <c r="W40" s="6"/>
      <c r="X40" s="5"/>
      <c r="Y40" s="5"/>
      <c r="Z40" s="5"/>
    </row>
    <row r="41" spans="1:26" ht="5.25" customHeight="1" outlineLevel="1" x14ac:dyDescent="0.25">
      <c r="A41" s="14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4"/>
      <c r="T41" s="6"/>
      <c r="U41" s="6"/>
      <c r="V41" s="6"/>
      <c r="W41" s="5"/>
      <c r="X41" s="5"/>
      <c r="Y41" s="5"/>
      <c r="Z41" s="5"/>
    </row>
    <row r="42" spans="1:26" ht="15" customHeight="1" outlineLevel="1" x14ac:dyDescent="0.25">
      <c r="A42" s="17"/>
      <c r="B42" s="6"/>
      <c r="C42" s="219" t="s">
        <v>62</v>
      </c>
      <c r="D42" s="160"/>
      <c r="E42" s="160"/>
      <c r="F42" s="160"/>
      <c r="G42" s="160"/>
      <c r="H42" s="160"/>
      <c r="I42" s="7" t="s">
        <v>63</v>
      </c>
      <c r="J42" s="7" t="s">
        <v>64</v>
      </c>
      <c r="K42" s="7" t="s">
        <v>52</v>
      </c>
      <c r="L42" s="6"/>
      <c r="M42" s="5"/>
      <c r="N42" s="5"/>
      <c r="O42" s="5"/>
      <c r="P42" s="5"/>
      <c r="Q42" s="5"/>
      <c r="R42" s="5"/>
      <c r="S42" s="4"/>
      <c r="T42" s="6"/>
      <c r="U42" s="6"/>
      <c r="V42" s="6"/>
      <c r="W42" s="6"/>
      <c r="X42" s="5"/>
      <c r="Y42" s="5"/>
      <c r="Z42" s="5"/>
    </row>
    <row r="43" spans="1:26" ht="12" customHeight="1" outlineLevel="1" x14ac:dyDescent="0.25">
      <c r="A43" s="17"/>
      <c r="B43" s="6"/>
      <c r="C43" s="159" t="s">
        <v>65</v>
      </c>
      <c r="D43" s="160"/>
      <c r="E43" s="160"/>
      <c r="F43" s="160"/>
      <c r="G43" s="160"/>
      <c r="H43" s="42">
        <f>VLOOKUP(A16,'CAPACIDAD FINANCIERA'!$A$6:$AK$308,5,FALSE)</f>
        <v>1800018036</v>
      </c>
      <c r="I43" s="24">
        <v>0</v>
      </c>
      <c r="J43" s="24">
        <v>0.5</v>
      </c>
      <c r="K43" s="70">
        <v>20</v>
      </c>
      <c r="L43" s="4"/>
      <c r="M43" s="5"/>
      <c r="N43" s="5"/>
      <c r="O43" s="5"/>
      <c r="P43" s="5"/>
      <c r="Q43" s="5"/>
      <c r="R43" s="5"/>
      <c r="S43" s="4"/>
      <c r="T43" s="6"/>
      <c r="U43" s="6"/>
      <c r="V43" s="6"/>
      <c r="W43" s="6"/>
      <c r="X43" s="5"/>
      <c r="Y43" s="5"/>
      <c r="Z43" s="5"/>
    </row>
    <row r="44" spans="1:26" ht="12" customHeight="1" outlineLevel="1" x14ac:dyDescent="0.25">
      <c r="A44" s="17"/>
      <c r="B44" s="6"/>
      <c r="C44" s="159" t="s">
        <v>66</v>
      </c>
      <c r="D44" s="160"/>
      <c r="E44" s="160"/>
      <c r="F44" s="160"/>
      <c r="G44" s="160"/>
      <c r="H44" s="42">
        <f>VLOOKUP(A16,'CAPACIDAD FINANCIERA'!$A$6:$AK$308,7,FALSE)</f>
        <v>34744554</v>
      </c>
      <c r="I44" s="24">
        <v>0.5</v>
      </c>
      <c r="J44" s="24">
        <v>0.75</v>
      </c>
      <c r="K44" s="70">
        <v>25</v>
      </c>
      <c r="L44" s="4"/>
      <c r="M44" s="5"/>
      <c r="N44" s="5"/>
      <c r="O44" s="5"/>
      <c r="P44" s="5"/>
      <c r="Q44" s="5"/>
      <c r="R44" s="5"/>
      <c r="S44" s="4"/>
      <c r="T44" s="6"/>
      <c r="U44" s="6"/>
      <c r="V44" s="6"/>
      <c r="W44" s="6"/>
      <c r="X44" s="5"/>
      <c r="Y44" s="5"/>
      <c r="Z44" s="5"/>
    </row>
    <row r="45" spans="1:26" ht="12" customHeight="1" outlineLevel="1" x14ac:dyDescent="0.25">
      <c r="A45" s="17"/>
      <c r="B45" s="6"/>
      <c r="C45" s="159" t="s">
        <v>67</v>
      </c>
      <c r="D45" s="160"/>
      <c r="E45" s="160"/>
      <c r="F45" s="160"/>
      <c r="G45" s="160"/>
      <c r="H45" s="71">
        <f>IFERROR(ROUND(IF(H43="",0,H43/H44),2),0)</f>
        <v>51.81</v>
      </c>
      <c r="I45" s="24">
        <v>0.75</v>
      </c>
      <c r="J45" s="24">
        <v>1</v>
      </c>
      <c r="K45" s="70">
        <v>30</v>
      </c>
      <c r="L45" s="4"/>
      <c r="M45" s="5"/>
      <c r="N45" s="5"/>
      <c r="O45" s="5"/>
      <c r="P45" s="5"/>
      <c r="Q45" s="5"/>
      <c r="R45" s="5"/>
      <c r="S45" s="4"/>
      <c r="T45" s="6"/>
      <c r="U45" s="6"/>
      <c r="V45" s="6"/>
      <c r="W45" s="6"/>
      <c r="X45" s="5"/>
      <c r="Y45" s="5"/>
      <c r="Z45" s="5"/>
    </row>
    <row r="46" spans="1:26" ht="13.5" customHeight="1" outlineLevel="1" x14ac:dyDescent="0.25">
      <c r="A46" s="17"/>
      <c r="B46" s="6"/>
      <c r="C46" s="159" t="s">
        <v>68</v>
      </c>
      <c r="D46" s="160"/>
      <c r="E46" s="160"/>
      <c r="F46" s="160"/>
      <c r="G46" s="160"/>
      <c r="H46" s="22">
        <f>IF(H44=0,K47,IF(H45="",0,IF(H45&lt;J43,K43,IF(H45&lt;J44,K44,IF(H45&lt;J45,K45,IF(H45&lt;J46,K46,K47))))))</f>
        <v>40</v>
      </c>
      <c r="I46" s="24">
        <v>1</v>
      </c>
      <c r="J46" s="24">
        <v>1.5</v>
      </c>
      <c r="K46" s="70">
        <v>35</v>
      </c>
      <c r="L46" s="4"/>
      <c r="M46" s="5"/>
      <c r="N46" s="5"/>
      <c r="O46" s="5"/>
      <c r="P46" s="5"/>
      <c r="Q46" s="5"/>
      <c r="R46" s="5"/>
      <c r="S46" s="4"/>
      <c r="T46" s="6"/>
      <c r="U46" s="6"/>
      <c r="V46" s="6"/>
      <c r="W46" s="6"/>
      <c r="X46" s="5"/>
      <c r="Y46" s="5"/>
      <c r="Z46" s="5"/>
    </row>
    <row r="47" spans="1:26" ht="12" customHeight="1" outlineLevel="1" x14ac:dyDescent="0.25">
      <c r="A47" s="17"/>
      <c r="B47" s="6"/>
      <c r="C47" s="5"/>
      <c r="D47" s="5"/>
      <c r="E47" s="5"/>
      <c r="F47" s="5"/>
      <c r="G47" s="5"/>
      <c r="H47" s="5"/>
      <c r="I47" s="24">
        <v>1.5</v>
      </c>
      <c r="J47" s="24" t="s">
        <v>57</v>
      </c>
      <c r="K47" s="70">
        <v>40</v>
      </c>
      <c r="L47" s="4"/>
      <c r="M47" s="5"/>
      <c r="N47" s="5"/>
      <c r="O47" s="5"/>
      <c r="P47" s="5"/>
      <c r="Q47" s="5"/>
      <c r="R47" s="5"/>
      <c r="S47" s="4"/>
      <c r="T47" s="6"/>
      <c r="U47" s="6"/>
      <c r="V47" s="6"/>
      <c r="W47" s="6"/>
      <c r="X47" s="5"/>
      <c r="Y47" s="5"/>
      <c r="Z47" s="5"/>
    </row>
    <row r="48" spans="1:26" ht="5.25" customHeight="1" outlineLevel="1" x14ac:dyDescent="0.25">
      <c r="A48" s="14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4"/>
      <c r="T48" s="6"/>
      <c r="U48" s="6"/>
      <c r="V48" s="6"/>
      <c r="W48" s="5"/>
      <c r="X48" s="5"/>
      <c r="Y48" s="5"/>
      <c r="Z48" s="5"/>
    </row>
    <row r="49" spans="1:26" ht="12" customHeight="1" outlineLevel="1" x14ac:dyDescent="0.25">
      <c r="A49" s="17"/>
      <c r="B49" s="6"/>
      <c r="C49" s="219" t="s">
        <v>69</v>
      </c>
      <c r="D49" s="160"/>
      <c r="E49" s="160"/>
      <c r="F49" s="160"/>
      <c r="G49" s="160"/>
      <c r="H49" s="160"/>
      <c r="I49" s="7" t="s">
        <v>70</v>
      </c>
      <c r="J49" s="7" t="s">
        <v>71</v>
      </c>
      <c r="K49" s="7" t="s">
        <v>52</v>
      </c>
      <c r="L49" s="6"/>
      <c r="M49" s="5"/>
      <c r="N49" s="5"/>
      <c r="O49" s="5"/>
      <c r="P49" s="5"/>
      <c r="Q49" s="5"/>
      <c r="R49" s="5"/>
      <c r="S49" s="4"/>
      <c r="T49" s="6"/>
      <c r="U49" s="6"/>
      <c r="V49" s="6"/>
      <c r="W49" s="6"/>
      <c r="X49" s="5"/>
      <c r="Y49" s="5"/>
      <c r="Z49" s="5"/>
    </row>
    <row r="50" spans="1:26" ht="12.75" customHeight="1" outlineLevel="1" x14ac:dyDescent="0.25">
      <c r="A50" s="17"/>
      <c r="B50" s="6"/>
      <c r="C50" s="159" t="s">
        <v>72</v>
      </c>
      <c r="D50" s="160"/>
      <c r="E50" s="160"/>
      <c r="F50" s="160"/>
      <c r="G50" s="160"/>
      <c r="H50" s="25">
        <v>1</v>
      </c>
      <c r="I50" s="26">
        <v>1</v>
      </c>
      <c r="J50" s="26">
        <v>5</v>
      </c>
      <c r="K50" s="70">
        <v>20</v>
      </c>
      <c r="L50" s="4"/>
      <c r="M50" s="5"/>
      <c r="N50" s="5"/>
      <c r="O50" s="5"/>
      <c r="P50" s="5"/>
      <c r="Q50" s="5"/>
      <c r="R50" s="5"/>
      <c r="S50" s="4"/>
      <c r="T50" s="6"/>
      <c r="U50" s="6"/>
      <c r="V50" s="6"/>
      <c r="W50" s="6"/>
      <c r="X50" s="5"/>
      <c r="Y50" s="5"/>
      <c r="Z50" s="5"/>
    </row>
    <row r="51" spans="1:26" ht="13.5" customHeight="1" outlineLevel="1" x14ac:dyDescent="0.25">
      <c r="A51" s="17"/>
      <c r="B51" s="6"/>
      <c r="C51" s="159" t="s">
        <v>73</v>
      </c>
      <c r="D51" s="160"/>
      <c r="E51" s="160"/>
      <c r="F51" s="160"/>
      <c r="G51" s="160"/>
      <c r="H51" s="22">
        <f>IF(H50&lt;I50,0,IF(H50&lt;=J50,K50,IF(H50&lt;=J51,K51,K52)))</f>
        <v>20</v>
      </c>
      <c r="I51" s="26">
        <v>6</v>
      </c>
      <c r="J51" s="26">
        <v>10</v>
      </c>
      <c r="K51" s="70">
        <v>30</v>
      </c>
      <c r="L51" s="4"/>
      <c r="M51" s="5"/>
      <c r="N51" s="5"/>
      <c r="O51" s="5"/>
      <c r="P51" s="5"/>
      <c r="Q51" s="5"/>
      <c r="R51" s="5"/>
      <c r="S51" s="4"/>
      <c r="T51" s="6"/>
      <c r="U51" s="6"/>
      <c r="V51" s="6"/>
      <c r="W51" s="6"/>
      <c r="X51" s="5"/>
      <c r="Y51" s="5"/>
      <c r="Z51" s="5"/>
    </row>
    <row r="52" spans="1:26" ht="13.5" customHeight="1" outlineLevel="1" x14ac:dyDescent="0.25">
      <c r="A52" s="17"/>
      <c r="B52" s="6"/>
      <c r="C52" s="5"/>
      <c r="D52" s="5"/>
      <c r="E52" s="5"/>
      <c r="F52" s="5"/>
      <c r="G52" s="5"/>
      <c r="H52" s="5"/>
      <c r="I52" s="26">
        <v>11</v>
      </c>
      <c r="J52" s="24" t="s">
        <v>57</v>
      </c>
      <c r="K52" s="70">
        <v>40</v>
      </c>
      <c r="L52" s="4"/>
      <c r="M52" s="5"/>
      <c r="N52" s="5"/>
      <c r="O52" s="5"/>
      <c r="P52" s="5"/>
      <c r="Q52" s="5"/>
      <c r="R52" s="5"/>
      <c r="S52" s="4"/>
      <c r="T52" s="6"/>
      <c r="U52" s="6"/>
      <c r="V52" s="6"/>
      <c r="W52" s="6"/>
      <c r="X52" s="5"/>
      <c r="Y52" s="5"/>
      <c r="Z52" s="5"/>
    </row>
    <row r="53" spans="1:26" ht="5.25" customHeight="1" outlineLevel="1" x14ac:dyDescent="0.25">
      <c r="A53" s="14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4"/>
      <c r="T53" s="6"/>
      <c r="U53" s="6"/>
      <c r="V53" s="6"/>
      <c r="W53" s="5"/>
      <c r="X53" s="5"/>
      <c r="Y53" s="5"/>
      <c r="Z53" s="5"/>
    </row>
    <row r="54" spans="1:26" ht="15.75" customHeight="1" outlineLevel="1" x14ac:dyDescent="0.25">
      <c r="A54" s="17"/>
      <c r="B54" s="6"/>
      <c r="C54" s="222" t="s">
        <v>74</v>
      </c>
      <c r="D54" s="160"/>
      <c r="E54" s="160"/>
      <c r="F54" s="160"/>
      <c r="G54" s="160"/>
      <c r="H54" s="160"/>
      <c r="I54" s="160"/>
      <c r="J54" s="160"/>
      <c r="K54" s="160"/>
      <c r="L54" s="160"/>
      <c r="M54" s="160"/>
      <c r="N54" s="160"/>
      <c r="O54" s="16"/>
      <c r="P54" s="16"/>
      <c r="Q54" s="16"/>
      <c r="R54" s="16"/>
      <c r="S54" s="4"/>
      <c r="T54" s="6"/>
      <c r="U54" s="6"/>
      <c r="V54" s="6"/>
      <c r="W54" s="6"/>
      <c r="X54" s="5"/>
      <c r="Y54" s="5"/>
      <c r="Z54" s="5"/>
    </row>
    <row r="55" spans="1:26" ht="12.75" customHeight="1" outlineLevel="1" x14ac:dyDescent="0.25">
      <c r="A55" s="27"/>
      <c r="B55" s="28"/>
      <c r="C55" s="162" t="s">
        <v>75</v>
      </c>
      <c r="D55" s="160"/>
      <c r="E55" s="160"/>
      <c r="F55" s="160"/>
      <c r="G55" s="160"/>
      <c r="H55" s="160"/>
      <c r="I55" s="160"/>
      <c r="J55" s="160"/>
      <c r="K55" s="160"/>
      <c r="L55" s="160"/>
      <c r="M55" s="160"/>
      <c r="N55" s="160"/>
      <c r="O55" s="16"/>
      <c r="P55" s="16"/>
      <c r="Q55" s="16"/>
      <c r="R55" s="16"/>
      <c r="S55" s="4"/>
      <c r="T55" s="6"/>
      <c r="U55" s="1"/>
      <c r="V55" s="1"/>
      <c r="W55" s="1"/>
      <c r="X55" s="1"/>
      <c r="Y55" s="1"/>
      <c r="Z55" s="1"/>
    </row>
    <row r="56" spans="1:26" ht="48" outlineLevel="1" x14ac:dyDescent="0.25">
      <c r="A56" s="29"/>
      <c r="B56" s="28"/>
      <c r="C56" s="69" t="s">
        <v>76</v>
      </c>
      <c r="D56" s="70" t="s">
        <v>77</v>
      </c>
      <c r="E56" s="70" t="s">
        <v>56</v>
      </c>
      <c r="F56" s="70" t="s">
        <v>78</v>
      </c>
      <c r="G56" s="70" t="s">
        <v>79</v>
      </c>
      <c r="H56" s="70" t="s">
        <v>80</v>
      </c>
      <c r="I56" s="70" t="s">
        <v>81</v>
      </c>
      <c r="J56" s="70" t="s">
        <v>82</v>
      </c>
      <c r="K56" s="70" t="s">
        <v>83</v>
      </c>
      <c r="L56" s="30" t="s">
        <v>204</v>
      </c>
      <c r="M56" s="30" t="s">
        <v>84</v>
      </c>
      <c r="N56" s="70" t="s">
        <v>85</v>
      </c>
      <c r="O56" s="4"/>
      <c r="P56" s="4"/>
      <c r="Q56" s="4"/>
      <c r="R56" s="4"/>
      <c r="S56" s="4"/>
      <c r="T56" s="6"/>
      <c r="U56" s="1"/>
      <c r="V56" s="1"/>
      <c r="W56" s="1"/>
      <c r="X56" s="1"/>
      <c r="Y56" s="1"/>
      <c r="Z56" s="1"/>
    </row>
    <row r="57" spans="1:26" ht="12" hidden="1" customHeight="1" outlineLevel="1" x14ac:dyDescent="0.25">
      <c r="A57" s="29"/>
      <c r="B57" s="28"/>
      <c r="C57" s="69"/>
      <c r="D57" s="70"/>
      <c r="E57" s="70"/>
      <c r="F57" s="70"/>
      <c r="G57" s="70"/>
      <c r="H57" s="70"/>
      <c r="I57" s="70"/>
      <c r="J57" s="70"/>
      <c r="K57" s="70"/>
      <c r="L57" s="70"/>
      <c r="M57" s="30"/>
      <c r="N57" s="70"/>
      <c r="O57" s="4"/>
      <c r="P57" s="4"/>
      <c r="Q57" s="4"/>
      <c r="R57" s="4"/>
      <c r="S57" s="4"/>
      <c r="T57" s="6"/>
      <c r="U57" s="1"/>
      <c r="V57" s="1"/>
      <c r="W57" s="1"/>
      <c r="X57" s="1"/>
      <c r="Y57" s="1"/>
      <c r="Z57" s="1"/>
    </row>
    <row r="58" spans="1:26" ht="12" customHeight="1" outlineLevel="1" x14ac:dyDescent="0.25">
      <c r="A58" s="29"/>
      <c r="B58" s="28"/>
      <c r="C58" s="72">
        <v>1</v>
      </c>
      <c r="D58" s="31">
        <v>0.15</v>
      </c>
      <c r="E58" s="57">
        <v>24969010466</v>
      </c>
      <c r="F58" s="56">
        <v>17.5</v>
      </c>
      <c r="G58" s="34">
        <v>45162</v>
      </c>
      <c r="H58" s="35"/>
      <c r="I58" s="35"/>
      <c r="J58" s="35"/>
      <c r="K58" s="35"/>
      <c r="L58" s="35"/>
      <c r="M58" s="70">
        <f t="shared" ref="M58:M62" si="0">IF(C58="","",IF(IF(H58&lt;&gt;"",IF(I58&lt;&gt;"",IF(J58&lt;&gt;"",IF(K58&lt;&gt;"",G58+F58*30+(I58-H58)+(K58-J58)-$E$6,G58+F58*30+(I58-H58)-J58),G58+F58*30+(I58-H58)-$E$6),G58+F58*30-H58),G58+F58*30-$E$6)&lt;0,0,IF(H58&lt;&gt;"",IF(I58&lt;&gt;"",IF(J58&lt;&gt;"",IF(K58&lt;&gt;"",G58+F58*30+(I58-H58)+(K58-J58)-$E$6,G58+F58*30+(I58-H58)-J58),G58+F58*30+(I58-H58)-$E$6),G58+F58*30-H58),G58+F58*30-$E$6)))</f>
        <v>119</v>
      </c>
      <c r="N58" s="65">
        <f t="shared" ref="N58:N62" si="1">IF(L58="",IF(C58="","",IF(M58&lt;360,D58*E58*M58/(F58*30),D58*E58*360/(F58*30))),IF(C58="","",IF(M58&lt;360,D58*L58*M58/(F58*30),D58*L58*360/(F58*30))))</f>
        <v>848946355.8440001</v>
      </c>
      <c r="O58" s="21"/>
      <c r="P58" s="21"/>
      <c r="Q58" s="21"/>
      <c r="R58" s="21"/>
      <c r="S58" s="4"/>
      <c r="T58" s="6"/>
      <c r="U58" s="1"/>
      <c r="V58" s="1"/>
      <c r="W58" s="1"/>
      <c r="X58" s="1"/>
      <c r="Y58" s="1"/>
      <c r="Z58" s="1"/>
    </row>
    <row r="59" spans="1:26" ht="12" customHeight="1" outlineLevel="1" x14ac:dyDescent="0.25">
      <c r="A59" s="29"/>
      <c r="B59" s="28"/>
      <c r="C59" s="72">
        <v>2</v>
      </c>
      <c r="D59" s="31">
        <v>0.1</v>
      </c>
      <c r="E59" s="57">
        <v>637827526</v>
      </c>
      <c r="F59" s="56">
        <v>9</v>
      </c>
      <c r="G59" s="34">
        <v>45163</v>
      </c>
      <c r="H59" s="35">
        <v>45490</v>
      </c>
      <c r="I59" s="35">
        <v>45485</v>
      </c>
      <c r="J59" s="35"/>
      <c r="K59" s="35"/>
      <c r="L59" s="35"/>
      <c r="M59" s="70">
        <f t="shared" si="0"/>
        <v>0</v>
      </c>
      <c r="N59" s="65">
        <f t="shared" si="1"/>
        <v>0</v>
      </c>
      <c r="O59" s="21"/>
      <c r="P59" s="21"/>
      <c r="Q59" s="21"/>
      <c r="R59" s="21"/>
      <c r="S59" s="4"/>
      <c r="T59" s="6"/>
      <c r="U59" s="1"/>
      <c r="V59" s="1"/>
      <c r="W59" s="1"/>
      <c r="X59" s="1"/>
      <c r="Y59" s="1"/>
      <c r="Z59" s="1"/>
    </row>
    <row r="60" spans="1:26" ht="12" customHeight="1" outlineLevel="1" x14ac:dyDescent="0.25">
      <c r="A60" s="29"/>
      <c r="B60" s="28"/>
      <c r="C60" s="72"/>
      <c r="D60" s="31"/>
      <c r="E60" s="57"/>
      <c r="F60" s="56"/>
      <c r="G60" s="34"/>
      <c r="H60" s="35"/>
      <c r="I60" s="35"/>
      <c r="J60" s="35"/>
      <c r="K60" s="35"/>
      <c r="L60" s="35"/>
      <c r="M60" s="70" t="str">
        <f t="shared" si="0"/>
        <v/>
      </c>
      <c r="N60" s="65" t="str">
        <f t="shared" si="1"/>
        <v/>
      </c>
      <c r="O60" s="21"/>
      <c r="P60" s="21"/>
      <c r="Q60" s="21"/>
      <c r="R60" s="21"/>
      <c r="S60" s="4"/>
      <c r="T60" s="6"/>
      <c r="U60" s="1"/>
      <c r="V60" s="1"/>
      <c r="W60" s="1"/>
      <c r="X60" s="1"/>
      <c r="Y60" s="1"/>
      <c r="Z60" s="1"/>
    </row>
    <row r="61" spans="1:26" ht="12" customHeight="1" outlineLevel="1" x14ac:dyDescent="0.25">
      <c r="A61" s="29"/>
      <c r="B61" s="28"/>
      <c r="C61" s="72"/>
      <c r="D61" s="31"/>
      <c r="E61" s="57"/>
      <c r="F61" s="56"/>
      <c r="G61" s="34"/>
      <c r="H61" s="35"/>
      <c r="I61" s="35"/>
      <c r="J61" s="35"/>
      <c r="K61" s="35"/>
      <c r="L61" s="35"/>
      <c r="M61" s="70" t="str">
        <f t="shared" si="0"/>
        <v/>
      </c>
      <c r="N61" s="65" t="str">
        <f t="shared" si="1"/>
        <v/>
      </c>
      <c r="O61" s="21"/>
      <c r="P61" s="21"/>
      <c r="Q61" s="21"/>
      <c r="R61" s="21"/>
      <c r="S61" s="4"/>
      <c r="T61" s="6"/>
      <c r="U61" s="1"/>
      <c r="V61" s="1"/>
      <c r="W61" s="1"/>
      <c r="X61" s="1"/>
      <c r="Y61" s="1"/>
      <c r="Z61" s="1"/>
    </row>
    <row r="62" spans="1:26" ht="12" customHeight="1" outlineLevel="1" x14ac:dyDescent="0.25">
      <c r="A62" s="29"/>
      <c r="B62" s="28"/>
      <c r="C62" s="72"/>
      <c r="D62" s="31"/>
      <c r="E62" s="57"/>
      <c r="F62" s="56"/>
      <c r="G62" s="34"/>
      <c r="H62" s="35"/>
      <c r="I62" s="35"/>
      <c r="J62" s="35"/>
      <c r="K62" s="35"/>
      <c r="L62" s="35"/>
      <c r="M62" s="70" t="str">
        <f t="shared" si="0"/>
        <v/>
      </c>
      <c r="N62" s="65" t="str">
        <f t="shared" si="1"/>
        <v/>
      </c>
      <c r="O62" s="21"/>
      <c r="P62" s="21"/>
      <c r="Q62" s="21"/>
      <c r="R62" s="21"/>
      <c r="S62" s="4"/>
      <c r="T62" s="6"/>
      <c r="U62" s="1"/>
      <c r="V62" s="1"/>
      <c r="W62" s="1"/>
      <c r="X62" s="1"/>
      <c r="Y62" s="1"/>
      <c r="Z62" s="1"/>
    </row>
    <row r="63" spans="1:26" ht="12" hidden="1" customHeight="1" outlineLevel="1" x14ac:dyDescent="0.25">
      <c r="A63" s="29"/>
      <c r="B63" s="28"/>
      <c r="C63" s="72"/>
      <c r="D63" s="31"/>
      <c r="E63" s="32"/>
      <c r="F63" s="33"/>
      <c r="G63" s="34"/>
      <c r="H63" s="35"/>
      <c r="I63" s="35"/>
      <c r="J63" s="35"/>
      <c r="K63" s="35"/>
      <c r="L63" s="35"/>
      <c r="M63" s="70"/>
      <c r="N63" s="36"/>
      <c r="O63" s="21"/>
      <c r="P63" s="21"/>
      <c r="Q63" s="21"/>
      <c r="R63" s="21"/>
      <c r="S63" s="4"/>
      <c r="T63" s="6"/>
      <c r="U63" s="1"/>
      <c r="V63" s="1"/>
      <c r="W63" s="1"/>
      <c r="X63" s="1"/>
      <c r="Y63" s="1"/>
      <c r="Z63" s="1"/>
    </row>
    <row r="64" spans="1:26" ht="13.5" customHeight="1" outlineLevel="1" x14ac:dyDescent="0.25">
      <c r="A64" s="29"/>
      <c r="B64" s="1"/>
      <c r="C64" s="159" t="s">
        <v>86</v>
      </c>
      <c r="D64" s="160"/>
      <c r="E64" s="160"/>
      <c r="F64" s="160"/>
      <c r="G64" s="160"/>
      <c r="H64" s="160"/>
      <c r="I64" s="160"/>
      <c r="J64" s="160"/>
      <c r="K64" s="160"/>
      <c r="L64" s="160"/>
      <c r="M64" s="160"/>
      <c r="N64" s="66">
        <f>SUM(N57:N63)</f>
        <v>848946355.8440001</v>
      </c>
      <c r="O64" s="37"/>
      <c r="P64" s="37"/>
      <c r="Q64" s="37"/>
      <c r="R64" s="37"/>
      <c r="S64" s="4"/>
      <c r="T64" s="6"/>
      <c r="U64" s="1"/>
      <c r="V64" s="1"/>
      <c r="W64" s="1"/>
      <c r="X64" s="1"/>
      <c r="Y64" s="1"/>
      <c r="Z64" s="1"/>
    </row>
    <row r="65" spans="1:26" ht="12" customHeight="1" x14ac:dyDescent="0.25">
      <c r="A65" s="1"/>
      <c r="B65" s="1"/>
      <c r="C65" s="1"/>
      <c r="D65" s="1"/>
      <c r="E65" s="126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4"/>
      <c r="T65" s="6"/>
      <c r="U65" s="1"/>
      <c r="V65" s="1"/>
      <c r="W65" s="1"/>
      <c r="X65" s="1"/>
      <c r="Y65" s="1"/>
      <c r="Z65" s="1"/>
    </row>
    <row r="66" spans="1:26" ht="15" customHeight="1" x14ac:dyDescent="0.25">
      <c r="A66" s="12"/>
      <c r="B66" s="12"/>
      <c r="C66" s="12"/>
      <c r="D66" s="12"/>
      <c r="E66" s="12"/>
      <c r="F66" s="12"/>
      <c r="G66" s="12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2" customHeight="1" x14ac:dyDescent="0.25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9"/>
      <c r="U67" s="38"/>
      <c r="V67" s="38"/>
      <c r="W67" s="38"/>
      <c r="X67" s="38"/>
      <c r="Y67" s="38"/>
      <c r="Z67" s="38"/>
    </row>
    <row r="68" spans="1:26" ht="12" customHeight="1" x14ac:dyDescent="0.25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9"/>
      <c r="U68" s="38"/>
      <c r="V68" s="38"/>
      <c r="W68" s="38"/>
      <c r="X68" s="38"/>
      <c r="Y68" s="38"/>
      <c r="Z68" s="38"/>
    </row>
    <row r="69" spans="1:26" ht="12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"/>
      <c r="U69" s="1"/>
      <c r="V69" s="1"/>
      <c r="W69" s="1"/>
      <c r="X69" s="1"/>
      <c r="Y69" s="1"/>
      <c r="Z69" s="1"/>
    </row>
    <row r="70" spans="1:26" ht="12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4"/>
      <c r="U70" s="1"/>
      <c r="V70" s="1"/>
      <c r="W70" s="1"/>
      <c r="X70" s="1"/>
      <c r="Y70" s="1"/>
      <c r="Z70" s="1"/>
    </row>
    <row r="71" spans="1:26" ht="12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4"/>
      <c r="U71" s="1"/>
      <c r="V71" s="1"/>
      <c r="W71" s="1"/>
      <c r="X71" s="1"/>
      <c r="Y71" s="1"/>
      <c r="Z71" s="1"/>
    </row>
    <row r="72" spans="1:26" ht="12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4"/>
      <c r="U72" s="1"/>
      <c r="V72" s="1"/>
      <c r="W72" s="1"/>
      <c r="X72" s="1"/>
      <c r="Y72" s="1"/>
      <c r="Z72" s="1"/>
    </row>
    <row r="73" spans="1:26" ht="12" customHeight="1" x14ac:dyDescent="0.25">
      <c r="A73" s="1"/>
      <c r="B73" s="1"/>
      <c r="C73" s="5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4"/>
      <c r="U73" s="1"/>
      <c r="V73" s="1"/>
      <c r="W73" s="1"/>
      <c r="X73" s="1"/>
      <c r="Y73" s="1"/>
      <c r="Z73" s="1"/>
    </row>
  </sheetData>
  <mergeCells count="83">
    <mergeCell ref="A1:N1"/>
    <mergeCell ref="A2:N2"/>
    <mergeCell ref="A3:N3"/>
    <mergeCell ref="A4:N4"/>
    <mergeCell ref="A5:D5"/>
    <mergeCell ref="F5:G9"/>
    <mergeCell ref="H5:J9"/>
    <mergeCell ref="K5:M5"/>
    <mergeCell ref="A6:D6"/>
    <mergeCell ref="K6:M6"/>
    <mergeCell ref="A7:D7"/>
    <mergeCell ref="K7:M7"/>
    <mergeCell ref="A8:D8"/>
    <mergeCell ref="K8:M8"/>
    <mergeCell ref="A9:D9"/>
    <mergeCell ref="K9:M9"/>
    <mergeCell ref="A16:B20"/>
    <mergeCell ref="C16:C17"/>
    <mergeCell ref="D16:E17"/>
    <mergeCell ref="F16:H16"/>
    <mergeCell ref="J16:J17"/>
    <mergeCell ref="A11:C11"/>
    <mergeCell ref="A13:N14"/>
    <mergeCell ref="A15:B15"/>
    <mergeCell ref="C15:E15"/>
    <mergeCell ref="F15:N15"/>
    <mergeCell ref="K16:N17"/>
    <mergeCell ref="F17:H17"/>
    <mergeCell ref="C18:C19"/>
    <mergeCell ref="D18:E19"/>
    <mergeCell ref="F18:H18"/>
    <mergeCell ref="J18:N20"/>
    <mergeCell ref="F19:H19"/>
    <mergeCell ref="D20:E20"/>
    <mergeCell ref="F20:H20"/>
    <mergeCell ref="C22:H22"/>
    <mergeCell ref="I22:J22"/>
    <mergeCell ref="K22:N22"/>
    <mergeCell ref="C23:F23"/>
    <mergeCell ref="G23:H23"/>
    <mergeCell ref="I23:J23"/>
    <mergeCell ref="K23:N23"/>
    <mergeCell ref="C24:F24"/>
    <mergeCell ref="G24:H24"/>
    <mergeCell ref="I24:J24"/>
    <mergeCell ref="K24:N24"/>
    <mergeCell ref="C25:F25"/>
    <mergeCell ref="G25:H25"/>
    <mergeCell ref="I25:J25"/>
    <mergeCell ref="M25:N25"/>
    <mergeCell ref="C34:H34"/>
    <mergeCell ref="C26:H26"/>
    <mergeCell ref="D27:E27"/>
    <mergeCell ref="F27:G27"/>
    <mergeCell ref="D28:E28"/>
    <mergeCell ref="F28:G28"/>
    <mergeCell ref="G29:H29"/>
    <mergeCell ref="C31:H31"/>
    <mergeCell ref="C32:F32"/>
    <mergeCell ref="G32:H32"/>
    <mergeCell ref="C33:F33"/>
    <mergeCell ref="G33:H33"/>
    <mergeCell ref="C43:G43"/>
    <mergeCell ref="C35:F35"/>
    <mergeCell ref="G35:H35"/>
    <mergeCell ref="C36:F36"/>
    <mergeCell ref="G36:H36"/>
    <mergeCell ref="C37:F37"/>
    <mergeCell ref="G37:H37"/>
    <mergeCell ref="C38:F38"/>
    <mergeCell ref="G38:H38"/>
    <mergeCell ref="C39:G39"/>
    <mergeCell ref="C40:G40"/>
    <mergeCell ref="C42:H42"/>
    <mergeCell ref="C54:N54"/>
    <mergeCell ref="C55:N55"/>
    <mergeCell ref="C64:M64"/>
    <mergeCell ref="C44:G44"/>
    <mergeCell ref="C45:G45"/>
    <mergeCell ref="C46:G46"/>
    <mergeCell ref="C49:H49"/>
    <mergeCell ref="C50:G50"/>
    <mergeCell ref="C51:G51"/>
  </mergeCells>
  <conditionalFormatting sqref="G24:H24">
    <cfRule type="cellIs" dxfId="25" priority="2" operator="equal">
      <formula>""</formula>
    </cfRule>
  </conditionalFormatting>
  <conditionalFormatting sqref="O16:R20 J18">
    <cfRule type="cellIs" dxfId="24" priority="1" operator="equal">
      <formula>"CUMPLE"</formula>
    </cfRule>
  </conditionalFormatting>
  <dataValidations count="4">
    <dataValidation type="list" allowBlank="1" showErrorMessage="1" sqref="G23" xr:uid="{00000000-0002-0000-0400-000000000000}">
      <formula1>$S$5:$S$6</formula1>
    </dataValidation>
    <dataValidation type="list" allowBlank="1" showErrorMessage="1" sqref="H27" xr:uid="{00000000-0002-0000-0400-000001000000}">
      <formula1>"VIGENTE,SIN VIGENCIA,NO APORTA"</formula1>
    </dataValidation>
    <dataValidation type="decimal" operator="greaterThan" allowBlank="1" showErrorMessage="1" sqref="G24" xr:uid="{00000000-0002-0000-0400-000002000000}">
      <formula1>0</formula1>
    </dataValidation>
    <dataValidation type="list" allowBlank="1" showErrorMessage="1" sqref="H28" xr:uid="{00000000-0002-0000-0400-000003000000}">
      <formula1>"VIGENTE,SIN VIGENCIA,NO APORTA,N/A"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73"/>
  <sheetViews>
    <sheetView topLeftCell="A41" zoomScale="90" zoomScaleNormal="90" workbookViewId="0">
      <selection activeCell="H67" sqref="H67"/>
    </sheetView>
  </sheetViews>
  <sheetFormatPr baseColWidth="10" defaultColWidth="14.42578125" defaultRowHeight="15" outlineLevelRow="1" x14ac:dyDescent="0.25"/>
  <cols>
    <col min="1" max="1" width="4.7109375" customWidth="1"/>
    <col min="2" max="2" width="4.85546875" customWidth="1"/>
    <col min="3" max="3" width="18.5703125" customWidth="1"/>
    <col min="4" max="4" width="18" customWidth="1"/>
    <col min="5" max="5" width="19.7109375" customWidth="1"/>
    <col min="6" max="7" width="18" customWidth="1"/>
    <col min="8" max="8" width="20.85546875" customWidth="1"/>
    <col min="9" max="10" width="16.140625" customWidth="1"/>
    <col min="11" max="12" width="14.7109375" customWidth="1"/>
    <col min="13" max="13" width="13.85546875" customWidth="1"/>
    <col min="14" max="14" width="17.42578125" customWidth="1"/>
    <col min="15" max="18" width="20" customWidth="1"/>
    <col min="19" max="19" width="8.28515625" hidden="1" customWidth="1"/>
    <col min="20" max="23" width="11.42578125" customWidth="1"/>
    <col min="24" max="24" width="17" customWidth="1"/>
    <col min="25" max="26" width="11.42578125" customWidth="1"/>
  </cols>
  <sheetData>
    <row r="1" spans="1:26" ht="22.5" customHeight="1" x14ac:dyDescent="0.25">
      <c r="A1" s="163" t="s">
        <v>21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5"/>
      <c r="S1" s="2"/>
      <c r="T1" s="2"/>
      <c r="U1" s="2"/>
      <c r="V1" s="2"/>
      <c r="W1" s="2"/>
      <c r="X1" s="1"/>
      <c r="Y1" s="1"/>
      <c r="Z1" s="1"/>
    </row>
    <row r="2" spans="1:26" ht="22.5" customHeight="1" x14ac:dyDescent="0.25">
      <c r="A2" s="163" t="s">
        <v>125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5"/>
      <c r="S2" s="2"/>
      <c r="T2" s="2"/>
      <c r="U2" s="2"/>
      <c r="V2" s="2"/>
      <c r="W2" s="2"/>
      <c r="X2" s="1"/>
      <c r="Y2" s="1"/>
      <c r="Z2" s="1"/>
    </row>
    <row r="3" spans="1:26" ht="22.5" customHeight="1" x14ac:dyDescent="0.25">
      <c r="A3" s="163" t="s">
        <v>126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5"/>
      <c r="S3" s="2"/>
      <c r="T3" s="2"/>
      <c r="U3" s="2"/>
      <c r="V3" s="2"/>
      <c r="W3" s="2"/>
      <c r="X3" s="1"/>
      <c r="Y3" s="1"/>
      <c r="Z3" s="1"/>
    </row>
    <row r="4" spans="1:26" ht="22.5" customHeight="1" x14ac:dyDescent="0.25">
      <c r="A4" s="163" t="s">
        <v>101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5"/>
      <c r="S4" s="3"/>
      <c r="T4" s="4"/>
      <c r="U4" s="5"/>
      <c r="V4" s="5"/>
      <c r="W4" s="5"/>
      <c r="X4" s="1"/>
      <c r="Y4" s="1"/>
      <c r="Z4" s="1"/>
    </row>
    <row r="5" spans="1:26" ht="23.25" customHeight="1" x14ac:dyDescent="0.25">
      <c r="A5" s="159" t="s">
        <v>22</v>
      </c>
      <c r="B5" s="160"/>
      <c r="C5" s="160"/>
      <c r="D5" s="160"/>
      <c r="E5" s="40">
        <f>'DATOS INICIALES'!B3</f>
        <v>1169500932</v>
      </c>
      <c r="F5" s="166"/>
      <c r="G5" s="160"/>
      <c r="H5" s="167" t="s">
        <v>124</v>
      </c>
      <c r="I5" s="160"/>
      <c r="J5" s="160"/>
      <c r="K5" s="162" t="s">
        <v>23</v>
      </c>
      <c r="L5" s="162"/>
      <c r="M5" s="160"/>
      <c r="N5" s="7" t="s">
        <v>24</v>
      </c>
      <c r="O5" s="6"/>
      <c r="P5" s="6"/>
      <c r="Q5" s="6"/>
      <c r="R5" s="6"/>
      <c r="S5" s="5" t="s">
        <v>25</v>
      </c>
      <c r="T5" s="5"/>
      <c r="U5" s="5"/>
      <c r="V5" s="5"/>
      <c r="W5" s="5"/>
      <c r="X5" s="5"/>
      <c r="Y5" s="5"/>
      <c r="Z5" s="5"/>
    </row>
    <row r="6" spans="1:26" ht="15.75" customHeight="1" x14ac:dyDescent="0.25">
      <c r="A6" s="159" t="s">
        <v>106</v>
      </c>
      <c r="B6" s="160"/>
      <c r="C6" s="160"/>
      <c r="D6" s="160"/>
      <c r="E6" s="8">
        <f>'DATOS INICIALES'!B5</f>
        <v>45568</v>
      </c>
      <c r="F6" s="160"/>
      <c r="G6" s="160"/>
      <c r="H6" s="168"/>
      <c r="I6" s="168"/>
      <c r="J6" s="168"/>
      <c r="K6" s="161" t="s">
        <v>26</v>
      </c>
      <c r="L6" s="161"/>
      <c r="M6" s="160"/>
      <c r="N6" s="70">
        <v>120</v>
      </c>
      <c r="O6" s="4"/>
      <c r="P6" s="4"/>
      <c r="Q6" s="4"/>
      <c r="R6" s="4"/>
      <c r="S6" s="5" t="s">
        <v>27</v>
      </c>
      <c r="T6" s="5"/>
      <c r="U6" s="5"/>
      <c r="V6" s="5"/>
      <c r="W6" s="5"/>
      <c r="X6" s="5"/>
      <c r="Y6" s="5"/>
      <c r="Z6" s="5"/>
    </row>
    <row r="7" spans="1:26" ht="15.75" customHeight="1" x14ac:dyDescent="0.25">
      <c r="A7" s="159" t="s">
        <v>28</v>
      </c>
      <c r="B7" s="160"/>
      <c r="C7" s="160"/>
      <c r="D7" s="160"/>
      <c r="E7" s="9">
        <v>0</v>
      </c>
      <c r="F7" s="160"/>
      <c r="G7" s="160"/>
      <c r="H7" s="168"/>
      <c r="I7" s="168"/>
      <c r="J7" s="168"/>
      <c r="K7" s="161" t="s">
        <v>29</v>
      </c>
      <c r="L7" s="161"/>
      <c r="M7" s="160"/>
      <c r="N7" s="70">
        <v>40</v>
      </c>
      <c r="O7" s="4"/>
      <c r="P7" s="4"/>
      <c r="Q7" s="4"/>
      <c r="R7" s="4"/>
      <c r="S7" s="4"/>
      <c r="T7" s="5"/>
      <c r="U7" s="5"/>
      <c r="V7" s="5"/>
      <c r="W7" s="5"/>
      <c r="X7" s="5"/>
      <c r="Y7" s="5"/>
      <c r="Z7" s="5"/>
    </row>
    <row r="8" spans="1:26" ht="15.75" customHeight="1" x14ac:dyDescent="0.25">
      <c r="A8" s="159" t="s">
        <v>30</v>
      </c>
      <c r="B8" s="160"/>
      <c r="C8" s="160"/>
      <c r="D8" s="160"/>
      <c r="E8" s="117">
        <f>'DATOS INICIALES'!B4</f>
        <v>2</v>
      </c>
      <c r="F8" s="160"/>
      <c r="G8" s="160"/>
      <c r="H8" s="168"/>
      <c r="I8" s="168"/>
      <c r="J8" s="168"/>
      <c r="K8" s="161" t="s">
        <v>31</v>
      </c>
      <c r="L8" s="161"/>
      <c r="M8" s="160"/>
      <c r="N8" s="70">
        <v>40</v>
      </c>
      <c r="O8" s="4"/>
      <c r="P8" s="4"/>
      <c r="Q8" s="4"/>
      <c r="R8" s="4"/>
      <c r="S8" s="4"/>
      <c r="T8" s="5"/>
      <c r="U8" s="5"/>
      <c r="V8" s="5"/>
      <c r="W8" s="5"/>
      <c r="X8" s="5"/>
      <c r="Y8" s="5"/>
      <c r="Z8" s="5"/>
    </row>
    <row r="9" spans="1:26" ht="15.75" customHeight="1" x14ac:dyDescent="0.25">
      <c r="A9" s="159" t="s">
        <v>32</v>
      </c>
      <c r="B9" s="160"/>
      <c r="C9" s="160"/>
      <c r="D9" s="160"/>
      <c r="E9" s="10">
        <f>IF(E8&lt;12,E5-E7*E5,(E5-E7*E5)/E8*12)</f>
        <v>1169500932</v>
      </c>
      <c r="F9" s="160"/>
      <c r="G9" s="160"/>
      <c r="H9" s="160"/>
      <c r="I9" s="160"/>
      <c r="J9" s="160"/>
      <c r="K9" s="162" t="s">
        <v>33</v>
      </c>
      <c r="L9" s="162"/>
      <c r="M9" s="160"/>
      <c r="N9" s="7">
        <v>200</v>
      </c>
      <c r="O9" s="6"/>
      <c r="P9" s="6"/>
      <c r="Q9" s="6"/>
      <c r="R9" s="6"/>
      <c r="S9" s="4"/>
      <c r="T9" s="5"/>
      <c r="U9" s="5"/>
      <c r="V9" s="5"/>
      <c r="W9" s="5"/>
      <c r="X9" s="5"/>
      <c r="Y9" s="5"/>
      <c r="Z9" s="5"/>
    </row>
    <row r="10" spans="1:26" ht="12" customHeight="1" thickBot="1" x14ac:dyDescent="0.3">
      <c r="A10" s="6"/>
      <c r="B10" s="6"/>
      <c r="C10" s="6"/>
      <c r="D10" s="6"/>
      <c r="E10" s="11"/>
      <c r="F10" s="6"/>
      <c r="G10" s="6"/>
      <c r="H10" s="6"/>
      <c r="I10" s="6"/>
      <c r="J10" s="6"/>
      <c r="K10" s="6"/>
      <c r="L10" s="6"/>
      <c r="M10" s="5"/>
      <c r="N10" s="5"/>
      <c r="O10" s="5"/>
      <c r="P10" s="5"/>
      <c r="Q10" s="5"/>
      <c r="R10" s="5"/>
      <c r="S10" s="6"/>
      <c r="T10" s="4"/>
      <c r="U10" s="5"/>
      <c r="V10" s="5"/>
      <c r="W10" s="5"/>
      <c r="X10" s="5"/>
      <c r="Y10" s="5"/>
      <c r="Z10" s="5"/>
    </row>
    <row r="11" spans="1:26" ht="12" customHeight="1" thickBot="1" x14ac:dyDescent="0.3">
      <c r="A11" s="169" t="s">
        <v>94</v>
      </c>
      <c r="B11" s="170"/>
      <c r="C11" s="171"/>
      <c r="D11" s="6"/>
      <c r="E11" s="11"/>
      <c r="F11" s="6"/>
      <c r="G11" s="6"/>
      <c r="H11" s="6"/>
      <c r="I11" s="6"/>
      <c r="J11" s="6"/>
      <c r="K11" s="6"/>
      <c r="L11" s="6"/>
      <c r="M11" s="5"/>
      <c r="N11" s="5"/>
      <c r="O11" s="5"/>
      <c r="P11" s="5"/>
      <c r="Q11" s="5"/>
      <c r="R11" s="5"/>
      <c r="S11" s="6"/>
      <c r="T11" s="4"/>
      <c r="U11" s="5"/>
      <c r="V11" s="5"/>
      <c r="W11" s="5"/>
      <c r="X11" s="5"/>
      <c r="Y11" s="5"/>
      <c r="Z11" s="5"/>
    </row>
    <row r="12" spans="1:26" ht="12" customHeight="1" x14ac:dyDescent="0.25">
      <c r="A12" s="6"/>
      <c r="B12" s="6"/>
      <c r="C12" s="6"/>
      <c r="D12" s="6"/>
      <c r="E12" s="11"/>
      <c r="F12" s="6"/>
      <c r="G12" s="6"/>
      <c r="H12" s="6"/>
      <c r="I12" s="6"/>
      <c r="J12" s="6"/>
      <c r="K12" s="6"/>
      <c r="L12" s="6"/>
      <c r="M12" s="5"/>
      <c r="N12" s="5"/>
      <c r="O12" s="5"/>
      <c r="P12" s="5"/>
      <c r="Q12" s="5"/>
      <c r="R12" s="5"/>
      <c r="S12" s="6"/>
      <c r="T12" s="4"/>
      <c r="U12" s="5"/>
      <c r="V12" s="5"/>
      <c r="W12" s="5"/>
      <c r="X12" s="5"/>
      <c r="Y12" s="5"/>
      <c r="Z12" s="5"/>
    </row>
    <row r="13" spans="1:26" ht="12" customHeight="1" x14ac:dyDescent="0.25">
      <c r="A13" s="172" t="str">
        <f>"Se considerará HÁBIL el proponente que presente una CR igual o superior a "&amp;TEXT(E9,"$#.##0")</f>
        <v>Se considerará HÁBIL el proponente que presente una CR igual o superior a $1.169.500.932</v>
      </c>
      <c r="B13" s="172"/>
      <c r="C13" s="172"/>
      <c r="D13" s="172"/>
      <c r="E13" s="172"/>
      <c r="F13" s="172"/>
      <c r="G13" s="172"/>
      <c r="H13" s="172"/>
      <c r="I13" s="172"/>
      <c r="J13" s="172"/>
      <c r="K13" s="172"/>
      <c r="L13" s="172"/>
      <c r="M13" s="172"/>
      <c r="N13" s="172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25">
      <c r="A14" s="172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" customHeight="1" x14ac:dyDescent="0.25">
      <c r="A15" s="233" t="s">
        <v>95</v>
      </c>
      <c r="B15" s="233"/>
      <c r="C15" s="197" t="s">
        <v>96</v>
      </c>
      <c r="D15" s="197"/>
      <c r="E15" s="197"/>
      <c r="F15" s="234" t="s">
        <v>97</v>
      </c>
      <c r="G15" s="233"/>
      <c r="H15" s="233"/>
      <c r="I15" s="233"/>
      <c r="J15" s="233"/>
      <c r="K15" s="233"/>
      <c r="L15" s="233"/>
      <c r="M15" s="233"/>
      <c r="N15" s="23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.75" customHeight="1" x14ac:dyDescent="0.25">
      <c r="A16" s="197">
        <v>3</v>
      </c>
      <c r="B16" s="197"/>
      <c r="C16" s="198" t="s">
        <v>91</v>
      </c>
      <c r="D16" s="199" t="str">
        <f>VLOOKUP(A16,'CAPACIDAD RESIDUAL'!$A$6:$D$304,2,FALSE)</f>
        <v>INSEREL INGENIERIA EN SERVICIOS ELECTRICOS DE COMUNICACIONES Y DE GAS LTDA</v>
      </c>
      <c r="E16" s="200"/>
      <c r="F16" s="197" t="str">
        <f>C22</f>
        <v>Capacidad de Organización (CO)</v>
      </c>
      <c r="G16" s="197"/>
      <c r="H16" s="197"/>
      <c r="I16" s="22">
        <f>G29</f>
        <v>3897769522</v>
      </c>
      <c r="J16" s="203" t="s">
        <v>88</v>
      </c>
      <c r="K16" s="183">
        <f>G29*(H40+H46+H51)/100-N64</f>
        <v>7562604556.5</v>
      </c>
      <c r="L16" s="184"/>
      <c r="M16" s="184"/>
      <c r="N16" s="185"/>
      <c r="O16" s="6"/>
      <c r="P16" s="6"/>
      <c r="Q16" s="6"/>
      <c r="R16" s="6"/>
      <c r="S16" s="4"/>
      <c r="T16" s="6"/>
      <c r="U16" s="13"/>
      <c r="V16" s="6"/>
      <c r="W16" s="5"/>
      <c r="X16" s="5"/>
      <c r="Y16" s="5"/>
      <c r="Z16" s="5"/>
    </row>
    <row r="17" spans="1:26" ht="15.75" customHeight="1" x14ac:dyDescent="0.25">
      <c r="A17" s="197"/>
      <c r="B17" s="197"/>
      <c r="C17" s="198"/>
      <c r="D17" s="201"/>
      <c r="E17" s="202"/>
      <c r="F17" s="197" t="str">
        <f>C31</f>
        <v>Experiencia (E)</v>
      </c>
      <c r="G17" s="197"/>
      <c r="H17" s="197"/>
      <c r="I17" s="22">
        <f>H40</f>
        <v>120</v>
      </c>
      <c r="J17" s="204"/>
      <c r="K17" s="186"/>
      <c r="L17" s="187"/>
      <c r="M17" s="187"/>
      <c r="N17" s="188"/>
      <c r="O17" s="6"/>
      <c r="P17" s="6"/>
      <c r="Q17" s="6"/>
      <c r="R17" s="6"/>
      <c r="S17" s="4"/>
      <c r="T17" s="6"/>
      <c r="U17" s="13"/>
      <c r="V17" s="6"/>
      <c r="W17" s="5"/>
      <c r="X17" s="5"/>
      <c r="Y17" s="5"/>
      <c r="Z17" s="5"/>
    </row>
    <row r="18" spans="1:26" ht="15.75" customHeight="1" x14ac:dyDescent="0.25">
      <c r="A18" s="197"/>
      <c r="B18" s="197"/>
      <c r="C18" s="198" t="s">
        <v>92</v>
      </c>
      <c r="D18" s="205" t="str">
        <f>VLOOKUP(A16,'CAPACIDAD RESIDUAL'!$A$6:$D$304,3,FALSE)</f>
        <v>800.221.086-3</v>
      </c>
      <c r="E18" s="206"/>
      <c r="F18" s="197" t="str">
        <f>C42</f>
        <v>Capacidad Financiera (CF)</v>
      </c>
      <c r="G18" s="197"/>
      <c r="H18" s="197"/>
      <c r="I18" s="22">
        <f>H46</f>
        <v>40</v>
      </c>
      <c r="J18" s="191" t="str">
        <f>IF(K16&gt;$E$9,"CUMPLE","NO CUMPLE")</f>
        <v>CUMPLE</v>
      </c>
      <c r="K18" s="191"/>
      <c r="L18" s="191"/>
      <c r="M18" s="191"/>
      <c r="N18" s="191"/>
      <c r="O18" s="6"/>
      <c r="P18" s="6"/>
      <c r="Q18" s="6"/>
      <c r="R18" s="6"/>
      <c r="S18" s="4"/>
      <c r="T18" s="6"/>
      <c r="U18" s="13"/>
      <c r="V18" s="6"/>
      <c r="W18" s="5"/>
      <c r="X18" s="5"/>
      <c r="Y18" s="5"/>
      <c r="Z18" s="5"/>
    </row>
    <row r="19" spans="1:26" ht="15.75" customHeight="1" x14ac:dyDescent="0.25">
      <c r="A19" s="197"/>
      <c r="B19" s="197"/>
      <c r="C19" s="198"/>
      <c r="D19" s="207"/>
      <c r="E19" s="208"/>
      <c r="F19" s="197" t="str">
        <f>C49</f>
        <v>Capacidad Técnica (CT)</v>
      </c>
      <c r="G19" s="197"/>
      <c r="H19" s="197"/>
      <c r="I19" s="22">
        <f>H51</f>
        <v>40</v>
      </c>
      <c r="J19" s="191"/>
      <c r="K19" s="191"/>
      <c r="L19" s="191"/>
      <c r="M19" s="191"/>
      <c r="N19" s="191"/>
      <c r="O19" s="6"/>
      <c r="P19" s="6"/>
      <c r="Q19" s="6"/>
      <c r="R19" s="6"/>
      <c r="S19" s="4"/>
      <c r="T19" s="6"/>
      <c r="U19" s="13"/>
      <c r="V19" s="6"/>
      <c r="W19" s="5"/>
      <c r="X19" s="5"/>
      <c r="Y19" s="5"/>
      <c r="Z19" s="5"/>
    </row>
    <row r="20" spans="1:26" x14ac:dyDescent="0.25">
      <c r="A20" s="197"/>
      <c r="B20" s="197"/>
      <c r="C20" s="73" t="s">
        <v>93</v>
      </c>
      <c r="D20" s="209">
        <f>VLOOKUP(A16,'CAPACIDAD RESIDUAL'!$A$6:$D$304,4,FALSE)</f>
        <v>1</v>
      </c>
      <c r="E20" s="210"/>
      <c r="F20" s="211" t="str">
        <f>C54</f>
        <v>Saldo de los Contratos en Ejecución (SCE)</v>
      </c>
      <c r="G20" s="211"/>
      <c r="H20" s="211"/>
      <c r="I20" s="22">
        <f>N64</f>
        <v>232934487.5</v>
      </c>
      <c r="J20" s="191"/>
      <c r="K20" s="191"/>
      <c r="L20" s="191"/>
      <c r="M20" s="191"/>
      <c r="N20" s="191"/>
      <c r="O20" s="6"/>
      <c r="P20" s="6"/>
      <c r="Q20" s="6"/>
      <c r="R20" s="6"/>
      <c r="S20" s="4"/>
      <c r="T20" s="6"/>
      <c r="U20" s="13"/>
      <c r="V20" s="6"/>
      <c r="W20" s="5"/>
      <c r="X20" s="5"/>
      <c r="Y20" s="5"/>
      <c r="Z20" s="5"/>
    </row>
    <row r="21" spans="1:26" outlineLevel="1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4"/>
      <c r="T21" s="6"/>
      <c r="U21" s="6"/>
      <c r="V21" s="6"/>
      <c r="W21" s="5"/>
      <c r="X21" s="5"/>
      <c r="Y21" s="5"/>
      <c r="Z21" s="5"/>
    </row>
    <row r="22" spans="1:26" ht="12" customHeight="1" outlineLevel="1" x14ac:dyDescent="0.25">
      <c r="A22" s="44"/>
      <c r="C22" s="219" t="s">
        <v>34</v>
      </c>
      <c r="D22" s="160"/>
      <c r="E22" s="160"/>
      <c r="F22" s="160"/>
      <c r="G22" s="160"/>
      <c r="H22" s="160"/>
      <c r="I22" s="220" t="s">
        <v>35</v>
      </c>
      <c r="J22" s="160"/>
      <c r="K22" s="220" t="s">
        <v>36</v>
      </c>
      <c r="L22" s="220"/>
      <c r="M22" s="160"/>
      <c r="N22" s="160"/>
      <c r="O22" s="16"/>
      <c r="P22" s="16"/>
      <c r="Q22" s="16"/>
      <c r="R22" s="16"/>
      <c r="S22" s="4"/>
      <c r="T22" s="6"/>
      <c r="U22" s="6"/>
      <c r="V22" s="6"/>
      <c r="W22" s="5"/>
      <c r="X22" s="5"/>
      <c r="Y22" s="5"/>
      <c r="Z22" s="5"/>
    </row>
    <row r="23" spans="1:26" ht="12.75" customHeight="1" outlineLevel="1" x14ac:dyDescent="0.25">
      <c r="A23" s="17"/>
      <c r="B23" s="6"/>
      <c r="C23" s="161" t="s">
        <v>37</v>
      </c>
      <c r="D23" s="160"/>
      <c r="E23" s="160"/>
      <c r="F23" s="160"/>
      <c r="G23" s="221" t="s">
        <v>27</v>
      </c>
      <c r="H23" s="160"/>
      <c r="I23" s="214" t="s">
        <v>38</v>
      </c>
      <c r="J23" s="160"/>
      <c r="K23" s="214" t="s">
        <v>39</v>
      </c>
      <c r="L23" s="214"/>
      <c r="M23" s="160"/>
      <c r="N23" s="160"/>
      <c r="O23" s="16"/>
      <c r="P23" s="16"/>
      <c r="Q23" s="16"/>
      <c r="R23" s="16"/>
      <c r="S23" s="4"/>
      <c r="T23" s="6"/>
      <c r="U23" s="6"/>
      <c r="V23" s="6"/>
      <c r="W23" s="5"/>
      <c r="X23" s="5"/>
      <c r="Y23" s="5"/>
      <c r="Z23" s="5"/>
    </row>
    <row r="24" spans="1:26" ht="12.75" customHeight="1" outlineLevel="1" x14ac:dyDescent="0.25">
      <c r="A24" s="17"/>
      <c r="B24" s="6"/>
      <c r="C24" s="161" t="s">
        <v>40</v>
      </c>
      <c r="D24" s="160"/>
      <c r="E24" s="160"/>
      <c r="F24" s="160"/>
      <c r="G24" s="221">
        <v>2021</v>
      </c>
      <c r="H24" s="160"/>
      <c r="I24" s="214" t="s">
        <v>41</v>
      </c>
      <c r="J24" s="160"/>
      <c r="K24" s="214" t="s">
        <v>42</v>
      </c>
      <c r="L24" s="214"/>
      <c r="M24" s="160"/>
      <c r="N24" s="160"/>
      <c r="O24" s="16"/>
      <c r="P24" s="16"/>
      <c r="Q24" s="16"/>
      <c r="R24" s="16"/>
      <c r="S24" s="4"/>
      <c r="T24" s="6"/>
      <c r="U24" s="6"/>
      <c r="V24" s="6"/>
      <c r="W24" s="5"/>
      <c r="X24" s="5"/>
      <c r="Y24" s="5"/>
      <c r="Z24" s="5"/>
    </row>
    <row r="25" spans="1:26" ht="12.75" customHeight="1" outlineLevel="1" x14ac:dyDescent="0.25">
      <c r="A25" s="17"/>
      <c r="B25" s="6"/>
      <c r="C25" s="159" t="str">
        <f>IF(G23="","",IF(G23=$S$5,"Valor umbral Mipyme.","Total Ingresos Operacionales Acreditados"))</f>
        <v>Total Ingresos Operacionales Acreditados</v>
      </c>
      <c r="D25" s="160"/>
      <c r="E25" s="160"/>
      <c r="F25" s="160"/>
      <c r="G25" s="215">
        <v>3897769522</v>
      </c>
      <c r="H25" s="216"/>
      <c r="I25" s="214" t="s">
        <v>43</v>
      </c>
      <c r="J25" s="160"/>
      <c r="K25" s="18" t="s">
        <v>44</v>
      </c>
      <c r="L25" s="18"/>
      <c r="M25" s="217">
        <v>457297264</v>
      </c>
      <c r="N25" s="218"/>
      <c r="O25" s="16"/>
      <c r="P25" s="16"/>
      <c r="Q25" s="16"/>
      <c r="R25" s="16"/>
      <c r="S25" s="4"/>
      <c r="T25" s="6"/>
      <c r="U25" s="6"/>
      <c r="V25" s="6"/>
      <c r="W25" s="5"/>
      <c r="X25" s="5"/>
      <c r="Y25" s="5"/>
      <c r="Z25" s="5"/>
    </row>
    <row r="26" spans="1:26" ht="12.75" customHeight="1" outlineLevel="1" x14ac:dyDescent="0.25">
      <c r="A26" s="17"/>
      <c r="B26" s="6"/>
      <c r="C26" s="162" t="s">
        <v>45</v>
      </c>
      <c r="D26" s="160"/>
      <c r="E26" s="160"/>
      <c r="F26" s="160"/>
      <c r="G26" s="160"/>
      <c r="H26" s="160"/>
      <c r="I26" s="19"/>
      <c r="J26" s="19"/>
      <c r="K26" s="20"/>
      <c r="L26" s="20"/>
      <c r="M26" s="21"/>
      <c r="N26" s="21"/>
      <c r="O26" s="21"/>
      <c r="P26" s="21"/>
      <c r="Q26" s="21"/>
      <c r="R26" s="21"/>
      <c r="S26" s="4"/>
      <c r="T26" s="6"/>
      <c r="U26" s="6"/>
      <c r="V26" s="6"/>
      <c r="W26" s="5"/>
      <c r="X26" s="5"/>
      <c r="Y26" s="5"/>
      <c r="Z26" s="5"/>
    </row>
    <row r="27" spans="1:26" outlineLevel="1" x14ac:dyDescent="0.25">
      <c r="A27" s="17"/>
      <c r="B27" s="6"/>
      <c r="C27" s="69" t="s">
        <v>46</v>
      </c>
      <c r="D27" s="225" t="s">
        <v>193</v>
      </c>
      <c r="E27" s="160"/>
      <c r="F27" s="226" t="s">
        <v>47</v>
      </c>
      <c r="G27" s="160"/>
      <c r="H27" s="72" t="s">
        <v>87</v>
      </c>
      <c r="I27" s="19"/>
      <c r="J27" s="19"/>
      <c r="K27" s="20"/>
      <c r="L27" s="20"/>
      <c r="M27" s="21"/>
      <c r="N27" s="21"/>
      <c r="O27" s="21"/>
      <c r="P27" s="21"/>
      <c r="Q27" s="21"/>
      <c r="R27" s="21"/>
      <c r="S27" s="4"/>
      <c r="T27" s="6"/>
      <c r="U27" s="6"/>
      <c r="V27" s="6"/>
      <c r="W27" s="5"/>
      <c r="X27" s="5"/>
      <c r="Y27" s="5"/>
      <c r="Z27" s="5"/>
    </row>
    <row r="28" spans="1:26" outlineLevel="1" x14ac:dyDescent="0.25">
      <c r="A28" s="17"/>
      <c r="B28" s="6"/>
      <c r="C28" s="69" t="s">
        <v>48</v>
      </c>
      <c r="D28" s="225"/>
      <c r="E28" s="160"/>
      <c r="F28" s="226" t="s">
        <v>47</v>
      </c>
      <c r="G28" s="160"/>
      <c r="H28" s="72" t="s">
        <v>87</v>
      </c>
      <c r="I28" s="19"/>
      <c r="J28" s="19"/>
      <c r="K28" s="20"/>
      <c r="L28" s="20"/>
      <c r="M28" s="21"/>
      <c r="N28" s="21"/>
      <c r="O28" s="21"/>
      <c r="P28" s="21"/>
      <c r="Q28" s="21"/>
      <c r="R28" s="21"/>
      <c r="S28" s="4"/>
      <c r="T28" s="6"/>
      <c r="U28" s="6"/>
      <c r="V28" s="6"/>
      <c r="W28" s="5"/>
      <c r="X28" s="5"/>
      <c r="Y28" s="5"/>
      <c r="Z28" s="5"/>
    </row>
    <row r="29" spans="1:26" ht="13.5" customHeight="1" outlineLevel="1" x14ac:dyDescent="0.25">
      <c r="A29" s="17"/>
      <c r="B29" s="6"/>
      <c r="C29" s="69" t="s">
        <v>49</v>
      </c>
      <c r="D29" s="69"/>
      <c r="E29" s="69"/>
      <c r="F29" s="69"/>
      <c r="G29" s="227">
        <f>IF(OR(H27="SIN VIGENCIA",H27="NO APORTA",H28="SIN VIGENCIA",H28="NO APORTA"),0,IF(G23="",0,IF(G23=$S$5,M25,IF(G25&lt;M25,M25,G25))))</f>
        <v>3897769522</v>
      </c>
      <c r="H29" s="228"/>
      <c r="I29" s="5"/>
      <c r="J29" s="5"/>
      <c r="K29" s="5"/>
      <c r="L29" s="5"/>
      <c r="M29" s="5"/>
      <c r="N29" s="5"/>
      <c r="O29" s="5"/>
      <c r="P29" s="5"/>
      <c r="Q29" s="5"/>
      <c r="R29" s="5"/>
      <c r="S29" s="4"/>
      <c r="T29" s="6"/>
      <c r="U29" s="6"/>
      <c r="V29" s="6"/>
      <c r="W29" s="5"/>
      <c r="X29" s="5"/>
      <c r="Y29" s="5"/>
      <c r="Z29" s="5"/>
    </row>
    <row r="30" spans="1:26" ht="5.25" customHeight="1" outlineLevel="1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4"/>
      <c r="T30" s="6"/>
      <c r="U30" s="6"/>
      <c r="V30" s="6"/>
      <c r="W30" s="5"/>
      <c r="X30" s="5"/>
      <c r="Y30" s="5"/>
      <c r="Z30" s="5"/>
    </row>
    <row r="31" spans="1:26" ht="12" customHeight="1" outlineLevel="1" x14ac:dyDescent="0.25">
      <c r="A31" s="17"/>
      <c r="B31" s="6"/>
      <c r="C31" s="222" t="s">
        <v>26</v>
      </c>
      <c r="D31" s="160"/>
      <c r="E31" s="160"/>
      <c r="F31" s="160"/>
      <c r="G31" s="160"/>
      <c r="H31" s="160"/>
      <c r="I31" s="7" t="s">
        <v>50</v>
      </c>
      <c r="J31" s="7" t="s">
        <v>51</v>
      </c>
      <c r="K31" s="7" t="s">
        <v>52</v>
      </c>
      <c r="L31" s="6"/>
      <c r="M31" s="5"/>
      <c r="N31" s="5"/>
      <c r="O31" s="5"/>
      <c r="P31" s="5"/>
      <c r="Q31" s="5"/>
      <c r="R31" s="5"/>
      <c r="S31" s="4"/>
      <c r="T31" s="6"/>
      <c r="U31" s="6"/>
      <c r="V31" s="6"/>
      <c r="W31" s="6"/>
      <c r="X31" s="5"/>
      <c r="Y31" s="5"/>
      <c r="Z31" s="5"/>
    </row>
    <row r="32" spans="1:26" ht="12" customHeight="1" outlineLevel="1" x14ac:dyDescent="0.25">
      <c r="A32" s="17"/>
      <c r="B32" s="6"/>
      <c r="C32" s="161" t="s">
        <v>53</v>
      </c>
      <c r="D32" s="160"/>
      <c r="E32" s="160"/>
      <c r="F32" s="160"/>
      <c r="G32" s="223">
        <f>$D$20</f>
        <v>1</v>
      </c>
      <c r="H32" s="160"/>
      <c r="I32" s="70">
        <v>0</v>
      </c>
      <c r="J32" s="70">
        <v>3</v>
      </c>
      <c r="K32" s="70">
        <v>60</v>
      </c>
      <c r="L32" s="4"/>
      <c r="M32" s="5"/>
      <c r="N32" s="5"/>
      <c r="O32" s="5"/>
      <c r="P32" s="5"/>
      <c r="Q32" s="5"/>
      <c r="R32" s="5"/>
      <c r="S32" s="4"/>
      <c r="T32" s="6"/>
      <c r="U32" s="6"/>
      <c r="V32" s="6"/>
      <c r="W32" s="6"/>
      <c r="X32" s="5"/>
      <c r="Y32" s="5"/>
      <c r="Z32" s="5"/>
    </row>
    <row r="33" spans="1:26" ht="12" customHeight="1" outlineLevel="1" x14ac:dyDescent="0.25">
      <c r="A33" s="17"/>
      <c r="B33" s="6"/>
      <c r="C33" s="161" t="s">
        <v>22</v>
      </c>
      <c r="D33" s="160"/>
      <c r="E33" s="160"/>
      <c r="F33" s="160"/>
      <c r="G33" s="232">
        <f>$E$5</f>
        <v>1169500932</v>
      </c>
      <c r="H33" s="160"/>
      <c r="I33" s="70">
        <v>3</v>
      </c>
      <c r="J33" s="70">
        <v>6</v>
      </c>
      <c r="K33" s="70">
        <v>80</v>
      </c>
      <c r="L33" s="4"/>
      <c r="M33" s="5"/>
      <c r="N33" s="5"/>
      <c r="O33" s="5"/>
      <c r="P33" s="5"/>
      <c r="Q33" s="5"/>
      <c r="R33" s="5"/>
      <c r="S33" s="4"/>
      <c r="T33" s="6"/>
      <c r="U33" s="6"/>
      <c r="V33" s="6"/>
      <c r="W33" s="6"/>
      <c r="X33" s="5"/>
      <c r="Y33" s="5"/>
      <c r="Z33" s="5"/>
    </row>
    <row r="34" spans="1:26" ht="12" customHeight="1" outlineLevel="1" x14ac:dyDescent="0.25">
      <c r="A34" s="17"/>
      <c r="B34" s="6"/>
      <c r="C34" s="162" t="s">
        <v>54</v>
      </c>
      <c r="D34" s="160"/>
      <c r="E34" s="160"/>
      <c r="F34" s="160"/>
      <c r="G34" s="160"/>
      <c r="H34" s="160"/>
      <c r="I34" s="70">
        <v>6</v>
      </c>
      <c r="J34" s="70">
        <v>10</v>
      </c>
      <c r="K34" s="70">
        <v>100</v>
      </c>
      <c r="L34" s="4"/>
      <c r="M34" s="5"/>
      <c r="N34" s="5"/>
      <c r="O34" s="5"/>
      <c r="P34" s="5"/>
      <c r="Q34" s="5"/>
      <c r="R34" s="5"/>
      <c r="S34" s="4"/>
      <c r="T34" s="6"/>
      <c r="U34" s="6"/>
      <c r="V34" s="6"/>
      <c r="W34" s="6"/>
      <c r="X34" s="5"/>
      <c r="Y34" s="5"/>
      <c r="Z34" s="5"/>
    </row>
    <row r="35" spans="1:26" ht="15.75" customHeight="1" outlineLevel="1" x14ac:dyDescent="0.25">
      <c r="A35" s="17"/>
      <c r="B35" s="6"/>
      <c r="C35" s="161" t="s">
        <v>55</v>
      </c>
      <c r="D35" s="160"/>
      <c r="E35" s="160"/>
      <c r="F35" s="160"/>
      <c r="G35" s="166" t="s">
        <v>56</v>
      </c>
      <c r="H35" s="160"/>
      <c r="I35" s="70">
        <v>10</v>
      </c>
      <c r="J35" s="70" t="s">
        <v>57</v>
      </c>
      <c r="K35" s="70">
        <v>120</v>
      </c>
      <c r="L35" s="4"/>
      <c r="M35" s="5"/>
      <c r="N35" s="5"/>
      <c r="O35" s="5"/>
      <c r="P35" s="5"/>
      <c r="Q35" s="5"/>
      <c r="R35" s="5"/>
      <c r="S35" s="4"/>
      <c r="T35" s="6"/>
      <c r="U35" s="6"/>
      <c r="V35" s="6"/>
      <c r="W35" s="6"/>
      <c r="X35" s="5"/>
      <c r="Y35" s="5"/>
      <c r="Z35" s="5"/>
    </row>
    <row r="36" spans="1:26" ht="15" customHeight="1" outlineLevel="1" x14ac:dyDescent="0.25">
      <c r="A36" s="17"/>
      <c r="B36" s="6"/>
      <c r="C36" s="162" t="s">
        <v>58</v>
      </c>
      <c r="D36" s="160"/>
      <c r="E36" s="160"/>
      <c r="F36" s="160"/>
      <c r="G36" s="230">
        <v>48294026799.139999</v>
      </c>
      <c r="H36" s="160"/>
      <c r="I36" s="5"/>
      <c r="J36" s="5"/>
      <c r="K36" s="5"/>
      <c r="L36" s="5"/>
      <c r="M36" s="5"/>
      <c r="N36" s="5"/>
      <c r="O36" s="5"/>
      <c r="P36" s="5"/>
      <c r="Q36" s="5"/>
      <c r="R36" s="5"/>
      <c r="S36" s="4"/>
      <c r="T36" s="6"/>
      <c r="U36" s="6"/>
      <c r="V36" s="6"/>
      <c r="W36" s="6"/>
      <c r="X36" s="5"/>
      <c r="Y36" s="5"/>
      <c r="Z36" s="5"/>
    </row>
    <row r="37" spans="1:26" ht="3" customHeight="1" outlineLevel="1" x14ac:dyDescent="0.25">
      <c r="A37" s="17"/>
      <c r="B37" s="6"/>
      <c r="C37" s="161"/>
      <c r="D37" s="160"/>
      <c r="E37" s="160"/>
      <c r="F37" s="160"/>
      <c r="G37" s="231"/>
      <c r="H37" s="160"/>
      <c r="I37" s="5"/>
      <c r="J37" s="5"/>
      <c r="K37" s="5"/>
      <c r="L37" s="5"/>
      <c r="M37" s="5"/>
      <c r="N37" s="5"/>
      <c r="O37" s="5"/>
      <c r="P37" s="5"/>
      <c r="Q37" s="5"/>
      <c r="R37" s="5"/>
      <c r="S37" s="4"/>
      <c r="T37" s="6"/>
      <c r="U37" s="6"/>
      <c r="V37" s="6"/>
      <c r="W37" s="6"/>
      <c r="X37" s="5"/>
      <c r="Y37" s="5"/>
      <c r="Z37" s="5"/>
    </row>
    <row r="38" spans="1:26" ht="13.5" customHeight="1" outlineLevel="1" x14ac:dyDescent="0.25">
      <c r="A38" s="17"/>
      <c r="B38" s="6"/>
      <c r="C38" s="159" t="s">
        <v>59</v>
      </c>
      <c r="D38" s="160"/>
      <c r="E38" s="160"/>
      <c r="F38" s="160"/>
      <c r="G38" s="229">
        <f>SUM(G35:H37)</f>
        <v>48294026799.139999</v>
      </c>
      <c r="H38" s="160"/>
      <c r="I38" s="5"/>
      <c r="J38" s="5"/>
      <c r="K38" s="5"/>
      <c r="L38" s="5"/>
      <c r="M38" s="5"/>
      <c r="N38" s="5"/>
      <c r="O38" s="5"/>
      <c r="P38" s="5"/>
      <c r="Q38" s="5"/>
      <c r="R38" s="5"/>
      <c r="S38" s="4"/>
      <c r="T38" s="6"/>
      <c r="U38" s="6"/>
      <c r="V38" s="6"/>
      <c r="W38" s="6"/>
      <c r="X38" s="5"/>
      <c r="Y38" s="5"/>
      <c r="Z38" s="5"/>
    </row>
    <row r="39" spans="1:26" ht="12" customHeight="1" outlineLevel="1" x14ac:dyDescent="0.25">
      <c r="A39" s="17"/>
      <c r="B39" s="6"/>
      <c r="C39" s="159" t="s">
        <v>60</v>
      </c>
      <c r="D39" s="160"/>
      <c r="E39" s="160"/>
      <c r="F39" s="160"/>
      <c r="G39" s="160"/>
      <c r="H39" s="71">
        <f>IF(OR(G32="",G32=0,G38=0),0,G38/(G33*G32))</f>
        <v>41.294560335707367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4"/>
      <c r="T39" s="6"/>
      <c r="U39" s="6"/>
      <c r="V39" s="6"/>
      <c r="W39" s="6"/>
      <c r="X39" s="5"/>
      <c r="Y39" s="5"/>
      <c r="Z39" s="5"/>
    </row>
    <row r="40" spans="1:26" ht="13.5" customHeight="1" outlineLevel="1" x14ac:dyDescent="0.25">
      <c r="A40" s="17"/>
      <c r="B40" s="6"/>
      <c r="C40" s="159" t="s">
        <v>61</v>
      </c>
      <c r="D40" s="160"/>
      <c r="E40" s="160"/>
      <c r="F40" s="160"/>
      <c r="G40" s="160"/>
      <c r="H40" s="22">
        <f>IF(H39&lt;=J32,K32,IF(H39&lt;=J33,K33,IF(H39&lt;=J34,K34,K35)))</f>
        <v>120</v>
      </c>
      <c r="I40" s="5"/>
      <c r="J40" s="23"/>
      <c r="K40" s="5"/>
      <c r="L40" s="5"/>
      <c r="M40" s="5"/>
      <c r="N40" s="5"/>
      <c r="O40" s="5"/>
      <c r="P40" s="5"/>
      <c r="Q40" s="5"/>
      <c r="R40" s="5"/>
      <c r="S40" s="4"/>
      <c r="T40" s="6"/>
      <c r="U40" s="6"/>
      <c r="V40" s="6"/>
      <c r="W40" s="6"/>
      <c r="X40" s="5"/>
      <c r="Y40" s="5"/>
      <c r="Z40" s="5"/>
    </row>
    <row r="41" spans="1:26" ht="5.25" customHeight="1" outlineLevel="1" x14ac:dyDescent="0.25">
      <c r="A41" s="14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4"/>
      <c r="T41" s="6"/>
      <c r="U41" s="6"/>
      <c r="V41" s="6"/>
      <c r="W41" s="5"/>
      <c r="X41" s="5"/>
      <c r="Y41" s="5"/>
      <c r="Z41" s="5"/>
    </row>
    <row r="42" spans="1:26" ht="15" customHeight="1" outlineLevel="1" x14ac:dyDescent="0.25">
      <c r="A42" s="17"/>
      <c r="B42" s="6"/>
      <c r="C42" s="219" t="s">
        <v>62</v>
      </c>
      <c r="D42" s="160"/>
      <c r="E42" s="160"/>
      <c r="F42" s="160"/>
      <c r="G42" s="160"/>
      <c r="H42" s="160"/>
      <c r="I42" s="7" t="s">
        <v>63</v>
      </c>
      <c r="J42" s="7" t="s">
        <v>64</v>
      </c>
      <c r="K42" s="7" t="s">
        <v>52</v>
      </c>
      <c r="L42" s="6"/>
      <c r="M42" s="5"/>
      <c r="N42" s="5"/>
      <c r="O42" s="5"/>
      <c r="P42" s="5"/>
      <c r="Q42" s="5"/>
      <c r="R42" s="5"/>
      <c r="S42" s="4"/>
      <c r="T42" s="6"/>
      <c r="U42" s="6"/>
      <c r="V42" s="6"/>
      <c r="W42" s="6"/>
      <c r="X42" s="5"/>
      <c r="Y42" s="5"/>
      <c r="Z42" s="5"/>
    </row>
    <row r="43" spans="1:26" ht="12" customHeight="1" outlineLevel="1" x14ac:dyDescent="0.25">
      <c r="A43" s="17"/>
      <c r="B43" s="6"/>
      <c r="C43" s="159" t="s">
        <v>65</v>
      </c>
      <c r="D43" s="160"/>
      <c r="E43" s="160"/>
      <c r="F43" s="160"/>
      <c r="G43" s="160"/>
      <c r="H43" s="42">
        <f>VLOOKUP(A16,'CAPACIDAD FINANCIERA'!$A$6:$AK$308,5,FALSE)</f>
        <v>3622194973</v>
      </c>
      <c r="I43" s="24">
        <v>0</v>
      </c>
      <c r="J43" s="24">
        <v>0.5</v>
      </c>
      <c r="K43" s="70">
        <v>20</v>
      </c>
      <c r="L43" s="4"/>
      <c r="M43" s="5"/>
      <c r="N43" s="5"/>
      <c r="O43" s="5"/>
      <c r="P43" s="5"/>
      <c r="Q43" s="5"/>
      <c r="R43" s="5"/>
      <c r="S43" s="4"/>
      <c r="T43" s="6"/>
      <c r="U43" s="6"/>
      <c r="V43" s="6"/>
      <c r="W43" s="6"/>
      <c r="X43" s="5"/>
      <c r="Y43" s="5"/>
      <c r="Z43" s="5"/>
    </row>
    <row r="44" spans="1:26" ht="12" customHeight="1" outlineLevel="1" x14ac:dyDescent="0.25">
      <c r="A44" s="17"/>
      <c r="B44" s="6"/>
      <c r="C44" s="159" t="s">
        <v>66</v>
      </c>
      <c r="D44" s="160"/>
      <c r="E44" s="160"/>
      <c r="F44" s="160"/>
      <c r="G44" s="160"/>
      <c r="H44" s="42">
        <f>VLOOKUP(A16,'CAPACIDAD FINANCIERA'!$A$6:$AK$308,7,FALSE)</f>
        <v>38549617</v>
      </c>
      <c r="I44" s="24">
        <v>0.5</v>
      </c>
      <c r="J44" s="24">
        <v>0.75</v>
      </c>
      <c r="K44" s="70">
        <v>25</v>
      </c>
      <c r="L44" s="4"/>
      <c r="M44" s="5"/>
      <c r="N44" s="5"/>
      <c r="O44" s="5"/>
      <c r="P44" s="5"/>
      <c r="Q44" s="5"/>
      <c r="R44" s="5"/>
      <c r="S44" s="4"/>
      <c r="T44" s="6"/>
      <c r="U44" s="6"/>
      <c r="V44" s="6"/>
      <c r="W44" s="6"/>
      <c r="X44" s="5"/>
      <c r="Y44" s="5"/>
      <c r="Z44" s="5"/>
    </row>
    <row r="45" spans="1:26" ht="12" customHeight="1" outlineLevel="1" x14ac:dyDescent="0.25">
      <c r="A45" s="17"/>
      <c r="B45" s="6"/>
      <c r="C45" s="159" t="s">
        <v>67</v>
      </c>
      <c r="D45" s="160"/>
      <c r="E45" s="160"/>
      <c r="F45" s="160"/>
      <c r="G45" s="160"/>
      <c r="H45" s="71">
        <f>IFERROR(ROUND(IF(H43="",0,H43/H44),2),0)</f>
        <v>93.96</v>
      </c>
      <c r="I45" s="24">
        <v>0.75</v>
      </c>
      <c r="J45" s="24">
        <v>1</v>
      </c>
      <c r="K45" s="70">
        <v>30</v>
      </c>
      <c r="L45" s="4"/>
      <c r="M45" s="5"/>
      <c r="N45" s="5"/>
      <c r="O45" s="5"/>
      <c r="P45" s="5"/>
      <c r="Q45" s="5"/>
      <c r="R45" s="5"/>
      <c r="S45" s="4"/>
      <c r="T45" s="6"/>
      <c r="U45" s="6"/>
      <c r="V45" s="6"/>
      <c r="W45" s="6"/>
      <c r="X45" s="5"/>
      <c r="Y45" s="5"/>
      <c r="Z45" s="5"/>
    </row>
    <row r="46" spans="1:26" ht="13.5" customHeight="1" outlineLevel="1" x14ac:dyDescent="0.25">
      <c r="A46" s="17"/>
      <c r="B46" s="6"/>
      <c r="C46" s="159" t="s">
        <v>68</v>
      </c>
      <c r="D46" s="160"/>
      <c r="E46" s="160"/>
      <c r="F46" s="160"/>
      <c r="G46" s="160"/>
      <c r="H46" s="22">
        <f>IF(H44=0,K47,IF(H45="",0,IF(H45&lt;J43,K43,IF(H45&lt;J44,K44,IF(H45&lt;J45,K45,IF(H45&lt;J46,K46,K47))))))</f>
        <v>40</v>
      </c>
      <c r="I46" s="24">
        <v>1</v>
      </c>
      <c r="J46" s="24">
        <v>1.5</v>
      </c>
      <c r="K46" s="70">
        <v>35</v>
      </c>
      <c r="L46" s="4"/>
      <c r="M46" s="5"/>
      <c r="N46" s="5"/>
      <c r="O46" s="5"/>
      <c r="P46" s="5"/>
      <c r="Q46" s="5"/>
      <c r="R46" s="5"/>
      <c r="S46" s="4"/>
      <c r="T46" s="6"/>
      <c r="U46" s="6"/>
      <c r="V46" s="6"/>
      <c r="W46" s="6"/>
      <c r="X46" s="5"/>
      <c r="Y46" s="5"/>
      <c r="Z46" s="5"/>
    </row>
    <row r="47" spans="1:26" ht="12" customHeight="1" outlineLevel="1" x14ac:dyDescent="0.25">
      <c r="A47" s="17"/>
      <c r="B47" s="6"/>
      <c r="C47" s="5"/>
      <c r="D47" s="5"/>
      <c r="E47" s="5"/>
      <c r="F47" s="5"/>
      <c r="G47" s="5"/>
      <c r="H47" s="5"/>
      <c r="I47" s="24">
        <v>1.5</v>
      </c>
      <c r="J47" s="24" t="s">
        <v>57</v>
      </c>
      <c r="K47" s="70">
        <v>40</v>
      </c>
      <c r="L47" s="4"/>
      <c r="M47" s="5"/>
      <c r="N47" s="5"/>
      <c r="O47" s="5"/>
      <c r="P47" s="5"/>
      <c r="Q47" s="5"/>
      <c r="R47" s="5"/>
      <c r="S47" s="4"/>
      <c r="T47" s="6"/>
      <c r="U47" s="6"/>
      <c r="V47" s="6"/>
      <c r="W47" s="6"/>
      <c r="X47" s="5"/>
      <c r="Y47" s="5"/>
      <c r="Z47" s="5"/>
    </row>
    <row r="48" spans="1:26" ht="5.25" customHeight="1" outlineLevel="1" x14ac:dyDescent="0.25">
      <c r="A48" s="14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4"/>
      <c r="T48" s="6"/>
      <c r="U48" s="6"/>
      <c r="V48" s="6"/>
      <c r="W48" s="5"/>
      <c r="X48" s="5"/>
      <c r="Y48" s="5"/>
      <c r="Z48" s="5"/>
    </row>
    <row r="49" spans="1:26" ht="12" customHeight="1" outlineLevel="1" x14ac:dyDescent="0.25">
      <c r="A49" s="17"/>
      <c r="B49" s="6"/>
      <c r="C49" s="219" t="s">
        <v>69</v>
      </c>
      <c r="D49" s="160"/>
      <c r="E49" s="160"/>
      <c r="F49" s="160"/>
      <c r="G49" s="160"/>
      <c r="H49" s="160"/>
      <c r="I49" s="7" t="s">
        <v>70</v>
      </c>
      <c r="J49" s="7" t="s">
        <v>71</v>
      </c>
      <c r="K49" s="7" t="s">
        <v>52</v>
      </c>
      <c r="L49" s="6"/>
      <c r="M49" s="5"/>
      <c r="N49" s="5"/>
      <c r="O49" s="5"/>
      <c r="P49" s="5"/>
      <c r="Q49" s="5"/>
      <c r="R49" s="5"/>
      <c r="S49" s="4"/>
      <c r="T49" s="6"/>
      <c r="U49" s="6"/>
      <c r="V49" s="6"/>
      <c r="W49" s="6"/>
      <c r="X49" s="5"/>
      <c r="Y49" s="5"/>
      <c r="Z49" s="5"/>
    </row>
    <row r="50" spans="1:26" ht="12.75" customHeight="1" outlineLevel="1" x14ac:dyDescent="0.25">
      <c r="A50" s="17"/>
      <c r="B50" s="6"/>
      <c r="C50" s="159" t="s">
        <v>72</v>
      </c>
      <c r="D50" s="160"/>
      <c r="E50" s="160"/>
      <c r="F50" s="160"/>
      <c r="G50" s="160"/>
      <c r="H50" s="25">
        <v>12</v>
      </c>
      <c r="I50" s="26">
        <v>1</v>
      </c>
      <c r="J50" s="26">
        <v>5</v>
      </c>
      <c r="K50" s="70">
        <v>20</v>
      </c>
      <c r="L50" s="4"/>
      <c r="M50" s="5"/>
      <c r="N50" s="5"/>
      <c r="O50" s="5"/>
      <c r="P50" s="5"/>
      <c r="Q50" s="5"/>
      <c r="R50" s="5"/>
      <c r="S50" s="4"/>
      <c r="T50" s="6"/>
      <c r="U50" s="6"/>
      <c r="V50" s="6"/>
      <c r="W50" s="6"/>
      <c r="X50" s="5"/>
      <c r="Y50" s="5"/>
      <c r="Z50" s="5"/>
    </row>
    <row r="51" spans="1:26" ht="13.5" customHeight="1" outlineLevel="1" x14ac:dyDescent="0.25">
      <c r="A51" s="17"/>
      <c r="B51" s="6"/>
      <c r="C51" s="159" t="s">
        <v>73</v>
      </c>
      <c r="D51" s="160"/>
      <c r="E51" s="160"/>
      <c r="F51" s="160"/>
      <c r="G51" s="160"/>
      <c r="H51" s="22">
        <f>IF(H50&lt;I50,0,IF(H50&lt;=J50,K50,IF(H50&lt;=J51,K51,K52)))</f>
        <v>40</v>
      </c>
      <c r="I51" s="26">
        <v>6</v>
      </c>
      <c r="J51" s="26">
        <v>10</v>
      </c>
      <c r="K51" s="70">
        <v>30</v>
      </c>
      <c r="L51" s="4"/>
      <c r="M51" s="5"/>
      <c r="N51" s="5"/>
      <c r="O51" s="5"/>
      <c r="P51" s="5"/>
      <c r="Q51" s="5"/>
      <c r="R51" s="5"/>
      <c r="S51" s="4"/>
      <c r="T51" s="6"/>
      <c r="U51" s="6"/>
      <c r="V51" s="6"/>
      <c r="W51" s="6"/>
      <c r="X51" s="5"/>
      <c r="Y51" s="5"/>
      <c r="Z51" s="5"/>
    </row>
    <row r="52" spans="1:26" ht="13.5" customHeight="1" outlineLevel="1" x14ac:dyDescent="0.25">
      <c r="A52" s="17"/>
      <c r="B52" s="6"/>
      <c r="C52" s="5"/>
      <c r="D52" s="5"/>
      <c r="E52" s="5"/>
      <c r="F52" s="5"/>
      <c r="G52" s="5"/>
      <c r="H52" s="5"/>
      <c r="I52" s="26">
        <v>11</v>
      </c>
      <c r="J52" s="24" t="s">
        <v>57</v>
      </c>
      <c r="K52" s="70">
        <v>40</v>
      </c>
      <c r="L52" s="4"/>
      <c r="M52" s="5"/>
      <c r="N52" s="5"/>
      <c r="O52" s="5"/>
      <c r="P52" s="5"/>
      <c r="Q52" s="5"/>
      <c r="R52" s="5"/>
      <c r="S52" s="4"/>
      <c r="T52" s="6"/>
      <c r="U52" s="6"/>
      <c r="V52" s="6"/>
      <c r="W52" s="6"/>
      <c r="X52" s="5"/>
      <c r="Y52" s="5"/>
      <c r="Z52" s="5"/>
    </row>
    <row r="53" spans="1:26" ht="5.25" customHeight="1" outlineLevel="1" x14ac:dyDescent="0.25">
      <c r="A53" s="14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4"/>
      <c r="T53" s="6"/>
      <c r="U53" s="6"/>
      <c r="V53" s="6"/>
      <c r="W53" s="5"/>
      <c r="X53" s="5"/>
      <c r="Y53" s="5"/>
      <c r="Z53" s="5"/>
    </row>
    <row r="54" spans="1:26" ht="15.75" customHeight="1" outlineLevel="1" x14ac:dyDescent="0.25">
      <c r="A54" s="17"/>
      <c r="B54" s="6"/>
      <c r="C54" s="222" t="s">
        <v>74</v>
      </c>
      <c r="D54" s="160"/>
      <c r="E54" s="160"/>
      <c r="F54" s="160"/>
      <c r="G54" s="160"/>
      <c r="H54" s="160"/>
      <c r="I54" s="160"/>
      <c r="J54" s="160"/>
      <c r="K54" s="160"/>
      <c r="L54" s="160"/>
      <c r="M54" s="160"/>
      <c r="N54" s="160"/>
      <c r="O54" s="16"/>
      <c r="P54" s="16"/>
      <c r="Q54" s="16"/>
      <c r="R54" s="16"/>
      <c r="S54" s="4"/>
      <c r="T54" s="6"/>
      <c r="U54" s="6"/>
      <c r="V54" s="6"/>
      <c r="W54" s="6"/>
      <c r="X54" s="5"/>
      <c r="Y54" s="5"/>
      <c r="Z54" s="5"/>
    </row>
    <row r="55" spans="1:26" ht="12.75" customHeight="1" outlineLevel="1" x14ac:dyDescent="0.25">
      <c r="A55" s="27"/>
      <c r="B55" s="28"/>
      <c r="C55" s="162" t="s">
        <v>75</v>
      </c>
      <c r="D55" s="160"/>
      <c r="E55" s="160"/>
      <c r="F55" s="160"/>
      <c r="G55" s="160"/>
      <c r="H55" s="160"/>
      <c r="I55" s="160"/>
      <c r="J55" s="160"/>
      <c r="K55" s="160"/>
      <c r="L55" s="160"/>
      <c r="M55" s="160"/>
      <c r="N55" s="160"/>
      <c r="O55" s="16"/>
      <c r="P55" s="16"/>
      <c r="Q55" s="16"/>
      <c r="R55" s="16"/>
      <c r="S55" s="4"/>
      <c r="T55" s="6"/>
      <c r="U55" s="1"/>
      <c r="V55" s="1"/>
      <c r="W55" s="1"/>
      <c r="X55" s="1"/>
      <c r="Y55" s="1"/>
      <c r="Z55" s="1"/>
    </row>
    <row r="56" spans="1:26" ht="48" outlineLevel="1" x14ac:dyDescent="0.25">
      <c r="A56" s="29"/>
      <c r="B56" s="28"/>
      <c r="C56" s="69" t="s">
        <v>76</v>
      </c>
      <c r="D56" s="70" t="s">
        <v>77</v>
      </c>
      <c r="E56" s="70" t="s">
        <v>56</v>
      </c>
      <c r="F56" s="70" t="s">
        <v>78</v>
      </c>
      <c r="G56" s="70" t="s">
        <v>79</v>
      </c>
      <c r="H56" s="70" t="s">
        <v>80</v>
      </c>
      <c r="I56" s="70" t="s">
        <v>81</v>
      </c>
      <c r="J56" s="70" t="s">
        <v>82</v>
      </c>
      <c r="K56" s="70" t="s">
        <v>83</v>
      </c>
      <c r="L56" s="30" t="s">
        <v>204</v>
      </c>
      <c r="M56" s="30" t="s">
        <v>84</v>
      </c>
      <c r="N56" s="70" t="s">
        <v>85</v>
      </c>
      <c r="O56" s="4"/>
      <c r="P56" s="4"/>
      <c r="Q56" s="4"/>
      <c r="R56" s="4"/>
      <c r="S56" s="4"/>
      <c r="T56" s="6"/>
      <c r="U56" s="1"/>
      <c r="V56" s="1"/>
      <c r="W56" s="1"/>
      <c r="X56" s="1"/>
      <c r="Y56" s="1"/>
      <c r="Z56" s="1"/>
    </row>
    <row r="57" spans="1:26" ht="12" hidden="1" customHeight="1" outlineLevel="1" x14ac:dyDescent="0.25">
      <c r="A57" s="29"/>
      <c r="B57" s="28"/>
      <c r="C57" s="69"/>
      <c r="D57" s="70"/>
      <c r="E57" s="70"/>
      <c r="F57" s="70"/>
      <c r="G57" s="70"/>
      <c r="H57" s="70"/>
      <c r="I57" s="70"/>
      <c r="J57" s="70"/>
      <c r="K57" s="70"/>
      <c r="L57" s="70"/>
      <c r="M57" s="30"/>
      <c r="N57" s="70"/>
      <c r="O57" s="4"/>
      <c r="P57" s="4"/>
      <c r="Q57" s="4"/>
      <c r="R57" s="4"/>
      <c r="S57" s="4"/>
      <c r="T57" s="6"/>
      <c r="U57" s="1"/>
      <c r="V57" s="1"/>
      <c r="W57" s="1"/>
      <c r="X57" s="1"/>
      <c r="Y57" s="1"/>
      <c r="Z57" s="1"/>
    </row>
    <row r="58" spans="1:26" ht="12" customHeight="1" outlineLevel="1" x14ac:dyDescent="0.25">
      <c r="A58" s="29"/>
      <c r="B58" s="28"/>
      <c r="C58" s="72">
        <v>1</v>
      </c>
      <c r="D58" s="31">
        <v>1</v>
      </c>
      <c r="E58" s="57">
        <v>349032140</v>
      </c>
      <c r="F58" s="56">
        <v>5</v>
      </c>
      <c r="G58" s="34">
        <v>45455</v>
      </c>
      <c r="H58" s="35"/>
      <c r="I58" s="35"/>
      <c r="J58" s="35"/>
      <c r="K58" s="35"/>
      <c r="L58" s="35"/>
      <c r="M58" s="70">
        <f t="shared" ref="M58:M62" si="0">IF(C58="","",IF(IF(H58&lt;&gt;"",IF(I58&lt;&gt;"",IF(J58&lt;&gt;"",IF(K58&lt;&gt;"",G58+F58*30+(I58-H58)+(K58-J58)-$E$6,G58+F58*30+(I58-H58)-J58),G58+F58*30+(I58-H58)-$E$6),G58+F58*30-H58),G58+F58*30-$E$6)&lt;0,0,IF(H58&lt;&gt;"",IF(I58&lt;&gt;"",IF(J58&lt;&gt;"",IF(K58&lt;&gt;"",G58+F58*30+(I58-H58)+(K58-J58)-$E$6,G58+F58*30+(I58-H58)-J58),G58+F58*30+(I58-H58)-$E$6),G58+F58*30-H58),G58+F58*30-$E$6)))</f>
        <v>37</v>
      </c>
      <c r="N58" s="65">
        <f t="shared" ref="N58:N62" si="1">IF(L58="",IF(C58="","",IF(M58&lt;360,D58*E58*M58/(F58*30),D58*E58*360/(F58*30))),IF(C58="","",IF(M58&lt;360,D58*L58*M58/(F58*30),D58*L58*360/(F58*30))))</f>
        <v>86094594.533333331</v>
      </c>
      <c r="O58" s="21"/>
      <c r="P58" s="21"/>
      <c r="Q58" s="21"/>
      <c r="R58" s="21"/>
      <c r="S58" s="4"/>
      <c r="T58" s="6"/>
      <c r="U58" s="1"/>
      <c r="V58" s="1"/>
      <c r="W58" s="1"/>
      <c r="X58" s="1"/>
      <c r="Y58" s="1"/>
      <c r="Z58" s="1"/>
    </row>
    <row r="59" spans="1:26" ht="12" customHeight="1" outlineLevel="1" x14ac:dyDescent="0.25">
      <c r="A59" s="29"/>
      <c r="B59" s="28"/>
      <c r="C59" s="72">
        <v>2</v>
      </c>
      <c r="D59" s="31">
        <v>1</v>
      </c>
      <c r="E59" s="57">
        <v>167245862</v>
      </c>
      <c r="F59" s="56">
        <v>2</v>
      </c>
      <c r="G59" s="34">
        <v>45527</v>
      </c>
      <c r="H59" s="35"/>
      <c r="I59" s="35"/>
      <c r="J59" s="35"/>
      <c r="K59" s="35"/>
      <c r="L59" s="35"/>
      <c r="M59" s="70">
        <f t="shared" si="0"/>
        <v>19</v>
      </c>
      <c r="N59" s="65">
        <f t="shared" si="1"/>
        <v>52961189.633333333</v>
      </c>
      <c r="O59" s="21"/>
      <c r="P59" s="21"/>
      <c r="Q59" s="21"/>
      <c r="R59" s="21"/>
      <c r="S59" s="4"/>
      <c r="T59" s="6"/>
      <c r="U59" s="1"/>
      <c r="V59" s="1"/>
      <c r="W59" s="1"/>
      <c r="X59" s="1"/>
      <c r="Y59" s="1"/>
      <c r="Z59" s="1"/>
    </row>
    <row r="60" spans="1:26" ht="12" customHeight="1" outlineLevel="1" x14ac:dyDescent="0.25">
      <c r="A60" s="29"/>
      <c r="B60" s="28"/>
      <c r="C60" s="72">
        <v>3</v>
      </c>
      <c r="D60" s="31">
        <v>1</v>
      </c>
      <c r="E60" s="57">
        <v>194231800</v>
      </c>
      <c r="F60" s="56">
        <v>4</v>
      </c>
      <c r="G60" s="34">
        <v>45506</v>
      </c>
      <c r="H60" s="35"/>
      <c r="I60" s="35"/>
      <c r="J60" s="35"/>
      <c r="K60" s="35"/>
      <c r="L60" s="35"/>
      <c r="M60" s="70">
        <f t="shared" si="0"/>
        <v>58</v>
      </c>
      <c r="N60" s="65">
        <f t="shared" si="1"/>
        <v>93878703.333333328</v>
      </c>
      <c r="O60" s="21"/>
      <c r="P60" s="21"/>
      <c r="Q60" s="21"/>
      <c r="R60" s="21"/>
      <c r="S60" s="4"/>
      <c r="T60" s="6"/>
      <c r="U60" s="1"/>
      <c r="V60" s="1"/>
      <c r="W60" s="1"/>
      <c r="X60" s="1"/>
      <c r="Y60" s="1"/>
      <c r="Z60" s="1"/>
    </row>
    <row r="61" spans="1:26" ht="12" customHeight="1" outlineLevel="1" x14ac:dyDescent="0.25">
      <c r="A61" s="29"/>
      <c r="B61" s="28"/>
      <c r="C61" s="72"/>
      <c r="D61" s="31"/>
      <c r="E61" s="57"/>
      <c r="F61" s="56"/>
      <c r="G61" s="34"/>
      <c r="H61" s="35"/>
      <c r="I61" s="35"/>
      <c r="J61" s="35"/>
      <c r="K61" s="35"/>
      <c r="L61" s="35"/>
      <c r="M61" s="70" t="str">
        <f t="shared" si="0"/>
        <v/>
      </c>
      <c r="N61" s="65" t="str">
        <f t="shared" si="1"/>
        <v/>
      </c>
      <c r="O61" s="21"/>
      <c r="P61" s="21"/>
      <c r="Q61" s="21"/>
      <c r="R61" s="21"/>
      <c r="S61" s="4"/>
      <c r="T61" s="6"/>
      <c r="U61" s="1"/>
      <c r="V61" s="1"/>
      <c r="W61" s="1"/>
      <c r="X61" s="1"/>
      <c r="Y61" s="1"/>
      <c r="Z61" s="1"/>
    </row>
    <row r="62" spans="1:26" ht="12" customHeight="1" outlineLevel="1" x14ac:dyDescent="0.25">
      <c r="A62" s="29"/>
      <c r="B62" s="28"/>
      <c r="C62" s="72"/>
      <c r="D62" s="31"/>
      <c r="E62" s="57"/>
      <c r="F62" s="56"/>
      <c r="G62" s="34"/>
      <c r="H62" s="35"/>
      <c r="I62" s="35"/>
      <c r="J62" s="35"/>
      <c r="K62" s="35"/>
      <c r="L62" s="35"/>
      <c r="M62" s="70" t="str">
        <f t="shared" si="0"/>
        <v/>
      </c>
      <c r="N62" s="65" t="str">
        <f t="shared" si="1"/>
        <v/>
      </c>
      <c r="O62" s="21"/>
      <c r="P62" s="21"/>
      <c r="Q62" s="21"/>
      <c r="R62" s="21"/>
      <c r="S62" s="4"/>
      <c r="T62" s="6"/>
      <c r="U62" s="1"/>
      <c r="V62" s="1"/>
      <c r="W62" s="1"/>
      <c r="X62" s="1"/>
      <c r="Y62" s="1"/>
      <c r="Z62" s="1"/>
    </row>
    <row r="63" spans="1:26" ht="12" hidden="1" customHeight="1" outlineLevel="1" x14ac:dyDescent="0.25">
      <c r="A63" s="29"/>
      <c r="B63" s="28"/>
      <c r="C63" s="72"/>
      <c r="D63" s="31"/>
      <c r="E63" s="32"/>
      <c r="F63" s="33"/>
      <c r="G63" s="34"/>
      <c r="H63" s="35"/>
      <c r="I63" s="35"/>
      <c r="J63" s="35"/>
      <c r="K63" s="35"/>
      <c r="L63" s="35"/>
      <c r="M63" s="70"/>
      <c r="N63" s="36"/>
      <c r="O63" s="21"/>
      <c r="P63" s="21"/>
      <c r="Q63" s="21"/>
      <c r="R63" s="21"/>
      <c r="S63" s="4"/>
      <c r="T63" s="6"/>
      <c r="U63" s="1"/>
      <c r="V63" s="1"/>
      <c r="W63" s="1"/>
      <c r="X63" s="1"/>
      <c r="Y63" s="1"/>
      <c r="Z63" s="1"/>
    </row>
    <row r="64" spans="1:26" ht="13.5" customHeight="1" outlineLevel="1" x14ac:dyDescent="0.25">
      <c r="A64" s="29"/>
      <c r="B64" s="1"/>
      <c r="C64" s="159" t="s">
        <v>86</v>
      </c>
      <c r="D64" s="160"/>
      <c r="E64" s="160"/>
      <c r="F64" s="160"/>
      <c r="G64" s="160"/>
      <c r="H64" s="160"/>
      <c r="I64" s="160"/>
      <c r="J64" s="160"/>
      <c r="K64" s="160"/>
      <c r="L64" s="160"/>
      <c r="M64" s="160"/>
      <c r="N64" s="66">
        <f>SUM(N57:N63)</f>
        <v>232934487.5</v>
      </c>
      <c r="O64" s="37"/>
      <c r="P64" s="37"/>
      <c r="Q64" s="37"/>
      <c r="R64" s="37"/>
      <c r="S64" s="4"/>
      <c r="T64" s="6"/>
      <c r="U64" s="1"/>
      <c r="V64" s="1"/>
      <c r="W64" s="1"/>
      <c r="X64" s="1"/>
      <c r="Y64" s="1"/>
      <c r="Z64" s="1"/>
    </row>
    <row r="65" spans="1:26" ht="12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4"/>
      <c r="T65" s="6"/>
      <c r="U65" s="1"/>
      <c r="V65" s="1"/>
      <c r="W65" s="1"/>
      <c r="X65" s="1"/>
      <c r="Y65" s="1"/>
      <c r="Z65" s="1"/>
    </row>
    <row r="66" spans="1:26" ht="15" customHeight="1" x14ac:dyDescent="0.25">
      <c r="A66" s="12"/>
      <c r="B66" s="12"/>
      <c r="C66" s="12"/>
      <c r="D66" s="12"/>
      <c r="E66" s="12"/>
      <c r="F66" s="12"/>
      <c r="G66" s="12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2" customHeight="1" x14ac:dyDescent="0.25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9"/>
      <c r="U67" s="38"/>
      <c r="V67" s="38"/>
      <c r="W67" s="38"/>
      <c r="X67" s="38"/>
      <c r="Y67" s="38"/>
      <c r="Z67" s="38"/>
    </row>
    <row r="68" spans="1:26" ht="12" customHeight="1" x14ac:dyDescent="0.25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9"/>
      <c r="U68" s="38"/>
      <c r="V68" s="38"/>
      <c r="W68" s="38"/>
      <c r="X68" s="38"/>
      <c r="Y68" s="38"/>
      <c r="Z68" s="38"/>
    </row>
    <row r="69" spans="1:26" ht="12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"/>
      <c r="U69" s="1"/>
      <c r="V69" s="1"/>
      <c r="W69" s="1"/>
      <c r="X69" s="1"/>
      <c r="Y69" s="1"/>
      <c r="Z69" s="1"/>
    </row>
    <row r="70" spans="1:26" ht="12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4"/>
      <c r="U70" s="1"/>
      <c r="V70" s="1"/>
      <c r="W70" s="1"/>
      <c r="X70" s="1"/>
      <c r="Y70" s="1"/>
      <c r="Z70" s="1"/>
    </row>
    <row r="71" spans="1:26" ht="12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4"/>
      <c r="U71" s="1"/>
      <c r="V71" s="1"/>
      <c r="W71" s="1"/>
      <c r="X71" s="1"/>
      <c r="Y71" s="1"/>
      <c r="Z71" s="1"/>
    </row>
    <row r="72" spans="1:26" ht="12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4"/>
      <c r="U72" s="1"/>
      <c r="V72" s="1"/>
      <c r="W72" s="1"/>
      <c r="X72" s="1"/>
      <c r="Y72" s="1"/>
      <c r="Z72" s="1"/>
    </row>
    <row r="73" spans="1:26" ht="12" customHeight="1" x14ac:dyDescent="0.25">
      <c r="A73" s="1"/>
      <c r="B73" s="1"/>
      <c r="C73" s="5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4"/>
      <c r="U73" s="1"/>
      <c r="V73" s="1"/>
      <c r="W73" s="1"/>
      <c r="X73" s="1"/>
      <c r="Y73" s="1"/>
      <c r="Z73" s="1"/>
    </row>
  </sheetData>
  <mergeCells count="83">
    <mergeCell ref="A1:N1"/>
    <mergeCell ref="A2:N2"/>
    <mergeCell ref="A3:N3"/>
    <mergeCell ref="A4:N4"/>
    <mergeCell ref="A5:D5"/>
    <mergeCell ref="F5:G9"/>
    <mergeCell ref="H5:J9"/>
    <mergeCell ref="K5:M5"/>
    <mergeCell ref="A6:D6"/>
    <mergeCell ref="K6:M6"/>
    <mergeCell ref="A7:D7"/>
    <mergeCell ref="K7:M7"/>
    <mergeCell ref="A8:D8"/>
    <mergeCell ref="K8:M8"/>
    <mergeCell ref="A9:D9"/>
    <mergeCell ref="K9:M9"/>
    <mergeCell ref="A16:B20"/>
    <mergeCell ref="C16:C17"/>
    <mergeCell ref="D16:E17"/>
    <mergeCell ref="F16:H16"/>
    <mergeCell ref="J16:J17"/>
    <mergeCell ref="A11:C11"/>
    <mergeCell ref="A13:N14"/>
    <mergeCell ref="A15:B15"/>
    <mergeCell ref="C15:E15"/>
    <mergeCell ref="F15:N15"/>
    <mergeCell ref="K16:N17"/>
    <mergeCell ref="F17:H17"/>
    <mergeCell ref="C18:C19"/>
    <mergeCell ref="D18:E19"/>
    <mergeCell ref="F18:H18"/>
    <mergeCell ref="J18:N20"/>
    <mergeCell ref="F19:H19"/>
    <mergeCell ref="D20:E20"/>
    <mergeCell ref="F20:H20"/>
    <mergeCell ref="C22:H22"/>
    <mergeCell ref="I22:J22"/>
    <mergeCell ref="K22:N22"/>
    <mergeCell ref="C23:F23"/>
    <mergeCell ref="G23:H23"/>
    <mergeCell ref="I23:J23"/>
    <mergeCell ref="K23:N23"/>
    <mergeCell ref="C24:F24"/>
    <mergeCell ref="G24:H24"/>
    <mergeCell ref="I24:J24"/>
    <mergeCell ref="K24:N24"/>
    <mergeCell ref="C25:F25"/>
    <mergeCell ref="G25:H25"/>
    <mergeCell ref="I25:J25"/>
    <mergeCell ref="M25:N25"/>
    <mergeCell ref="C34:H34"/>
    <mergeCell ref="C26:H26"/>
    <mergeCell ref="D27:E27"/>
    <mergeCell ref="F27:G27"/>
    <mergeCell ref="D28:E28"/>
    <mergeCell ref="F28:G28"/>
    <mergeCell ref="G29:H29"/>
    <mergeCell ref="C31:H31"/>
    <mergeCell ref="C32:F32"/>
    <mergeCell ref="G32:H32"/>
    <mergeCell ref="C33:F33"/>
    <mergeCell ref="G33:H33"/>
    <mergeCell ref="C43:G43"/>
    <mergeCell ref="C35:F35"/>
    <mergeCell ref="G35:H35"/>
    <mergeCell ref="C36:F36"/>
    <mergeCell ref="G36:H36"/>
    <mergeCell ref="C37:F37"/>
    <mergeCell ref="G37:H37"/>
    <mergeCell ref="C38:F38"/>
    <mergeCell ref="G38:H38"/>
    <mergeCell ref="C39:G39"/>
    <mergeCell ref="C40:G40"/>
    <mergeCell ref="C42:H42"/>
    <mergeCell ref="C54:N54"/>
    <mergeCell ref="C55:N55"/>
    <mergeCell ref="C64:M64"/>
    <mergeCell ref="C44:G44"/>
    <mergeCell ref="C45:G45"/>
    <mergeCell ref="C46:G46"/>
    <mergeCell ref="C49:H49"/>
    <mergeCell ref="C50:G50"/>
    <mergeCell ref="C51:G51"/>
  </mergeCells>
  <conditionalFormatting sqref="G24:H24">
    <cfRule type="cellIs" dxfId="23" priority="2" operator="equal">
      <formula>""</formula>
    </cfRule>
  </conditionalFormatting>
  <conditionalFormatting sqref="O16:R20 J18">
    <cfRule type="cellIs" dxfId="22" priority="1" operator="equal">
      <formula>"CUMPLE"</formula>
    </cfRule>
  </conditionalFormatting>
  <dataValidations count="4">
    <dataValidation type="list" allowBlank="1" showErrorMessage="1" sqref="H28" xr:uid="{00000000-0002-0000-0500-000000000000}">
      <formula1>"VIGENTE,SIN VIGENCIA,NO APORTA,N/A"</formula1>
    </dataValidation>
    <dataValidation type="decimal" operator="greaterThan" allowBlank="1" showErrorMessage="1" sqref="G24" xr:uid="{00000000-0002-0000-0500-000001000000}">
      <formula1>0</formula1>
    </dataValidation>
    <dataValidation type="list" allowBlank="1" showErrorMessage="1" sqref="H27" xr:uid="{00000000-0002-0000-0500-000002000000}">
      <formula1>"VIGENTE,SIN VIGENCIA,NO APORTA"</formula1>
    </dataValidation>
    <dataValidation type="list" allowBlank="1" showErrorMessage="1" sqref="G23" xr:uid="{00000000-0002-0000-0500-000003000000}">
      <formula1>$S$5:$S$6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284"/>
  <sheetViews>
    <sheetView topLeftCell="A57" zoomScale="90" zoomScaleNormal="90" workbookViewId="0">
      <selection activeCell="N74" sqref="N74"/>
    </sheetView>
  </sheetViews>
  <sheetFormatPr baseColWidth="10" defaultColWidth="14.42578125" defaultRowHeight="15" outlineLevelRow="1" x14ac:dyDescent="0.25"/>
  <cols>
    <col min="1" max="1" width="4.7109375" customWidth="1"/>
    <col min="2" max="2" width="4.85546875" customWidth="1"/>
    <col min="3" max="3" width="18.5703125" customWidth="1"/>
    <col min="4" max="4" width="18" customWidth="1"/>
    <col min="5" max="5" width="19.7109375" customWidth="1"/>
    <col min="6" max="7" width="18" customWidth="1"/>
    <col min="8" max="8" width="20.85546875" customWidth="1"/>
    <col min="9" max="10" width="16.140625" customWidth="1"/>
    <col min="11" max="12" width="14.7109375" customWidth="1"/>
    <col min="13" max="13" width="13.85546875" customWidth="1"/>
    <col min="14" max="14" width="19.42578125" customWidth="1"/>
    <col min="15" max="18" width="20" customWidth="1"/>
    <col min="19" max="19" width="8.28515625" hidden="1" customWidth="1"/>
    <col min="20" max="23" width="11.42578125" customWidth="1"/>
    <col min="24" max="24" width="17" customWidth="1"/>
    <col min="25" max="26" width="11.42578125" customWidth="1"/>
  </cols>
  <sheetData>
    <row r="1" spans="1:26" ht="22.5" customHeight="1" x14ac:dyDescent="0.25">
      <c r="A1" s="163" t="s">
        <v>21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5"/>
      <c r="S1" s="2"/>
      <c r="T1" s="2"/>
      <c r="U1" s="2"/>
      <c r="V1" s="2"/>
      <c r="W1" s="2"/>
      <c r="X1" s="1"/>
      <c r="Y1" s="1"/>
      <c r="Z1" s="1"/>
    </row>
    <row r="2" spans="1:26" ht="22.5" customHeight="1" x14ac:dyDescent="0.25">
      <c r="A2" s="163" t="str">
        <f>'DATOS INICIALES'!B1</f>
        <v>LICITACIÓN PÚBLICA SAB-05-009-24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5"/>
      <c r="S2" s="2"/>
      <c r="T2" s="2"/>
      <c r="U2" s="2"/>
      <c r="V2" s="2"/>
      <c r="W2" s="2"/>
      <c r="X2" s="1"/>
      <c r="Y2" s="1"/>
      <c r="Z2" s="1"/>
    </row>
    <row r="3" spans="1:26" ht="22.5" customHeight="1" x14ac:dyDescent="0.25">
      <c r="A3" s="163" t="str">
        <f>'DATOS INICIALES'!B2</f>
        <v>RECUPERACIÓN, MANTENIMIENTO, ADECUACIONES Y OBRAS COMPLEMENTARIAS DE LAS SEDES ADMINISTRATIVAS Y BIENES DE USO PUBLICO DEL MUNICIPIO DE SABANETA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5"/>
      <c r="S3" s="2"/>
      <c r="T3" s="2"/>
      <c r="U3" s="2"/>
      <c r="V3" s="2"/>
      <c r="W3" s="2"/>
      <c r="X3" s="1"/>
      <c r="Y3" s="1"/>
      <c r="Z3" s="1"/>
    </row>
    <row r="4" spans="1:26" ht="22.5" customHeight="1" x14ac:dyDescent="0.25">
      <c r="A4" s="163" t="s">
        <v>102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5"/>
      <c r="S4" s="3"/>
      <c r="T4" s="4"/>
      <c r="U4" s="5"/>
      <c r="V4" s="5"/>
      <c r="W4" s="5"/>
      <c r="X4" s="1"/>
      <c r="Y4" s="1"/>
      <c r="Z4" s="1"/>
    </row>
    <row r="5" spans="1:26" ht="23.25" customHeight="1" x14ac:dyDescent="0.25">
      <c r="A5" s="159" t="s">
        <v>22</v>
      </c>
      <c r="B5" s="160"/>
      <c r="C5" s="160"/>
      <c r="D5" s="160"/>
      <c r="E5" s="40">
        <f>'DATOS INICIALES'!B3</f>
        <v>1169500932</v>
      </c>
      <c r="F5" s="166"/>
      <c r="G5" s="160"/>
      <c r="H5" s="167" t="s">
        <v>124</v>
      </c>
      <c r="I5" s="160"/>
      <c r="J5" s="160"/>
      <c r="K5" s="162" t="s">
        <v>23</v>
      </c>
      <c r="L5" s="162"/>
      <c r="M5" s="160"/>
      <c r="N5" s="7" t="s">
        <v>24</v>
      </c>
      <c r="O5" s="6"/>
      <c r="P5" s="6"/>
      <c r="Q5" s="6"/>
      <c r="R5" s="6"/>
      <c r="S5" s="5" t="s">
        <v>25</v>
      </c>
      <c r="T5" s="5"/>
      <c r="U5" s="5"/>
      <c r="V5" s="5"/>
      <c r="W5" s="5"/>
      <c r="X5" s="5"/>
      <c r="Y5" s="5"/>
      <c r="Z5" s="5"/>
    </row>
    <row r="6" spans="1:26" ht="15.75" customHeight="1" x14ac:dyDescent="0.25">
      <c r="A6" s="159" t="s">
        <v>106</v>
      </c>
      <c r="B6" s="160"/>
      <c r="C6" s="160"/>
      <c r="D6" s="160"/>
      <c r="E6" s="8">
        <f>'DATOS INICIALES'!B5</f>
        <v>45568</v>
      </c>
      <c r="F6" s="160"/>
      <c r="G6" s="160"/>
      <c r="H6" s="168"/>
      <c r="I6" s="168"/>
      <c r="J6" s="168"/>
      <c r="K6" s="161" t="s">
        <v>26</v>
      </c>
      <c r="L6" s="161"/>
      <c r="M6" s="160"/>
      <c r="N6" s="70">
        <v>120</v>
      </c>
      <c r="O6" s="4"/>
      <c r="P6" s="4"/>
      <c r="Q6" s="4"/>
      <c r="R6" s="4"/>
      <c r="S6" s="5" t="s">
        <v>27</v>
      </c>
      <c r="T6" s="5"/>
      <c r="U6" s="5"/>
      <c r="V6" s="5"/>
      <c r="W6" s="5"/>
      <c r="X6" s="5"/>
      <c r="Y6" s="5"/>
      <c r="Z6" s="5"/>
    </row>
    <row r="7" spans="1:26" ht="15.75" customHeight="1" x14ac:dyDescent="0.25">
      <c r="A7" s="159" t="s">
        <v>28</v>
      </c>
      <c r="B7" s="160"/>
      <c r="C7" s="160"/>
      <c r="D7" s="160"/>
      <c r="E7" s="9">
        <v>0</v>
      </c>
      <c r="F7" s="160"/>
      <c r="G7" s="160"/>
      <c r="H7" s="168"/>
      <c r="I7" s="168"/>
      <c r="J7" s="168"/>
      <c r="K7" s="161" t="s">
        <v>29</v>
      </c>
      <c r="L7" s="161"/>
      <c r="M7" s="160"/>
      <c r="N7" s="70">
        <v>40</v>
      </c>
      <c r="O7" s="4"/>
      <c r="P7" s="4"/>
      <c r="Q7" s="4"/>
      <c r="R7" s="4"/>
      <c r="S7" s="4"/>
      <c r="T7" s="5"/>
      <c r="U7" s="5"/>
      <c r="V7" s="5"/>
      <c r="W7" s="5"/>
      <c r="X7" s="5"/>
      <c r="Y7" s="5"/>
      <c r="Z7" s="5"/>
    </row>
    <row r="8" spans="1:26" ht="15.75" customHeight="1" x14ac:dyDescent="0.25">
      <c r="A8" s="159" t="s">
        <v>30</v>
      </c>
      <c r="B8" s="160"/>
      <c r="C8" s="160"/>
      <c r="D8" s="160"/>
      <c r="E8" s="117">
        <f>'DATOS INICIALES'!B4</f>
        <v>2</v>
      </c>
      <c r="F8" s="160"/>
      <c r="G8" s="160"/>
      <c r="H8" s="168"/>
      <c r="I8" s="168"/>
      <c r="J8" s="168"/>
      <c r="K8" s="161" t="s">
        <v>31</v>
      </c>
      <c r="L8" s="161"/>
      <c r="M8" s="160"/>
      <c r="N8" s="70">
        <v>40</v>
      </c>
      <c r="O8" s="4"/>
      <c r="P8" s="4"/>
      <c r="Q8" s="4"/>
      <c r="R8" s="4"/>
      <c r="S8" s="4"/>
      <c r="T8" s="5"/>
      <c r="U8" s="5"/>
      <c r="V8" s="5"/>
      <c r="W8" s="5"/>
      <c r="X8" s="5"/>
      <c r="Y8" s="5"/>
      <c r="Z8" s="5"/>
    </row>
    <row r="9" spans="1:26" ht="15.75" customHeight="1" x14ac:dyDescent="0.25">
      <c r="A9" s="159" t="s">
        <v>32</v>
      </c>
      <c r="B9" s="160"/>
      <c r="C9" s="160"/>
      <c r="D9" s="160"/>
      <c r="E9" s="68">
        <f>IF(E8&lt;12,E5-E7*E5,(E5-E7*E5)/E8*12)</f>
        <v>1169500932</v>
      </c>
      <c r="F9" s="160"/>
      <c r="G9" s="160"/>
      <c r="H9" s="160"/>
      <c r="I9" s="160"/>
      <c r="J9" s="160"/>
      <c r="K9" s="162" t="s">
        <v>33</v>
      </c>
      <c r="L9" s="162"/>
      <c r="M9" s="160"/>
      <c r="N9" s="7">
        <v>200</v>
      </c>
      <c r="O9" s="6"/>
      <c r="P9" s="6"/>
      <c r="Q9" s="6"/>
      <c r="R9" s="6"/>
      <c r="S9" s="4"/>
      <c r="T9" s="5"/>
      <c r="U9" s="5"/>
      <c r="V9" s="5"/>
      <c r="W9" s="5"/>
      <c r="X9" s="5"/>
      <c r="Y9" s="5"/>
      <c r="Z9" s="5"/>
    </row>
    <row r="10" spans="1:26" ht="12" customHeight="1" thickBot="1" x14ac:dyDescent="0.3">
      <c r="A10" s="6"/>
      <c r="B10" s="6"/>
      <c r="C10" s="6"/>
      <c r="D10" s="6"/>
      <c r="E10" s="11"/>
      <c r="F10" s="6"/>
      <c r="G10" s="6"/>
      <c r="H10" s="6"/>
      <c r="I10" s="6"/>
      <c r="J10" s="6"/>
      <c r="K10" s="6"/>
      <c r="L10" s="6"/>
      <c r="M10" s="5"/>
      <c r="N10" s="5"/>
      <c r="O10" s="5"/>
      <c r="P10" s="5"/>
      <c r="Q10" s="5"/>
      <c r="R10" s="5"/>
      <c r="S10" s="6"/>
      <c r="T10" s="4"/>
      <c r="U10" s="5"/>
      <c r="V10" s="5"/>
      <c r="W10" s="5"/>
      <c r="X10" s="5"/>
      <c r="Y10" s="5"/>
      <c r="Z10" s="5"/>
    </row>
    <row r="11" spans="1:26" ht="12" customHeight="1" thickBot="1" x14ac:dyDescent="0.3">
      <c r="A11" s="169" t="s">
        <v>94</v>
      </c>
      <c r="B11" s="170"/>
      <c r="C11" s="171"/>
      <c r="D11" s="6"/>
      <c r="E11" s="55"/>
      <c r="F11" s="6"/>
      <c r="G11" s="6"/>
      <c r="H11" s="6"/>
      <c r="I11" s="6"/>
      <c r="J11" s="6"/>
      <c r="K11" s="6"/>
      <c r="L11" s="6"/>
      <c r="M11" s="5"/>
      <c r="N11" s="5"/>
      <c r="O11" s="5"/>
      <c r="P11" s="5"/>
      <c r="Q11" s="5"/>
      <c r="R11" s="5"/>
      <c r="S11" s="6"/>
      <c r="T11" s="4"/>
      <c r="U11" s="5"/>
      <c r="V11" s="5"/>
      <c r="W11" s="5"/>
      <c r="X11" s="5"/>
      <c r="Y11" s="5"/>
      <c r="Z11" s="5"/>
    </row>
    <row r="12" spans="1:26" ht="12" customHeight="1" x14ac:dyDescent="0.25">
      <c r="A12" s="6"/>
      <c r="B12" s="6"/>
      <c r="C12" s="6"/>
      <c r="D12" s="6"/>
      <c r="E12" s="11"/>
      <c r="F12" s="6"/>
      <c r="G12" s="6"/>
      <c r="H12" s="6"/>
      <c r="I12" s="6"/>
      <c r="J12" s="6"/>
      <c r="K12" s="6"/>
      <c r="L12" s="6"/>
      <c r="M12" s="5"/>
      <c r="N12" s="5"/>
      <c r="O12" s="5"/>
      <c r="P12" s="5"/>
      <c r="Q12" s="5"/>
      <c r="R12" s="5"/>
      <c r="S12" s="6"/>
      <c r="T12" s="4"/>
      <c r="U12" s="5"/>
      <c r="V12" s="5"/>
      <c r="W12" s="5"/>
      <c r="X12" s="5"/>
      <c r="Y12" s="5"/>
      <c r="Z12" s="5"/>
    </row>
    <row r="13" spans="1:26" ht="12" customHeight="1" x14ac:dyDescent="0.25">
      <c r="A13" s="172" t="str">
        <f>"Se considerará HÁBIL el proponente que presente una CR igual o superior a "&amp;TEXT(E9,"$#.##0")</f>
        <v>Se considerará HÁBIL el proponente que presente una CR igual o superior a $1.169.500.932</v>
      </c>
      <c r="B13" s="172"/>
      <c r="C13" s="172"/>
      <c r="D13" s="172"/>
      <c r="E13" s="172"/>
      <c r="F13" s="172"/>
      <c r="G13" s="172"/>
      <c r="H13" s="172"/>
      <c r="I13" s="172"/>
      <c r="J13" s="172"/>
      <c r="K13" s="172"/>
      <c r="L13" s="172"/>
      <c r="M13" s="172"/>
      <c r="N13" s="172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25">
      <c r="A14" s="172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" customHeight="1" x14ac:dyDescent="0.25">
      <c r="A15" s="173" t="s">
        <v>95</v>
      </c>
      <c r="B15" s="173"/>
      <c r="C15" s="174" t="s">
        <v>109</v>
      </c>
      <c r="D15" s="174"/>
      <c r="E15" s="174"/>
      <c r="F15" s="175" t="s">
        <v>110</v>
      </c>
      <c r="G15" s="173"/>
      <c r="H15" s="173"/>
      <c r="I15" s="173"/>
      <c r="J15" s="173"/>
      <c r="K15" s="173"/>
      <c r="L15" s="173"/>
      <c r="M15" s="173"/>
      <c r="N15" s="176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" customHeight="1" x14ac:dyDescent="0.25">
      <c r="A16" s="174">
        <v>4</v>
      </c>
      <c r="B16" s="174"/>
      <c r="C16" s="177" t="s">
        <v>91</v>
      </c>
      <c r="D16" s="178" t="str">
        <f>VLOOKUP(A16,'CAPACIDAD RESIDUAL'!$A$6:$D$304,2,FALSE)</f>
        <v>CONSORCIO MANTENIMIENTOS 2024</v>
      </c>
      <c r="E16" s="178"/>
      <c r="F16" s="174" t="str">
        <f>$C$38</f>
        <v>Capacidad de Organización (CO)</v>
      </c>
      <c r="G16" s="174"/>
      <c r="H16" s="174"/>
      <c r="I16" s="54" t="s">
        <v>122</v>
      </c>
      <c r="J16" s="174" t="s">
        <v>88</v>
      </c>
      <c r="K16" s="183">
        <f>N29</f>
        <v>30177612034.033333</v>
      </c>
      <c r="L16" s="184"/>
      <c r="M16" s="184"/>
      <c r="N16" s="18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" customHeight="1" x14ac:dyDescent="0.25">
      <c r="A17" s="174"/>
      <c r="B17" s="174"/>
      <c r="C17" s="177"/>
      <c r="D17" s="178"/>
      <c r="E17" s="178"/>
      <c r="F17" s="174" t="str">
        <f>$C$47</f>
        <v>Experiencia (E)</v>
      </c>
      <c r="G17" s="174"/>
      <c r="H17" s="174"/>
      <c r="I17" s="54" t="s">
        <v>122</v>
      </c>
      <c r="J17" s="174"/>
      <c r="K17" s="186"/>
      <c r="L17" s="187"/>
      <c r="M17" s="187"/>
      <c r="N17" s="188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" customHeight="1" x14ac:dyDescent="0.25">
      <c r="A18" s="174"/>
      <c r="B18" s="174"/>
      <c r="C18" s="189" t="s">
        <v>111</v>
      </c>
      <c r="D18" s="190">
        <v>2</v>
      </c>
      <c r="E18" s="190"/>
      <c r="F18" s="174" t="str">
        <f>$C$58</f>
        <v>Capacidad Financiera (CF)</v>
      </c>
      <c r="G18" s="174"/>
      <c r="H18" s="174"/>
      <c r="I18" s="54" t="s">
        <v>122</v>
      </c>
      <c r="J18" s="191" t="str">
        <f>IF(K16&gt;$E$9,"CUMPLE","NO CUMPLE")</f>
        <v>CUMPLE</v>
      </c>
      <c r="K18" s="191"/>
      <c r="L18" s="191"/>
      <c r="M18" s="191"/>
      <c r="N18" s="19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" customHeight="1" x14ac:dyDescent="0.25">
      <c r="A19" s="174"/>
      <c r="B19" s="174"/>
      <c r="C19" s="189"/>
      <c r="D19" s="190"/>
      <c r="E19" s="190"/>
      <c r="F19" s="174" t="str">
        <f>$C$65</f>
        <v>Capacidad Técnica (CT)</v>
      </c>
      <c r="G19" s="174"/>
      <c r="H19" s="174"/>
      <c r="I19" s="54" t="s">
        <v>122</v>
      </c>
      <c r="J19" s="191"/>
      <c r="K19" s="191"/>
      <c r="L19" s="191"/>
      <c r="M19" s="191"/>
      <c r="N19" s="191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" customHeight="1" x14ac:dyDescent="0.25">
      <c r="A20" s="174"/>
      <c r="B20" s="174"/>
      <c r="C20" s="76" t="s">
        <v>93</v>
      </c>
      <c r="D20" s="192">
        <f>F29</f>
        <v>1</v>
      </c>
      <c r="E20" s="192"/>
      <c r="F20" s="178" t="str">
        <f>$C$70</f>
        <v>Saldo de los Contratos en Ejecución (SCE)</v>
      </c>
      <c r="G20" s="178"/>
      <c r="H20" s="178"/>
      <c r="I20" s="54" t="s">
        <v>122</v>
      </c>
      <c r="J20" s="191"/>
      <c r="K20" s="191"/>
      <c r="L20" s="191"/>
      <c r="M20" s="191"/>
      <c r="N20" s="191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24" customHeight="1" x14ac:dyDescent="0.25">
      <c r="A22" s="172" t="s">
        <v>120</v>
      </c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  <c r="M22" s="172"/>
      <c r="N22" s="172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" customHeight="1" x14ac:dyDescent="0.25">
      <c r="A23" s="174" t="s">
        <v>95</v>
      </c>
      <c r="B23" s="174"/>
      <c r="C23" s="174" t="s">
        <v>121</v>
      </c>
      <c r="D23" s="174"/>
      <c r="E23" s="74" t="s">
        <v>3</v>
      </c>
      <c r="F23" s="74" t="s">
        <v>112</v>
      </c>
      <c r="G23" s="74" t="s">
        <v>114</v>
      </c>
      <c r="H23" s="74" t="s">
        <v>115</v>
      </c>
      <c r="I23" s="74" t="s">
        <v>116</v>
      </c>
      <c r="J23" s="74" t="s">
        <v>117</v>
      </c>
      <c r="K23" s="175" t="s">
        <v>118</v>
      </c>
      <c r="L23" s="173"/>
      <c r="M23" s="176"/>
      <c r="N23" s="74" t="s">
        <v>119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6.25" customHeight="1" x14ac:dyDescent="0.25">
      <c r="A24" s="179" t="str">
        <f>IF(A16+D18/10&gt;=A16+(D18-(D18-1))/10,CONCATENATE(A16,".",1),"N/A")</f>
        <v>4.1</v>
      </c>
      <c r="B24" s="179"/>
      <c r="C24" s="179" t="str">
        <f>IF(A24="N/A","",D32)</f>
        <v>ERNEY CASTAÑO GONZALEZ</v>
      </c>
      <c r="D24" s="179"/>
      <c r="E24" s="75" t="str">
        <f>IF(A24="N/A","",D34)</f>
        <v>15.438.736-8</v>
      </c>
      <c r="F24" s="62">
        <f>IF(A24="N/A","",D36)</f>
        <v>0.3</v>
      </c>
      <c r="G24" s="63">
        <f>IF(A24="N/A","",I32)</f>
        <v>10789469941</v>
      </c>
      <c r="H24" s="64">
        <f>IF(A24="N/A","",I33)</f>
        <v>120</v>
      </c>
      <c r="I24" s="64">
        <f>IF(A24="N/A","",I34)</f>
        <v>40</v>
      </c>
      <c r="J24" s="64">
        <f>IF(A24="N/A","",I35)</f>
        <v>20</v>
      </c>
      <c r="K24" s="180">
        <f>IF(A24="N/A","",I36)</f>
        <v>426669512.66666669</v>
      </c>
      <c r="L24" s="181"/>
      <c r="M24" s="182"/>
      <c r="N24" s="63">
        <f>IF(A24="N/A","",K32)</f>
        <v>18994376381.133331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6.25" customHeight="1" x14ac:dyDescent="0.25">
      <c r="A25" s="179" t="str">
        <f>IF(A16+D18/10&gt;=A16+(D18-(D18-2))/10,CONCATENATE(A16,".",2),"N/A")</f>
        <v>4.2</v>
      </c>
      <c r="B25" s="179"/>
      <c r="C25" s="179" t="str">
        <f>IF(A25="N/A","",D83)</f>
        <v>M3 GRUPO EMPRESARIAL S.A.S</v>
      </c>
      <c r="D25" s="179"/>
      <c r="E25" s="75" t="str">
        <f>IF(A25="N/A","",D85)</f>
        <v>901.126.277-3</v>
      </c>
      <c r="F25" s="62">
        <f>IF(A25="N/A","",D87)</f>
        <v>0.7</v>
      </c>
      <c r="G25" s="63">
        <f>IF(A25="N/A","",I83)</f>
        <v>7046745183</v>
      </c>
      <c r="H25" s="64">
        <f>IF(A25="N/A","",I84)</f>
        <v>120</v>
      </c>
      <c r="I25" s="64">
        <f>IF(A25="N/A","",I85)</f>
        <v>40</v>
      </c>
      <c r="J25" s="64">
        <f>IF(A25="N/A","",I86)</f>
        <v>30</v>
      </c>
      <c r="K25" s="180">
        <f>IF(A25="N/A","",I87)</f>
        <v>2205580194.8000002</v>
      </c>
      <c r="L25" s="181"/>
      <c r="M25" s="182"/>
      <c r="N25" s="63">
        <f>IF(A25="N/A","",K83)</f>
        <v>11183235652.900002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6.25" customHeight="1" x14ac:dyDescent="0.25">
      <c r="A26" s="179" t="str">
        <f>IF(A16+D18/10&gt;=A16+(D18-(D18-3))/10,CONCATENATE(A16,".",3),"N/A")</f>
        <v>N/A</v>
      </c>
      <c r="B26" s="179"/>
      <c r="C26" s="179" t="str">
        <f>IF(A26="N/A","",D134)</f>
        <v/>
      </c>
      <c r="D26" s="179"/>
      <c r="E26" s="75" t="str">
        <f>IF(A26="N/A","",D136)</f>
        <v/>
      </c>
      <c r="F26" s="62" t="str">
        <f>IF(A26="N/A","",D138)</f>
        <v/>
      </c>
      <c r="G26" s="63" t="str">
        <f>IF(A26="N/A","",I134)</f>
        <v/>
      </c>
      <c r="H26" s="64" t="str">
        <f>IF(A26="N/A","",I135)</f>
        <v/>
      </c>
      <c r="I26" s="64" t="str">
        <f>IF(A26="N/A","",I136)</f>
        <v/>
      </c>
      <c r="J26" s="64" t="str">
        <f>IF(A26="N/A","",I137)</f>
        <v/>
      </c>
      <c r="K26" s="180" t="str">
        <f>IF(A26="N/A","",I138)</f>
        <v/>
      </c>
      <c r="L26" s="181"/>
      <c r="M26" s="182"/>
      <c r="N26" s="63" t="str">
        <f>IF(A26="N/A","",K134)</f>
        <v/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26.25" customHeight="1" x14ac:dyDescent="0.25">
      <c r="A27" s="179" t="str">
        <f>IF(A16+D18/10&gt;=A16+(D18-(D18-4))/10,CONCATENATE(A16,".",4),"N/A")</f>
        <v>N/A</v>
      </c>
      <c r="B27" s="179"/>
      <c r="C27" s="179" t="str">
        <f>IF(A27="N/A","",D185)</f>
        <v/>
      </c>
      <c r="D27" s="179"/>
      <c r="E27" s="75" t="str">
        <f>IF(A27="N/A","",D187)</f>
        <v/>
      </c>
      <c r="F27" s="62" t="str">
        <f>IF(A27="N/A","",D189)</f>
        <v/>
      </c>
      <c r="G27" s="63" t="str">
        <f>IF(A27="N/A","",I185)</f>
        <v/>
      </c>
      <c r="H27" s="64" t="str">
        <f>IF(A27="N/A","",I186)</f>
        <v/>
      </c>
      <c r="I27" s="64" t="str">
        <f>IF(A27="N/A","",I187)</f>
        <v/>
      </c>
      <c r="J27" s="64" t="str">
        <f>IF(A27="N/A","",I188)</f>
        <v/>
      </c>
      <c r="K27" s="180" t="str">
        <f>IF(A27="N/A","",I189)</f>
        <v/>
      </c>
      <c r="L27" s="181"/>
      <c r="M27" s="182"/>
      <c r="N27" s="63" t="str">
        <f>IF(A27="N/A","",K185)</f>
        <v/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26.25" customHeight="1" x14ac:dyDescent="0.25">
      <c r="A28" s="179" t="str">
        <f>IF(A16+D18/10&gt;=A16+(D18-(D18-5))/10,CONCATENATE(A16,".",5),"N/A")</f>
        <v>N/A</v>
      </c>
      <c r="B28" s="179"/>
      <c r="C28" s="179" t="str">
        <f>IF(A28="N/A","",D236)</f>
        <v/>
      </c>
      <c r="D28" s="179"/>
      <c r="E28" s="75" t="str">
        <f>IF(A28="N/A","",D238)</f>
        <v/>
      </c>
      <c r="F28" s="62" t="str">
        <f>IF(A28="N/A","",D240)</f>
        <v/>
      </c>
      <c r="G28" s="63" t="str">
        <f>IF(A28="N/A","",I236)</f>
        <v/>
      </c>
      <c r="H28" s="64" t="str">
        <f>IF(A28="N/A","",I237)</f>
        <v/>
      </c>
      <c r="I28" s="64" t="str">
        <f>IF(A28="N/A","",I238)</f>
        <v/>
      </c>
      <c r="J28" s="64" t="str">
        <f>IF(A28="N/A","",I239)</f>
        <v/>
      </c>
      <c r="K28" s="180" t="str">
        <f>IF(A28="N/A","",I240)</f>
        <v/>
      </c>
      <c r="L28" s="181"/>
      <c r="M28" s="182"/>
      <c r="N28" s="63" t="str">
        <f>IF(A28="N/A","",K236)</f>
        <v/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" customHeight="1" x14ac:dyDescent="0.25">
      <c r="A29" s="193" t="s">
        <v>113</v>
      </c>
      <c r="B29" s="193"/>
      <c r="C29" s="193"/>
      <c r="D29" s="193"/>
      <c r="E29" s="193"/>
      <c r="F29" s="59">
        <f>SUM(F24:F28)</f>
        <v>1</v>
      </c>
      <c r="G29" s="60"/>
      <c r="H29" s="61"/>
      <c r="I29" s="61"/>
      <c r="J29" s="61"/>
      <c r="K29" s="194"/>
      <c r="L29" s="195"/>
      <c r="M29" s="196"/>
      <c r="N29" s="60">
        <f>SUM(N24:N28)</f>
        <v>30177612034.033333</v>
      </c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" customHeight="1" x14ac:dyDescent="0.25">
      <c r="A30" s="43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" customHeight="1" x14ac:dyDescent="0.25">
      <c r="A31" s="197" t="s">
        <v>95</v>
      </c>
      <c r="B31" s="197"/>
      <c r="C31" s="197" t="s">
        <v>96</v>
      </c>
      <c r="D31" s="197"/>
      <c r="E31" s="197"/>
      <c r="F31" s="197" t="s">
        <v>97</v>
      </c>
      <c r="G31" s="197"/>
      <c r="H31" s="197"/>
      <c r="I31" s="197"/>
      <c r="J31" s="197"/>
      <c r="K31" s="197"/>
      <c r="L31" s="197"/>
      <c r="M31" s="197"/>
      <c r="N31" s="197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 x14ac:dyDescent="0.25">
      <c r="A32" s="197" t="str">
        <f>IF(A24="N/A","",A24)</f>
        <v>4.1</v>
      </c>
      <c r="B32" s="197"/>
      <c r="C32" s="198" t="s">
        <v>91</v>
      </c>
      <c r="D32" s="199" t="str">
        <f>VLOOKUP(A32,'CAPACIDAD RESIDUAL'!$A$6:$D$304,2,FALSE)</f>
        <v>ERNEY CASTAÑO GONZALEZ</v>
      </c>
      <c r="E32" s="200"/>
      <c r="F32" s="197" t="str">
        <f>$C$38</f>
        <v>Capacidad de Organización (CO)</v>
      </c>
      <c r="G32" s="197"/>
      <c r="H32" s="197"/>
      <c r="I32" s="58">
        <f>G45</f>
        <v>10789469941</v>
      </c>
      <c r="J32" s="203" t="s">
        <v>88</v>
      </c>
      <c r="K32" s="183">
        <f>I32*(I33+I34+I35)/100-I36</f>
        <v>18994376381.133331</v>
      </c>
      <c r="L32" s="184"/>
      <c r="M32" s="184"/>
      <c r="N32" s="185"/>
      <c r="O32" s="6"/>
      <c r="P32" s="6"/>
      <c r="Q32" s="6"/>
      <c r="R32" s="6"/>
      <c r="S32" s="4"/>
      <c r="T32" s="6"/>
      <c r="U32" s="13"/>
      <c r="V32" s="6"/>
      <c r="W32" s="5"/>
      <c r="X32" s="5"/>
      <c r="Y32" s="5"/>
      <c r="Z32" s="5"/>
    </row>
    <row r="33" spans="1:26" ht="15.75" customHeight="1" x14ac:dyDescent="0.25">
      <c r="A33" s="197"/>
      <c r="B33" s="197"/>
      <c r="C33" s="198"/>
      <c r="D33" s="201"/>
      <c r="E33" s="202"/>
      <c r="F33" s="197" t="str">
        <f>$C$47</f>
        <v>Experiencia (E)</v>
      </c>
      <c r="G33" s="197"/>
      <c r="H33" s="197"/>
      <c r="I33" s="22">
        <f>H56</f>
        <v>120</v>
      </c>
      <c r="J33" s="204"/>
      <c r="K33" s="186"/>
      <c r="L33" s="187"/>
      <c r="M33" s="187"/>
      <c r="N33" s="188"/>
      <c r="O33" s="6"/>
      <c r="P33" s="6"/>
      <c r="Q33" s="6"/>
      <c r="R33" s="6"/>
      <c r="S33" s="4"/>
      <c r="T33" s="6"/>
      <c r="U33" s="13"/>
      <c r="V33" s="6"/>
      <c r="W33" s="5"/>
      <c r="X33" s="5"/>
      <c r="Y33" s="5"/>
      <c r="Z33" s="5"/>
    </row>
    <row r="34" spans="1:26" ht="15.75" customHeight="1" x14ac:dyDescent="0.25">
      <c r="A34" s="197"/>
      <c r="B34" s="197"/>
      <c r="C34" s="198" t="s">
        <v>92</v>
      </c>
      <c r="D34" s="205" t="str">
        <f>VLOOKUP(A32,'CAPACIDAD RESIDUAL'!$A$6:$D$304,3,FALSE)</f>
        <v>15.438.736-8</v>
      </c>
      <c r="E34" s="206"/>
      <c r="F34" s="197" t="str">
        <f>$C$58</f>
        <v>Capacidad Financiera (CF)</v>
      </c>
      <c r="G34" s="197"/>
      <c r="H34" s="197"/>
      <c r="I34" s="22">
        <f>H62</f>
        <v>40</v>
      </c>
      <c r="J34" s="191" t="str">
        <f>IF(K32&gt;$E$9,"CUMPLE","NO CUMPLE")</f>
        <v>CUMPLE</v>
      </c>
      <c r="K34" s="191"/>
      <c r="L34" s="191"/>
      <c r="M34" s="191"/>
      <c r="N34" s="191"/>
      <c r="O34" s="6"/>
      <c r="P34" s="6"/>
      <c r="Q34" s="6"/>
      <c r="R34" s="6"/>
      <c r="S34" s="4"/>
      <c r="T34" s="6"/>
      <c r="U34" s="13"/>
      <c r="V34" s="6"/>
      <c r="W34" s="5"/>
      <c r="X34" s="5"/>
      <c r="Y34" s="5"/>
      <c r="Z34" s="5"/>
    </row>
    <row r="35" spans="1:26" ht="15.75" customHeight="1" x14ac:dyDescent="0.25">
      <c r="A35" s="197"/>
      <c r="B35" s="197"/>
      <c r="C35" s="198"/>
      <c r="D35" s="207"/>
      <c r="E35" s="208"/>
      <c r="F35" s="197" t="str">
        <f>$C$65</f>
        <v>Capacidad Técnica (CT)</v>
      </c>
      <c r="G35" s="197"/>
      <c r="H35" s="197"/>
      <c r="I35" s="22">
        <f>H67</f>
        <v>20</v>
      </c>
      <c r="J35" s="191"/>
      <c r="K35" s="191"/>
      <c r="L35" s="191"/>
      <c r="M35" s="191"/>
      <c r="N35" s="191"/>
      <c r="O35" s="6"/>
      <c r="P35" s="6"/>
      <c r="Q35" s="6"/>
      <c r="R35" s="6"/>
      <c r="S35" s="4"/>
      <c r="T35" s="6"/>
      <c r="U35" s="13"/>
      <c r="V35" s="6"/>
      <c r="W35" s="5"/>
      <c r="X35" s="5"/>
      <c r="Y35" s="5"/>
      <c r="Z35" s="5"/>
    </row>
    <row r="36" spans="1:26" x14ac:dyDescent="0.25">
      <c r="A36" s="197"/>
      <c r="B36" s="197"/>
      <c r="C36" s="73" t="s">
        <v>93</v>
      </c>
      <c r="D36" s="209">
        <f>IF(A32="","",VLOOKUP(A32,'CAPACIDAD RESIDUAL'!$A$6:$D$304,4,FALSE))</f>
        <v>0.3</v>
      </c>
      <c r="E36" s="210"/>
      <c r="F36" s="211" t="str">
        <f>$C$70</f>
        <v>Saldo de los Contratos en Ejecución (SCE)</v>
      </c>
      <c r="G36" s="211"/>
      <c r="H36" s="211"/>
      <c r="I36" s="58">
        <f>N80</f>
        <v>426669512.66666669</v>
      </c>
      <c r="J36" s="191"/>
      <c r="K36" s="191"/>
      <c r="L36" s="191"/>
      <c r="M36" s="191"/>
      <c r="N36" s="191"/>
      <c r="O36" s="6"/>
      <c r="P36" s="6"/>
      <c r="Q36" s="6"/>
      <c r="R36" s="6"/>
      <c r="S36" s="4"/>
      <c r="T36" s="6"/>
      <c r="U36" s="13"/>
      <c r="V36" s="6"/>
      <c r="W36" s="5"/>
      <c r="X36" s="5"/>
      <c r="Y36" s="5"/>
      <c r="Z36" s="5"/>
    </row>
    <row r="37" spans="1:26" outlineLevel="1" x14ac:dyDescent="0.25">
      <c r="A37" s="14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4"/>
      <c r="T37" s="6"/>
      <c r="U37" s="6"/>
      <c r="V37" s="6"/>
      <c r="W37" s="5"/>
      <c r="X37" s="5"/>
      <c r="Y37" s="5"/>
      <c r="Z37" s="5"/>
    </row>
    <row r="38" spans="1:26" ht="12" customHeight="1" outlineLevel="1" x14ac:dyDescent="0.25">
      <c r="A38" s="44"/>
      <c r="C38" s="219" t="s">
        <v>34</v>
      </c>
      <c r="D38" s="160"/>
      <c r="E38" s="160"/>
      <c r="F38" s="160"/>
      <c r="G38" s="160"/>
      <c r="H38" s="160"/>
      <c r="I38" s="220" t="s">
        <v>35</v>
      </c>
      <c r="J38" s="160"/>
      <c r="K38" s="220" t="s">
        <v>36</v>
      </c>
      <c r="L38" s="220"/>
      <c r="M38" s="160"/>
      <c r="N38" s="160"/>
      <c r="O38" s="16"/>
      <c r="P38" s="16"/>
      <c r="Q38" s="16"/>
      <c r="R38" s="16"/>
      <c r="S38" s="4"/>
      <c r="T38" s="6"/>
      <c r="U38" s="6"/>
      <c r="V38" s="6"/>
      <c r="W38" s="5"/>
      <c r="X38" s="5"/>
      <c r="Y38" s="5"/>
      <c r="Z38" s="5"/>
    </row>
    <row r="39" spans="1:26" ht="12.75" customHeight="1" outlineLevel="1" x14ac:dyDescent="0.25">
      <c r="A39" s="17"/>
      <c r="B39" s="6"/>
      <c r="C39" s="161" t="s">
        <v>37</v>
      </c>
      <c r="D39" s="160"/>
      <c r="E39" s="160"/>
      <c r="F39" s="160"/>
      <c r="G39" s="221" t="s">
        <v>27</v>
      </c>
      <c r="H39" s="160"/>
      <c r="I39" s="214" t="s">
        <v>38</v>
      </c>
      <c r="J39" s="160"/>
      <c r="K39" s="214" t="s">
        <v>39</v>
      </c>
      <c r="L39" s="214"/>
      <c r="M39" s="160"/>
      <c r="N39" s="160"/>
      <c r="O39" s="16"/>
      <c r="P39" s="16"/>
      <c r="Q39" s="16"/>
      <c r="R39" s="16"/>
      <c r="S39" s="4"/>
      <c r="T39" s="6"/>
      <c r="U39" s="6"/>
      <c r="V39" s="6"/>
      <c r="W39" s="5"/>
      <c r="X39" s="5"/>
      <c r="Y39" s="5"/>
      <c r="Z39" s="5"/>
    </row>
    <row r="40" spans="1:26" ht="27" customHeight="1" outlineLevel="1" x14ac:dyDescent="0.25">
      <c r="A40" s="17"/>
      <c r="B40" s="6"/>
      <c r="C40" s="161" t="s">
        <v>40</v>
      </c>
      <c r="D40" s="160"/>
      <c r="E40" s="160"/>
      <c r="F40" s="160"/>
      <c r="G40" s="212">
        <v>2022</v>
      </c>
      <c r="H40" s="213"/>
      <c r="I40" s="214" t="s">
        <v>41</v>
      </c>
      <c r="J40" s="160"/>
      <c r="K40" s="214" t="s">
        <v>42</v>
      </c>
      <c r="L40" s="214"/>
      <c r="M40" s="160"/>
      <c r="N40" s="160"/>
      <c r="O40" s="16"/>
      <c r="P40" s="16"/>
      <c r="Q40" s="16"/>
      <c r="R40" s="16"/>
      <c r="S40" s="4"/>
      <c r="T40" s="6"/>
      <c r="U40" s="6"/>
      <c r="V40" s="6"/>
      <c r="W40" s="5"/>
      <c r="X40" s="5"/>
      <c r="Y40" s="5"/>
      <c r="Z40" s="5"/>
    </row>
    <row r="41" spans="1:26" ht="12.75" customHeight="1" outlineLevel="1" x14ac:dyDescent="0.25">
      <c r="A41" s="17"/>
      <c r="B41" s="6"/>
      <c r="C41" s="159" t="str">
        <f>IF(G39="","",IF(G39=$S$5,"Valor umbral Mipyme.","Total Ingresos Operacionales Acreditados"))</f>
        <v>Total Ingresos Operacionales Acreditados</v>
      </c>
      <c r="D41" s="160"/>
      <c r="E41" s="160"/>
      <c r="F41" s="160"/>
      <c r="G41" s="215">
        <v>10789469941</v>
      </c>
      <c r="H41" s="216"/>
      <c r="I41" s="214" t="s">
        <v>43</v>
      </c>
      <c r="J41" s="160"/>
      <c r="K41" s="18" t="s">
        <v>44</v>
      </c>
      <c r="L41" s="18"/>
      <c r="M41" s="217">
        <v>457297264</v>
      </c>
      <c r="N41" s="218"/>
      <c r="O41" s="16"/>
      <c r="P41" s="16"/>
      <c r="Q41" s="16"/>
      <c r="R41" s="16"/>
      <c r="S41" s="4"/>
      <c r="T41" s="6"/>
      <c r="U41" s="6"/>
      <c r="V41" s="6"/>
      <c r="W41" s="5"/>
      <c r="X41" s="5"/>
      <c r="Y41" s="5"/>
      <c r="Z41" s="5"/>
    </row>
    <row r="42" spans="1:26" ht="12.75" customHeight="1" outlineLevel="1" x14ac:dyDescent="0.25">
      <c r="A42" s="17"/>
      <c r="B42" s="6"/>
      <c r="C42" s="162" t="s">
        <v>45</v>
      </c>
      <c r="D42" s="160"/>
      <c r="E42" s="160"/>
      <c r="F42" s="160"/>
      <c r="G42" s="160"/>
      <c r="H42" s="160"/>
      <c r="I42" s="19"/>
      <c r="J42" s="19"/>
      <c r="K42" s="20"/>
      <c r="L42" s="20"/>
      <c r="M42" s="21"/>
      <c r="N42" s="21"/>
      <c r="O42" s="21"/>
      <c r="P42" s="21"/>
      <c r="Q42" s="21"/>
      <c r="R42" s="21"/>
      <c r="S42" s="4"/>
      <c r="T42" s="6"/>
      <c r="U42" s="6"/>
      <c r="V42" s="6"/>
      <c r="W42" s="5"/>
      <c r="X42" s="5"/>
      <c r="Y42" s="5"/>
      <c r="Z42" s="5"/>
    </row>
    <row r="43" spans="1:26" outlineLevel="1" x14ac:dyDescent="0.25">
      <c r="A43" s="17"/>
      <c r="B43" s="6"/>
      <c r="C43" s="69" t="s">
        <v>46</v>
      </c>
      <c r="D43" s="225" t="s">
        <v>194</v>
      </c>
      <c r="E43" s="160"/>
      <c r="F43" s="226" t="s">
        <v>47</v>
      </c>
      <c r="G43" s="160"/>
      <c r="H43" s="72" t="s">
        <v>87</v>
      </c>
      <c r="I43" s="19"/>
      <c r="J43" s="19"/>
      <c r="K43" s="20"/>
      <c r="L43" s="20"/>
      <c r="M43" s="21"/>
      <c r="N43" s="21"/>
      <c r="O43" s="21"/>
      <c r="P43" s="21"/>
      <c r="Q43" s="21"/>
      <c r="R43" s="21"/>
      <c r="S43" s="4"/>
      <c r="T43" s="6"/>
      <c r="U43" s="6"/>
      <c r="V43" s="6"/>
      <c r="W43" s="5"/>
      <c r="X43" s="5"/>
      <c r="Y43" s="5"/>
      <c r="Z43" s="5"/>
    </row>
    <row r="44" spans="1:26" outlineLevel="1" x14ac:dyDescent="0.25">
      <c r="A44" s="17"/>
      <c r="B44" s="6"/>
      <c r="C44" s="69" t="s">
        <v>48</v>
      </c>
      <c r="D44" s="225"/>
      <c r="E44" s="160"/>
      <c r="F44" s="226" t="s">
        <v>47</v>
      </c>
      <c r="G44" s="160"/>
      <c r="H44" s="72" t="s">
        <v>87</v>
      </c>
      <c r="I44" s="19"/>
      <c r="J44" s="19"/>
      <c r="K44" s="20"/>
      <c r="L44" s="20"/>
      <c r="M44" s="21"/>
      <c r="N44" s="21"/>
      <c r="O44" s="21"/>
      <c r="P44" s="21"/>
      <c r="Q44" s="21"/>
      <c r="R44" s="21"/>
      <c r="S44" s="4"/>
      <c r="T44" s="6"/>
      <c r="U44" s="6"/>
      <c r="V44" s="6"/>
      <c r="W44" s="5"/>
      <c r="X44" s="5"/>
      <c r="Y44" s="5"/>
      <c r="Z44" s="5"/>
    </row>
    <row r="45" spans="1:26" ht="13.5" customHeight="1" outlineLevel="1" x14ac:dyDescent="0.25">
      <c r="A45" s="17"/>
      <c r="B45" s="6"/>
      <c r="C45" s="69" t="s">
        <v>49</v>
      </c>
      <c r="D45" s="69"/>
      <c r="E45" s="69"/>
      <c r="F45" s="69"/>
      <c r="G45" s="227">
        <f>IF(OR(H43="SIN VIGENCIA",H43="NO APORTA",H44="SIN VIGENCIA",H44="NO APORTA"),0,IF(G39="",0,IF(G39=$S$5,M41,IF(G41&lt;M41,M41,G41))))</f>
        <v>10789469941</v>
      </c>
      <c r="H45" s="228"/>
      <c r="I45" s="5"/>
      <c r="J45" s="5"/>
      <c r="K45" s="5"/>
      <c r="L45" s="5"/>
      <c r="M45" s="5"/>
      <c r="N45" s="5"/>
      <c r="O45" s="5"/>
      <c r="P45" s="5"/>
      <c r="Q45" s="5"/>
      <c r="R45" s="5"/>
      <c r="S45" s="4"/>
      <c r="T45" s="6"/>
      <c r="U45" s="6"/>
      <c r="V45" s="6"/>
      <c r="W45" s="5"/>
      <c r="X45" s="5"/>
      <c r="Y45" s="5"/>
      <c r="Z45" s="5"/>
    </row>
    <row r="46" spans="1:26" ht="5.25" customHeight="1" outlineLevel="1" x14ac:dyDescent="0.25">
      <c r="A46" s="14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4"/>
      <c r="T46" s="6"/>
      <c r="U46" s="6"/>
      <c r="V46" s="6"/>
      <c r="W46" s="5"/>
      <c r="X46" s="5"/>
      <c r="Y46" s="5"/>
      <c r="Z46" s="5"/>
    </row>
    <row r="47" spans="1:26" ht="12" customHeight="1" outlineLevel="1" x14ac:dyDescent="0.25">
      <c r="A47" s="17"/>
      <c r="B47" s="6"/>
      <c r="C47" s="222" t="s">
        <v>26</v>
      </c>
      <c r="D47" s="160"/>
      <c r="E47" s="160"/>
      <c r="F47" s="160"/>
      <c r="G47" s="160"/>
      <c r="H47" s="160"/>
      <c r="I47" s="7" t="s">
        <v>50</v>
      </c>
      <c r="J47" s="7" t="s">
        <v>51</v>
      </c>
      <c r="K47" s="7" t="s">
        <v>52</v>
      </c>
      <c r="L47" s="6"/>
      <c r="M47" s="5"/>
      <c r="N47" s="5"/>
      <c r="O47" s="5"/>
      <c r="P47" s="5"/>
      <c r="Q47" s="5"/>
      <c r="R47" s="5"/>
      <c r="S47" s="4"/>
      <c r="T47" s="6"/>
      <c r="U47" s="6"/>
      <c r="V47" s="6"/>
      <c r="W47" s="6"/>
      <c r="X47" s="5"/>
      <c r="Y47" s="5"/>
      <c r="Z47" s="5"/>
    </row>
    <row r="48" spans="1:26" ht="12" customHeight="1" outlineLevel="1" x14ac:dyDescent="0.25">
      <c r="A48" s="17"/>
      <c r="B48" s="6"/>
      <c r="C48" s="161" t="s">
        <v>53</v>
      </c>
      <c r="D48" s="160"/>
      <c r="E48" s="160"/>
      <c r="F48" s="160"/>
      <c r="G48" s="223">
        <f>D36</f>
        <v>0.3</v>
      </c>
      <c r="H48" s="160"/>
      <c r="I48" s="70">
        <v>0</v>
      </c>
      <c r="J48" s="70">
        <v>3</v>
      </c>
      <c r="K48" s="70">
        <v>60</v>
      </c>
      <c r="L48" s="4"/>
      <c r="M48" s="5"/>
      <c r="N48" s="5"/>
      <c r="O48" s="5"/>
      <c r="P48" s="5"/>
      <c r="Q48" s="5"/>
      <c r="R48" s="5"/>
      <c r="S48" s="4"/>
      <c r="T48" s="6"/>
      <c r="U48" s="6"/>
      <c r="V48" s="6"/>
      <c r="W48" s="6"/>
      <c r="X48" s="5"/>
      <c r="Y48" s="5"/>
      <c r="Z48" s="5"/>
    </row>
    <row r="49" spans="1:26" ht="12" customHeight="1" outlineLevel="1" x14ac:dyDescent="0.25">
      <c r="A49" s="17"/>
      <c r="B49" s="6"/>
      <c r="C49" s="161" t="s">
        <v>22</v>
      </c>
      <c r="D49" s="160"/>
      <c r="E49" s="160"/>
      <c r="F49" s="160"/>
      <c r="G49" s="224">
        <f>$E$5</f>
        <v>1169500932</v>
      </c>
      <c r="H49" s="216"/>
      <c r="I49" s="70">
        <v>3</v>
      </c>
      <c r="J49" s="70">
        <v>6</v>
      </c>
      <c r="K49" s="70">
        <v>80</v>
      </c>
      <c r="L49" s="4"/>
      <c r="M49" s="5"/>
      <c r="N49" s="5"/>
      <c r="O49" s="5"/>
      <c r="P49" s="5"/>
      <c r="Q49" s="5"/>
      <c r="R49" s="5"/>
      <c r="S49" s="4"/>
      <c r="T49" s="6"/>
      <c r="U49" s="6"/>
      <c r="V49" s="6"/>
      <c r="W49" s="6"/>
      <c r="X49" s="5"/>
      <c r="Y49" s="5"/>
      <c r="Z49" s="5"/>
    </row>
    <row r="50" spans="1:26" ht="12" customHeight="1" outlineLevel="1" x14ac:dyDescent="0.25">
      <c r="A50" s="17"/>
      <c r="B50" s="6"/>
      <c r="C50" s="162" t="s">
        <v>54</v>
      </c>
      <c r="D50" s="160"/>
      <c r="E50" s="160"/>
      <c r="F50" s="160"/>
      <c r="G50" s="160"/>
      <c r="H50" s="160"/>
      <c r="I50" s="70">
        <v>6</v>
      </c>
      <c r="J50" s="70">
        <v>10</v>
      </c>
      <c r="K50" s="70">
        <v>100</v>
      </c>
      <c r="L50" s="4"/>
      <c r="M50" s="5"/>
      <c r="N50" s="5"/>
      <c r="O50" s="5"/>
      <c r="P50" s="5"/>
      <c r="Q50" s="5"/>
      <c r="R50" s="5"/>
      <c r="S50" s="4"/>
      <c r="T50" s="6"/>
      <c r="U50" s="6"/>
      <c r="V50" s="6"/>
      <c r="W50" s="6"/>
      <c r="X50" s="5"/>
      <c r="Y50" s="5"/>
      <c r="Z50" s="5"/>
    </row>
    <row r="51" spans="1:26" ht="15.75" customHeight="1" outlineLevel="1" x14ac:dyDescent="0.25">
      <c r="A51" s="17"/>
      <c r="B51" s="6"/>
      <c r="C51" s="161" t="s">
        <v>55</v>
      </c>
      <c r="D51" s="160"/>
      <c r="E51" s="160"/>
      <c r="F51" s="160"/>
      <c r="G51" s="166" t="s">
        <v>56</v>
      </c>
      <c r="H51" s="160"/>
      <c r="I51" s="70">
        <v>10</v>
      </c>
      <c r="J51" s="70" t="s">
        <v>57</v>
      </c>
      <c r="K51" s="70">
        <v>120</v>
      </c>
      <c r="L51" s="4"/>
      <c r="M51" s="5"/>
      <c r="N51" s="5"/>
      <c r="O51" s="5"/>
      <c r="P51" s="5"/>
      <c r="Q51" s="5"/>
      <c r="R51" s="5"/>
      <c r="S51" s="4"/>
      <c r="T51" s="6"/>
      <c r="U51" s="6"/>
      <c r="V51" s="6"/>
      <c r="W51" s="6"/>
      <c r="X51" s="5"/>
      <c r="Y51" s="5"/>
      <c r="Z51" s="5"/>
    </row>
    <row r="52" spans="1:26" ht="15" customHeight="1" outlineLevel="1" x14ac:dyDescent="0.25">
      <c r="A52" s="17"/>
      <c r="B52" s="6"/>
      <c r="C52" s="162" t="s">
        <v>58</v>
      </c>
      <c r="D52" s="160"/>
      <c r="E52" s="160"/>
      <c r="F52" s="160"/>
      <c r="G52" s="230">
        <v>76396896550</v>
      </c>
      <c r="H52" s="160"/>
      <c r="I52" s="5"/>
      <c r="J52" s="5"/>
      <c r="K52" s="5"/>
      <c r="L52" s="5"/>
      <c r="M52" s="5"/>
      <c r="N52" s="5"/>
      <c r="O52" s="5"/>
      <c r="P52" s="5"/>
      <c r="Q52" s="5"/>
      <c r="R52" s="5"/>
      <c r="S52" s="4"/>
      <c r="T52" s="6"/>
      <c r="U52" s="6"/>
      <c r="V52" s="6"/>
      <c r="W52" s="6"/>
      <c r="X52" s="5"/>
      <c r="Y52" s="5"/>
      <c r="Z52" s="5"/>
    </row>
    <row r="53" spans="1:26" ht="3" customHeight="1" outlineLevel="1" x14ac:dyDescent="0.25">
      <c r="A53" s="17"/>
      <c r="B53" s="6"/>
      <c r="C53" s="161"/>
      <c r="D53" s="160"/>
      <c r="E53" s="160"/>
      <c r="F53" s="160"/>
      <c r="G53" s="231"/>
      <c r="H53" s="160"/>
      <c r="I53" s="5"/>
      <c r="J53" s="5"/>
      <c r="K53" s="5"/>
      <c r="L53" s="5"/>
      <c r="M53" s="5"/>
      <c r="N53" s="5"/>
      <c r="O53" s="5"/>
      <c r="P53" s="5"/>
      <c r="Q53" s="5"/>
      <c r="R53" s="5"/>
      <c r="S53" s="4"/>
      <c r="T53" s="6"/>
      <c r="U53" s="6"/>
      <c r="V53" s="6"/>
      <c r="W53" s="6"/>
      <c r="X53" s="5"/>
      <c r="Y53" s="5"/>
      <c r="Z53" s="5"/>
    </row>
    <row r="54" spans="1:26" ht="13.5" customHeight="1" outlineLevel="1" x14ac:dyDescent="0.25">
      <c r="A54" s="17"/>
      <c r="B54" s="6"/>
      <c r="C54" s="159" t="s">
        <v>59</v>
      </c>
      <c r="D54" s="160"/>
      <c r="E54" s="160"/>
      <c r="F54" s="160"/>
      <c r="G54" s="229">
        <f>SUM(G51:H53)</f>
        <v>76396896550</v>
      </c>
      <c r="H54" s="160"/>
      <c r="I54" s="5"/>
      <c r="J54" s="5"/>
      <c r="K54" s="5"/>
      <c r="L54" s="5"/>
      <c r="M54" s="5"/>
      <c r="N54" s="5"/>
      <c r="O54" s="5"/>
      <c r="P54" s="5"/>
      <c r="Q54" s="5"/>
      <c r="R54" s="5"/>
      <c r="S54" s="4"/>
      <c r="T54" s="6"/>
      <c r="U54" s="6"/>
      <c r="V54" s="6"/>
      <c r="W54" s="6"/>
      <c r="X54" s="5"/>
      <c r="Y54" s="5"/>
      <c r="Z54" s="5"/>
    </row>
    <row r="55" spans="1:26" ht="12" customHeight="1" outlineLevel="1" x14ac:dyDescent="0.25">
      <c r="A55" s="17"/>
      <c r="B55" s="6"/>
      <c r="C55" s="159" t="s">
        <v>60</v>
      </c>
      <c r="D55" s="160"/>
      <c r="E55" s="160"/>
      <c r="F55" s="160"/>
      <c r="G55" s="160"/>
      <c r="H55" s="71">
        <f>IF(OR(G48="",G48=0,G54=0),0,G54/(G49*G48))</f>
        <v>217.74785711186877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4"/>
      <c r="T55" s="6"/>
      <c r="U55" s="6"/>
      <c r="V55" s="6"/>
      <c r="W55" s="6"/>
      <c r="X55" s="5"/>
      <c r="Y55" s="5"/>
      <c r="Z55" s="5"/>
    </row>
    <row r="56" spans="1:26" ht="13.5" customHeight="1" outlineLevel="1" x14ac:dyDescent="0.25">
      <c r="A56" s="17"/>
      <c r="B56" s="6"/>
      <c r="C56" s="159" t="s">
        <v>61</v>
      </c>
      <c r="D56" s="160"/>
      <c r="E56" s="160"/>
      <c r="F56" s="160"/>
      <c r="G56" s="160"/>
      <c r="H56" s="22">
        <f>IF(H55&lt;=J48,K48,IF(H55&lt;=J49,K49,IF(H55&lt;=J50,K50,K51)))</f>
        <v>120</v>
      </c>
      <c r="I56" s="5"/>
      <c r="J56" s="23"/>
      <c r="K56" s="5"/>
      <c r="L56" s="5"/>
      <c r="M56" s="5"/>
      <c r="N56" s="5"/>
      <c r="O56" s="5"/>
      <c r="P56" s="5"/>
      <c r="Q56" s="5"/>
      <c r="R56" s="5"/>
      <c r="S56" s="4"/>
      <c r="T56" s="6"/>
      <c r="U56" s="6"/>
      <c r="V56" s="6"/>
      <c r="W56" s="6"/>
      <c r="X56" s="5"/>
      <c r="Y56" s="5"/>
      <c r="Z56" s="5"/>
    </row>
    <row r="57" spans="1:26" ht="5.25" customHeight="1" outlineLevel="1" x14ac:dyDescent="0.25">
      <c r="A57" s="14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4"/>
      <c r="T57" s="6"/>
      <c r="U57" s="6"/>
      <c r="V57" s="6"/>
      <c r="W57" s="5"/>
      <c r="X57" s="5"/>
      <c r="Y57" s="5"/>
      <c r="Z57" s="5"/>
    </row>
    <row r="58" spans="1:26" ht="15" customHeight="1" outlineLevel="1" x14ac:dyDescent="0.25">
      <c r="A58" s="17"/>
      <c r="B58" s="6"/>
      <c r="C58" s="219" t="s">
        <v>62</v>
      </c>
      <c r="D58" s="160"/>
      <c r="E58" s="160"/>
      <c r="F58" s="160"/>
      <c r="G58" s="160"/>
      <c r="H58" s="160"/>
      <c r="I58" s="7" t="s">
        <v>63</v>
      </c>
      <c r="J58" s="7" t="s">
        <v>64</v>
      </c>
      <c r="K58" s="7" t="s">
        <v>52</v>
      </c>
      <c r="L58" s="6"/>
      <c r="M58" s="5"/>
      <c r="N58" s="5"/>
      <c r="O58" s="5"/>
      <c r="P58" s="5"/>
      <c r="Q58" s="5"/>
      <c r="R58" s="5"/>
      <c r="S58" s="4"/>
      <c r="T58" s="6"/>
      <c r="U58" s="6"/>
      <c r="V58" s="6"/>
      <c r="W58" s="6"/>
      <c r="X58" s="5"/>
      <c r="Y58" s="5"/>
      <c r="Z58" s="5"/>
    </row>
    <row r="59" spans="1:26" ht="12" customHeight="1" outlineLevel="1" x14ac:dyDescent="0.25">
      <c r="A59" s="17"/>
      <c r="B59" s="6"/>
      <c r="C59" s="159" t="s">
        <v>65</v>
      </c>
      <c r="D59" s="160"/>
      <c r="E59" s="160"/>
      <c r="F59" s="160"/>
      <c r="G59" s="160"/>
      <c r="H59" s="67">
        <f>VLOOKUP(A32,'CAPACIDAD FINANCIERA'!$A$6:$AK$308,5,FALSE)</f>
        <v>3930750131</v>
      </c>
      <c r="I59" s="24">
        <v>0</v>
      </c>
      <c r="J59" s="24">
        <v>0.5</v>
      </c>
      <c r="K59" s="70">
        <v>20</v>
      </c>
      <c r="L59" s="4"/>
      <c r="M59" s="5"/>
      <c r="N59" s="5"/>
      <c r="O59" s="5"/>
      <c r="P59" s="5"/>
      <c r="Q59" s="5"/>
      <c r="R59" s="5"/>
      <c r="S59" s="4"/>
      <c r="T59" s="6"/>
      <c r="U59" s="6"/>
      <c r="V59" s="6"/>
      <c r="W59" s="6"/>
      <c r="X59" s="5"/>
      <c r="Y59" s="5"/>
      <c r="Z59" s="5"/>
    </row>
    <row r="60" spans="1:26" ht="12" customHeight="1" outlineLevel="1" x14ac:dyDescent="0.25">
      <c r="A60" s="17"/>
      <c r="B60" s="6"/>
      <c r="C60" s="159" t="s">
        <v>66</v>
      </c>
      <c r="D60" s="160"/>
      <c r="E60" s="160"/>
      <c r="F60" s="160"/>
      <c r="G60" s="160"/>
      <c r="H60" s="67">
        <f>VLOOKUP(A32,'CAPACIDAD FINANCIERA'!$A$6:$AK$308,7,FALSE)</f>
        <v>892264784</v>
      </c>
      <c r="I60" s="24">
        <v>0.5</v>
      </c>
      <c r="J60" s="24">
        <v>0.75</v>
      </c>
      <c r="K60" s="70">
        <v>25</v>
      </c>
      <c r="L60" s="4"/>
      <c r="M60" s="5"/>
      <c r="N60" s="5"/>
      <c r="O60" s="5"/>
      <c r="P60" s="5"/>
      <c r="Q60" s="5"/>
      <c r="R60" s="5"/>
      <c r="S60" s="4"/>
      <c r="T60" s="6"/>
      <c r="U60" s="6"/>
      <c r="V60" s="6"/>
      <c r="W60" s="6"/>
      <c r="X60" s="5"/>
      <c r="Y60" s="5"/>
      <c r="Z60" s="5"/>
    </row>
    <row r="61" spans="1:26" ht="12" customHeight="1" outlineLevel="1" x14ac:dyDescent="0.25">
      <c r="A61" s="17"/>
      <c r="B61" s="6"/>
      <c r="C61" s="159" t="s">
        <v>67</v>
      </c>
      <c r="D61" s="160"/>
      <c r="E61" s="160"/>
      <c r="F61" s="160"/>
      <c r="G61" s="160"/>
      <c r="H61" s="71">
        <f>ROUND(IF(H59="",0,H59/H60),2)</f>
        <v>4.41</v>
      </c>
      <c r="I61" s="24">
        <v>0.75</v>
      </c>
      <c r="J61" s="24">
        <v>1</v>
      </c>
      <c r="K61" s="70">
        <v>30</v>
      </c>
      <c r="L61" s="4"/>
      <c r="M61" s="5"/>
      <c r="N61" s="5"/>
      <c r="O61" s="5"/>
      <c r="P61" s="5"/>
      <c r="Q61" s="5"/>
      <c r="R61" s="5"/>
      <c r="S61" s="4"/>
      <c r="T61" s="6"/>
      <c r="U61" s="6"/>
      <c r="V61" s="6"/>
      <c r="W61" s="6"/>
      <c r="X61" s="5"/>
      <c r="Y61" s="5"/>
      <c r="Z61" s="5"/>
    </row>
    <row r="62" spans="1:26" ht="13.5" customHeight="1" outlineLevel="1" x14ac:dyDescent="0.25">
      <c r="A62" s="17"/>
      <c r="B62" s="6"/>
      <c r="C62" s="159" t="s">
        <v>68</v>
      </c>
      <c r="D62" s="160"/>
      <c r="E62" s="160"/>
      <c r="F62" s="160"/>
      <c r="G62" s="160"/>
      <c r="H62" s="22">
        <f>IF(H61="",0,IF(H61&lt;J59,K59,IF(H61&lt;J60,K60,IF(H61&lt;J61,K61,IF(H61&lt;J62,K62,K63)))))</f>
        <v>40</v>
      </c>
      <c r="I62" s="24">
        <v>1</v>
      </c>
      <c r="J62" s="24">
        <v>1.5</v>
      </c>
      <c r="K62" s="70">
        <v>35</v>
      </c>
      <c r="L62" s="4"/>
      <c r="M62" s="5"/>
      <c r="N62" s="5"/>
      <c r="O62" s="5"/>
      <c r="P62" s="5"/>
      <c r="Q62" s="5"/>
      <c r="R62" s="5"/>
      <c r="S62" s="4"/>
      <c r="T62" s="6"/>
      <c r="U62" s="6"/>
      <c r="V62" s="6"/>
      <c r="W62" s="6"/>
      <c r="X62" s="5"/>
      <c r="Y62" s="5"/>
      <c r="Z62" s="5"/>
    </row>
    <row r="63" spans="1:26" ht="12" customHeight="1" outlineLevel="1" x14ac:dyDescent="0.25">
      <c r="A63" s="17"/>
      <c r="B63" s="6"/>
      <c r="C63" s="5"/>
      <c r="D63" s="5"/>
      <c r="E63" s="5"/>
      <c r="F63" s="5"/>
      <c r="G63" s="5"/>
      <c r="H63" s="5"/>
      <c r="I63" s="24">
        <v>1.5</v>
      </c>
      <c r="J63" s="24" t="s">
        <v>57</v>
      </c>
      <c r="K63" s="70">
        <v>40</v>
      </c>
      <c r="L63" s="4"/>
      <c r="M63" s="5"/>
      <c r="N63" s="5"/>
      <c r="O63" s="5"/>
      <c r="P63" s="5"/>
      <c r="Q63" s="5"/>
      <c r="R63" s="5"/>
      <c r="S63" s="4"/>
      <c r="T63" s="6"/>
      <c r="U63" s="6"/>
      <c r="V63" s="6"/>
      <c r="W63" s="6"/>
      <c r="X63" s="5"/>
      <c r="Y63" s="5"/>
      <c r="Z63" s="5"/>
    </row>
    <row r="64" spans="1:26" ht="5.25" customHeight="1" outlineLevel="1" x14ac:dyDescent="0.25">
      <c r="A64" s="14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4"/>
      <c r="T64" s="6"/>
      <c r="U64" s="6"/>
      <c r="V64" s="6"/>
      <c r="W64" s="5"/>
      <c r="X64" s="5"/>
      <c r="Y64" s="5"/>
      <c r="Z64" s="5"/>
    </row>
    <row r="65" spans="1:26" ht="12" customHeight="1" outlineLevel="1" x14ac:dyDescent="0.25">
      <c r="A65" s="17"/>
      <c r="B65" s="6"/>
      <c r="C65" s="219" t="s">
        <v>69</v>
      </c>
      <c r="D65" s="160"/>
      <c r="E65" s="160"/>
      <c r="F65" s="160"/>
      <c r="G65" s="160"/>
      <c r="H65" s="160"/>
      <c r="I65" s="7" t="s">
        <v>70</v>
      </c>
      <c r="J65" s="7" t="s">
        <v>71</v>
      </c>
      <c r="K65" s="7" t="s">
        <v>52</v>
      </c>
      <c r="L65" s="6"/>
      <c r="M65" s="5"/>
      <c r="N65" s="5"/>
      <c r="O65" s="5"/>
      <c r="P65" s="5"/>
      <c r="Q65" s="5"/>
      <c r="R65" s="5"/>
      <c r="S65" s="4"/>
      <c r="T65" s="6"/>
      <c r="U65" s="6"/>
      <c r="V65" s="6"/>
      <c r="W65" s="6"/>
      <c r="X65" s="5"/>
      <c r="Y65" s="5"/>
      <c r="Z65" s="5"/>
    </row>
    <row r="66" spans="1:26" ht="12.75" customHeight="1" outlineLevel="1" x14ac:dyDescent="0.25">
      <c r="A66" s="17"/>
      <c r="B66" s="6"/>
      <c r="C66" s="159" t="s">
        <v>72</v>
      </c>
      <c r="D66" s="160"/>
      <c r="E66" s="160"/>
      <c r="F66" s="160"/>
      <c r="G66" s="160"/>
      <c r="H66" s="25">
        <v>2</v>
      </c>
      <c r="I66" s="26">
        <v>1</v>
      </c>
      <c r="J66" s="26">
        <v>5</v>
      </c>
      <c r="K66" s="70">
        <v>20</v>
      </c>
      <c r="L66" s="4"/>
      <c r="M66" s="5"/>
      <c r="N66" s="5"/>
      <c r="O66" s="5"/>
      <c r="P66" s="5"/>
      <c r="Q66" s="5"/>
      <c r="R66" s="5"/>
      <c r="S66" s="4"/>
      <c r="T66" s="6"/>
      <c r="U66" s="6"/>
      <c r="V66" s="6"/>
      <c r="W66" s="6"/>
      <c r="X66" s="5"/>
      <c r="Y66" s="5"/>
      <c r="Z66" s="5"/>
    </row>
    <row r="67" spans="1:26" ht="13.5" customHeight="1" outlineLevel="1" x14ac:dyDescent="0.25">
      <c r="A67" s="17"/>
      <c r="B67" s="6"/>
      <c r="C67" s="159" t="s">
        <v>73</v>
      </c>
      <c r="D67" s="160"/>
      <c r="E67" s="160"/>
      <c r="F67" s="160"/>
      <c r="G67" s="160"/>
      <c r="H67" s="22">
        <f>IF(H66&lt;I66,0,IF(H66&lt;=J66,K66,IF(H66&lt;=J67,K67,K68)))</f>
        <v>20</v>
      </c>
      <c r="I67" s="26">
        <v>6</v>
      </c>
      <c r="J67" s="26">
        <v>10</v>
      </c>
      <c r="K67" s="70">
        <v>30</v>
      </c>
      <c r="L67" s="4"/>
      <c r="M67" s="5"/>
      <c r="N67" s="5"/>
      <c r="O67" s="5"/>
      <c r="P67" s="5"/>
      <c r="Q67" s="5"/>
      <c r="R67" s="5"/>
      <c r="S67" s="4"/>
      <c r="T67" s="6"/>
      <c r="U67" s="6"/>
      <c r="V67" s="6"/>
      <c r="W67" s="6"/>
      <c r="X67" s="5"/>
      <c r="Y67" s="5"/>
      <c r="Z67" s="5"/>
    </row>
    <row r="68" spans="1:26" ht="13.5" customHeight="1" outlineLevel="1" x14ac:dyDescent="0.25">
      <c r="A68" s="17"/>
      <c r="B68" s="6"/>
      <c r="C68" s="5"/>
      <c r="D68" s="5"/>
      <c r="E68" s="5"/>
      <c r="F68" s="5"/>
      <c r="G68" s="5"/>
      <c r="H68" s="5"/>
      <c r="I68" s="26">
        <v>11</v>
      </c>
      <c r="J68" s="24" t="s">
        <v>57</v>
      </c>
      <c r="K68" s="70">
        <v>40</v>
      </c>
      <c r="L68" s="4"/>
      <c r="M68" s="5"/>
      <c r="N68" s="5"/>
      <c r="O68" s="5"/>
      <c r="P68" s="5"/>
      <c r="Q68" s="5"/>
      <c r="R68" s="5"/>
      <c r="S68" s="4"/>
      <c r="T68" s="6"/>
      <c r="U68" s="6"/>
      <c r="V68" s="6"/>
      <c r="W68" s="6"/>
      <c r="X68" s="5"/>
      <c r="Y68" s="5"/>
      <c r="Z68" s="5"/>
    </row>
    <row r="69" spans="1:26" ht="5.25" customHeight="1" outlineLevel="1" x14ac:dyDescent="0.25">
      <c r="A69" s="14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4"/>
      <c r="T69" s="6"/>
      <c r="U69" s="6"/>
      <c r="V69" s="6"/>
      <c r="W69" s="5"/>
      <c r="X69" s="5"/>
      <c r="Y69" s="5"/>
      <c r="Z69" s="5"/>
    </row>
    <row r="70" spans="1:26" ht="15.75" customHeight="1" outlineLevel="1" x14ac:dyDescent="0.25">
      <c r="A70" s="17"/>
      <c r="B70" s="6"/>
      <c r="C70" s="222" t="s">
        <v>74</v>
      </c>
      <c r="D70" s="160"/>
      <c r="E70" s="160"/>
      <c r="F70" s="160"/>
      <c r="G70" s="160"/>
      <c r="H70" s="160"/>
      <c r="I70" s="160"/>
      <c r="J70" s="160"/>
      <c r="K70" s="160"/>
      <c r="L70" s="160"/>
      <c r="M70" s="160"/>
      <c r="N70" s="160"/>
      <c r="O70" s="16"/>
      <c r="P70" s="16"/>
      <c r="Q70" s="16"/>
      <c r="R70" s="16"/>
      <c r="S70" s="4"/>
      <c r="T70" s="6"/>
      <c r="U70" s="6"/>
      <c r="V70" s="6"/>
      <c r="W70" s="6"/>
      <c r="X70" s="5"/>
      <c r="Y70" s="5"/>
      <c r="Z70" s="5"/>
    </row>
    <row r="71" spans="1:26" ht="12.75" customHeight="1" outlineLevel="1" x14ac:dyDescent="0.25">
      <c r="A71" s="27"/>
      <c r="B71" s="28"/>
      <c r="C71" s="162" t="s">
        <v>75</v>
      </c>
      <c r="D71" s="160"/>
      <c r="E71" s="160"/>
      <c r="F71" s="160"/>
      <c r="G71" s="160"/>
      <c r="H71" s="160"/>
      <c r="I71" s="160"/>
      <c r="J71" s="160"/>
      <c r="K71" s="160"/>
      <c r="L71" s="160"/>
      <c r="M71" s="160"/>
      <c r="N71" s="160"/>
      <c r="O71" s="16"/>
      <c r="P71" s="16"/>
      <c r="Q71" s="16"/>
      <c r="R71" s="16"/>
      <c r="S71" s="4"/>
      <c r="T71" s="6"/>
      <c r="U71" s="1"/>
      <c r="V71" s="1"/>
      <c r="W71" s="1"/>
      <c r="X71" s="1"/>
      <c r="Y71" s="1"/>
      <c r="Z71" s="1"/>
    </row>
    <row r="72" spans="1:26" ht="48" outlineLevel="1" x14ac:dyDescent="0.25">
      <c r="A72" s="29"/>
      <c r="B72" s="28"/>
      <c r="C72" s="69" t="s">
        <v>76</v>
      </c>
      <c r="D72" s="70" t="s">
        <v>77</v>
      </c>
      <c r="E72" s="70" t="s">
        <v>56</v>
      </c>
      <c r="F72" s="70" t="s">
        <v>78</v>
      </c>
      <c r="G72" s="30" t="s">
        <v>123</v>
      </c>
      <c r="H72" s="70" t="s">
        <v>80</v>
      </c>
      <c r="I72" s="70" t="s">
        <v>81</v>
      </c>
      <c r="J72" s="70" t="s">
        <v>82</v>
      </c>
      <c r="K72" s="70" t="s">
        <v>83</v>
      </c>
      <c r="L72" s="30" t="s">
        <v>204</v>
      </c>
      <c r="M72" s="30" t="s">
        <v>84</v>
      </c>
      <c r="N72" s="70" t="s">
        <v>85</v>
      </c>
      <c r="O72" s="4"/>
      <c r="P72" s="4"/>
      <c r="Q72" s="4"/>
      <c r="R72" s="4"/>
      <c r="S72" s="4"/>
      <c r="T72" s="6"/>
      <c r="U72" s="1"/>
      <c r="V72" s="1"/>
      <c r="W72" s="1"/>
      <c r="X72" s="1"/>
      <c r="Y72" s="1"/>
      <c r="Z72" s="1"/>
    </row>
    <row r="73" spans="1:26" ht="12" hidden="1" customHeight="1" outlineLevel="1" x14ac:dyDescent="0.25">
      <c r="A73" s="29"/>
      <c r="B73" s="28"/>
      <c r="C73" s="69"/>
      <c r="D73" s="70"/>
      <c r="E73" s="70"/>
      <c r="F73" s="70"/>
      <c r="G73" s="70"/>
      <c r="H73" s="70"/>
      <c r="I73" s="70"/>
      <c r="J73" s="70"/>
      <c r="K73" s="70"/>
      <c r="L73" s="70"/>
      <c r="M73" s="30"/>
      <c r="N73" s="70"/>
      <c r="O73" s="4"/>
      <c r="P73" s="4"/>
      <c r="Q73" s="4"/>
      <c r="R73" s="4"/>
      <c r="S73" s="4"/>
      <c r="T73" s="6"/>
      <c r="U73" s="1"/>
      <c r="V73" s="1"/>
      <c r="W73" s="1"/>
      <c r="X73" s="1"/>
      <c r="Y73" s="1"/>
      <c r="Z73" s="1"/>
    </row>
    <row r="74" spans="1:26" outlineLevel="1" x14ac:dyDescent="0.25">
      <c r="A74" s="29"/>
      <c r="B74" s="28"/>
      <c r="C74" s="72">
        <v>1</v>
      </c>
      <c r="D74" s="31">
        <v>1</v>
      </c>
      <c r="E74" s="57">
        <v>640004269</v>
      </c>
      <c r="F74" s="56">
        <v>18</v>
      </c>
      <c r="G74" s="34">
        <v>45568</v>
      </c>
      <c r="H74" s="35"/>
      <c r="I74" s="35"/>
      <c r="J74" s="35"/>
      <c r="K74" s="35"/>
      <c r="L74" s="35"/>
      <c r="M74" s="24">
        <f t="shared" ref="M74:M78" si="0">IF(C74="","",IF(IF(H74&lt;&gt;"",IF(I74&lt;&gt;"",IF(J74&lt;&gt;"",IF(K74&lt;&gt;"",G74+F74*30+(I74-H74)+(K74-J74)-$E$6,G74+F74*30+(I74-H74)-J74),G74+F74*30+(I74-H74)-$E$6),G74+F74*30-H74),G74+F74*30-$E$6)&lt;0,0,IF(H74&lt;&gt;"",IF(I74&lt;&gt;"",IF(J74&lt;&gt;"",IF(K74&lt;&gt;"",G74+F74*30+(I74-H74)+(K74-J74)-$E$6,G74+F74*30+(I74-H74)-J74),G74+F74*30+(I74-H74)-$E$6),G74+F74*30-H74),G74+F74*30-$E$6)))</f>
        <v>540</v>
      </c>
      <c r="N74" s="65">
        <f t="shared" ref="N74:N78" si="1">IF(L74="",IF(C74="","",IF(M74&lt;360,D74*E74*M74/(F74*30),D74*E74*360/(F74*30))),IF(C74="","",IF(M74&lt;360,D74*L74*M74/(F74*30),D74*L74*360/(F74*30))))</f>
        <v>426669512.66666669</v>
      </c>
      <c r="O74" s="21"/>
      <c r="P74" s="21"/>
      <c r="Q74" s="21"/>
      <c r="R74" s="21"/>
      <c r="S74" s="4"/>
      <c r="T74" s="6"/>
      <c r="U74" s="1"/>
      <c r="V74" s="1"/>
      <c r="W74" s="1"/>
      <c r="X74" s="1"/>
      <c r="Y74" s="1"/>
      <c r="Z74" s="1"/>
    </row>
    <row r="75" spans="1:26" outlineLevel="1" x14ac:dyDescent="0.25">
      <c r="A75" s="29"/>
      <c r="B75" s="28"/>
      <c r="C75" s="72"/>
      <c r="D75" s="31"/>
      <c r="E75" s="57"/>
      <c r="F75" s="56"/>
      <c r="G75" s="34"/>
      <c r="H75" s="35"/>
      <c r="I75" s="35"/>
      <c r="J75" s="35"/>
      <c r="K75" s="35"/>
      <c r="L75" s="35"/>
      <c r="M75" s="24" t="str">
        <f t="shared" si="0"/>
        <v/>
      </c>
      <c r="N75" s="65" t="str">
        <f t="shared" si="1"/>
        <v/>
      </c>
      <c r="O75" s="21"/>
      <c r="P75" s="21"/>
      <c r="Q75" s="21"/>
      <c r="R75" s="21"/>
      <c r="S75" s="4"/>
      <c r="T75" s="6"/>
      <c r="U75" s="1"/>
      <c r="V75" s="1"/>
      <c r="W75" s="1"/>
      <c r="X75" s="1"/>
      <c r="Y75" s="1"/>
      <c r="Z75" s="1"/>
    </row>
    <row r="76" spans="1:26" outlineLevel="1" x14ac:dyDescent="0.25">
      <c r="A76" s="29"/>
      <c r="B76" s="28"/>
      <c r="C76" s="72"/>
      <c r="D76" s="31"/>
      <c r="E76" s="57"/>
      <c r="F76" s="56"/>
      <c r="G76" s="34"/>
      <c r="H76" s="35"/>
      <c r="I76" s="35"/>
      <c r="J76" s="35"/>
      <c r="K76" s="35"/>
      <c r="L76" s="35"/>
      <c r="M76" s="24" t="str">
        <f t="shared" si="0"/>
        <v/>
      </c>
      <c r="N76" s="65" t="str">
        <f t="shared" si="1"/>
        <v/>
      </c>
      <c r="O76" s="21"/>
      <c r="P76" s="21"/>
      <c r="Q76" s="21"/>
      <c r="R76" s="21"/>
      <c r="S76" s="4"/>
      <c r="T76" s="6"/>
      <c r="U76" s="1"/>
      <c r="V76" s="1"/>
      <c r="W76" s="1"/>
      <c r="X76" s="1"/>
      <c r="Y76" s="1"/>
      <c r="Z76" s="1"/>
    </row>
    <row r="77" spans="1:26" outlineLevel="1" x14ac:dyDescent="0.25">
      <c r="A77" s="29"/>
      <c r="B77" s="28"/>
      <c r="C77" s="72"/>
      <c r="D77" s="31"/>
      <c r="E77" s="57"/>
      <c r="F77" s="56"/>
      <c r="G77" s="34"/>
      <c r="H77" s="35"/>
      <c r="I77" s="35"/>
      <c r="J77" s="35"/>
      <c r="K77" s="35"/>
      <c r="L77" s="35"/>
      <c r="M77" s="24" t="str">
        <f t="shared" si="0"/>
        <v/>
      </c>
      <c r="N77" s="65" t="str">
        <f t="shared" si="1"/>
        <v/>
      </c>
      <c r="O77" s="21"/>
      <c r="P77" s="21"/>
      <c r="Q77" s="21"/>
      <c r="R77" s="21"/>
      <c r="S77" s="4"/>
      <c r="T77" s="6"/>
      <c r="U77" s="1"/>
      <c r="V77" s="1"/>
      <c r="W77" s="1"/>
      <c r="X77" s="1"/>
      <c r="Y77" s="1"/>
      <c r="Z77" s="1"/>
    </row>
    <row r="78" spans="1:26" outlineLevel="1" x14ac:dyDescent="0.25">
      <c r="A78" s="29"/>
      <c r="B78" s="28"/>
      <c r="C78" s="72"/>
      <c r="D78" s="31"/>
      <c r="E78" s="57"/>
      <c r="F78" s="56"/>
      <c r="G78" s="34"/>
      <c r="H78" s="35"/>
      <c r="I78" s="35"/>
      <c r="J78" s="35"/>
      <c r="K78" s="35"/>
      <c r="L78" s="35"/>
      <c r="M78" s="24" t="str">
        <f t="shared" si="0"/>
        <v/>
      </c>
      <c r="N78" s="65" t="str">
        <f t="shared" si="1"/>
        <v/>
      </c>
      <c r="O78" s="21"/>
      <c r="P78" s="21"/>
      <c r="Q78" s="21"/>
      <c r="R78" s="21"/>
      <c r="S78" s="4"/>
      <c r="T78" s="6"/>
      <c r="U78" s="1"/>
      <c r="V78" s="1"/>
      <c r="W78" s="1"/>
      <c r="X78" s="1"/>
      <c r="Y78" s="1"/>
      <c r="Z78" s="1"/>
    </row>
    <row r="79" spans="1:26" ht="12" hidden="1" customHeight="1" outlineLevel="1" x14ac:dyDescent="0.25">
      <c r="A79" s="29"/>
      <c r="B79" s="28"/>
      <c r="C79" s="72"/>
      <c r="D79" s="31"/>
      <c r="E79" s="32"/>
      <c r="F79" s="33"/>
      <c r="G79" s="34"/>
      <c r="H79" s="35"/>
      <c r="I79" s="35"/>
      <c r="J79" s="35"/>
      <c r="K79" s="35"/>
      <c r="L79" s="35"/>
      <c r="M79" s="70"/>
      <c r="N79" s="36"/>
      <c r="O79" s="21"/>
      <c r="P79" s="21"/>
      <c r="Q79" s="21"/>
      <c r="R79" s="21"/>
      <c r="S79" s="4"/>
      <c r="T79" s="6"/>
      <c r="U79" s="1"/>
      <c r="V79" s="1"/>
      <c r="W79" s="1"/>
      <c r="X79" s="1"/>
      <c r="Y79" s="1"/>
      <c r="Z79" s="1"/>
    </row>
    <row r="80" spans="1:26" ht="13.5" customHeight="1" outlineLevel="1" x14ac:dyDescent="0.25">
      <c r="A80" s="29"/>
      <c r="B80" s="1"/>
      <c r="C80" s="159" t="s">
        <v>86</v>
      </c>
      <c r="D80" s="160"/>
      <c r="E80" s="160"/>
      <c r="F80" s="160"/>
      <c r="G80" s="160"/>
      <c r="H80" s="160"/>
      <c r="I80" s="160"/>
      <c r="J80" s="160"/>
      <c r="K80" s="160"/>
      <c r="L80" s="160"/>
      <c r="M80" s="160"/>
      <c r="N80" s="66">
        <f>SUM(N73:N79)</f>
        <v>426669512.66666669</v>
      </c>
      <c r="O80" s="37"/>
      <c r="P80" s="37"/>
      <c r="Q80" s="37"/>
      <c r="R80" s="37"/>
      <c r="S80" s="4"/>
      <c r="T80" s="6"/>
      <c r="U80" s="1"/>
      <c r="V80" s="1"/>
      <c r="W80" s="1"/>
      <c r="X80" s="1"/>
      <c r="Y80" s="1"/>
      <c r="Z80" s="1"/>
    </row>
    <row r="81" spans="1:26" ht="12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4"/>
      <c r="T81" s="6"/>
      <c r="U81" s="1"/>
      <c r="V81" s="1"/>
      <c r="W81" s="1"/>
      <c r="X81" s="1"/>
      <c r="Y81" s="1"/>
      <c r="Z81" s="1"/>
    </row>
    <row r="82" spans="1:26" ht="15" customHeight="1" x14ac:dyDescent="0.25">
      <c r="A82" s="197" t="s">
        <v>95</v>
      </c>
      <c r="B82" s="197"/>
      <c r="C82" s="197" t="s">
        <v>96</v>
      </c>
      <c r="D82" s="197"/>
      <c r="E82" s="197"/>
      <c r="F82" s="197" t="s">
        <v>97</v>
      </c>
      <c r="G82" s="197"/>
      <c r="H82" s="197"/>
      <c r="I82" s="197"/>
      <c r="J82" s="197"/>
      <c r="K82" s="197"/>
      <c r="L82" s="197"/>
      <c r="M82" s="197"/>
      <c r="N82" s="197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2" customHeight="1" x14ac:dyDescent="0.25">
      <c r="A83" s="197" t="str">
        <f>IF(A25="N/A","",A25)</f>
        <v>4.2</v>
      </c>
      <c r="B83" s="197"/>
      <c r="C83" s="198" t="s">
        <v>91</v>
      </c>
      <c r="D83" s="199" t="str">
        <f>VLOOKUP(A83,'CAPACIDAD RESIDUAL'!$A$6:$D$304,2,FALSE)</f>
        <v>M3 GRUPO EMPRESARIAL S.A.S</v>
      </c>
      <c r="E83" s="200"/>
      <c r="F83" s="197" t="str">
        <f>$C$38</f>
        <v>Capacidad de Organización (CO)</v>
      </c>
      <c r="G83" s="197"/>
      <c r="H83" s="197"/>
      <c r="I83" s="58">
        <f>G96</f>
        <v>7046745183</v>
      </c>
      <c r="J83" s="203" t="s">
        <v>88</v>
      </c>
      <c r="K83" s="183">
        <f>I83*(I84+I85+I86)/100-I87</f>
        <v>11183235652.900002</v>
      </c>
      <c r="L83" s="184"/>
      <c r="M83" s="184"/>
      <c r="N83" s="185"/>
      <c r="O83" s="38"/>
      <c r="P83" s="38"/>
      <c r="Q83" s="38"/>
      <c r="R83" s="38"/>
      <c r="S83" s="38"/>
      <c r="T83" s="39"/>
      <c r="U83" s="38"/>
      <c r="V83" s="38"/>
      <c r="W83" s="38"/>
      <c r="X83" s="38"/>
      <c r="Y83" s="38"/>
      <c r="Z83" s="38"/>
    </row>
    <row r="84" spans="1:26" ht="12" customHeight="1" x14ac:dyDescent="0.25">
      <c r="A84" s="197"/>
      <c r="B84" s="197"/>
      <c r="C84" s="198"/>
      <c r="D84" s="201"/>
      <c r="E84" s="202"/>
      <c r="F84" s="197" t="str">
        <f>$C$47</f>
        <v>Experiencia (E)</v>
      </c>
      <c r="G84" s="197"/>
      <c r="H84" s="197"/>
      <c r="I84" s="22">
        <f>H107</f>
        <v>120</v>
      </c>
      <c r="J84" s="204"/>
      <c r="K84" s="186"/>
      <c r="L84" s="187"/>
      <c r="M84" s="187"/>
      <c r="N84" s="188"/>
      <c r="O84" s="38"/>
      <c r="P84" s="38"/>
      <c r="Q84" s="38"/>
      <c r="R84" s="38"/>
      <c r="S84" s="38"/>
      <c r="T84" s="39"/>
      <c r="U84" s="38"/>
      <c r="V84" s="38"/>
      <c r="W84" s="38"/>
      <c r="X84" s="38"/>
      <c r="Y84" s="38"/>
      <c r="Z84" s="38"/>
    </row>
    <row r="85" spans="1:26" ht="12" customHeight="1" x14ac:dyDescent="0.25">
      <c r="A85" s="197"/>
      <c r="B85" s="197"/>
      <c r="C85" s="198" t="s">
        <v>92</v>
      </c>
      <c r="D85" s="205" t="str">
        <f>VLOOKUP(A83,'CAPACIDAD RESIDUAL'!$A$6:$D$304,3,FALSE)</f>
        <v>901.126.277-3</v>
      </c>
      <c r="E85" s="206"/>
      <c r="F85" s="197" t="str">
        <f>$C$58</f>
        <v>Capacidad Financiera (CF)</v>
      </c>
      <c r="G85" s="197"/>
      <c r="H85" s="197"/>
      <c r="I85" s="22">
        <f>H113</f>
        <v>40</v>
      </c>
      <c r="J85" s="191" t="str">
        <f>IF(K83&gt;$E$9,"CUMPLE","NO CUMPLE")</f>
        <v>CUMPLE</v>
      </c>
      <c r="K85" s="191"/>
      <c r="L85" s="191"/>
      <c r="M85" s="191"/>
      <c r="N85" s="191"/>
      <c r="O85" s="1"/>
      <c r="P85" s="1"/>
      <c r="Q85" s="1"/>
      <c r="R85" s="1"/>
      <c r="S85" s="1"/>
      <c r="T85" s="4"/>
      <c r="U85" s="1"/>
      <c r="V85" s="1"/>
      <c r="W85" s="1"/>
      <c r="X85" s="1"/>
      <c r="Y85" s="1"/>
      <c r="Z85" s="1"/>
    </row>
    <row r="86" spans="1:26" ht="12" customHeight="1" x14ac:dyDescent="0.25">
      <c r="A86" s="197"/>
      <c r="B86" s="197"/>
      <c r="C86" s="198"/>
      <c r="D86" s="207"/>
      <c r="E86" s="208"/>
      <c r="F86" s="197" t="str">
        <f>$C$65</f>
        <v>Capacidad Técnica (CT)</v>
      </c>
      <c r="G86" s="197"/>
      <c r="H86" s="197"/>
      <c r="I86" s="22">
        <f>H118</f>
        <v>30</v>
      </c>
      <c r="J86" s="191"/>
      <c r="K86" s="191"/>
      <c r="L86" s="191"/>
      <c r="M86" s="191"/>
      <c r="N86" s="191"/>
      <c r="O86" s="1"/>
      <c r="P86" s="1"/>
      <c r="Q86" s="1"/>
      <c r="R86" s="1"/>
      <c r="S86" s="1"/>
      <c r="T86" s="4"/>
      <c r="U86" s="1"/>
      <c r="V86" s="1"/>
      <c r="W86" s="1"/>
      <c r="X86" s="1"/>
      <c r="Y86" s="1"/>
      <c r="Z86" s="1"/>
    </row>
    <row r="87" spans="1:26" ht="12" customHeight="1" x14ac:dyDescent="0.25">
      <c r="A87" s="197"/>
      <c r="B87" s="197"/>
      <c r="C87" s="73" t="s">
        <v>93</v>
      </c>
      <c r="D87" s="209">
        <f>IF(A83="","",VLOOKUP(A83,'CAPACIDAD RESIDUAL'!$A$6:$D$304,4,FALSE))</f>
        <v>0.7</v>
      </c>
      <c r="E87" s="210"/>
      <c r="F87" s="211" t="str">
        <f>$C$70</f>
        <v>Saldo de los Contratos en Ejecución (SCE)</v>
      </c>
      <c r="G87" s="211"/>
      <c r="H87" s="211"/>
      <c r="I87" s="58">
        <f>N131</f>
        <v>2205580194.8000002</v>
      </c>
      <c r="J87" s="191"/>
      <c r="K87" s="191"/>
      <c r="L87" s="191"/>
      <c r="M87" s="191"/>
      <c r="N87" s="191"/>
      <c r="O87" s="1"/>
      <c r="P87" s="1"/>
      <c r="Q87" s="1"/>
      <c r="R87" s="1"/>
      <c r="S87" s="1"/>
      <c r="T87" s="4"/>
      <c r="U87" s="1"/>
      <c r="V87" s="1"/>
      <c r="W87" s="1"/>
      <c r="X87" s="1"/>
      <c r="Y87" s="1"/>
      <c r="Z87" s="1"/>
    </row>
    <row r="88" spans="1:26" ht="12" customHeight="1" x14ac:dyDescent="0.25">
      <c r="A88" s="14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"/>
      <c r="P88" s="1"/>
      <c r="Q88" s="1"/>
      <c r="R88" s="1"/>
      <c r="S88" s="1"/>
      <c r="T88" s="4"/>
      <c r="U88" s="1"/>
      <c r="V88" s="1"/>
      <c r="W88" s="1"/>
      <c r="X88" s="1"/>
      <c r="Y88" s="1"/>
      <c r="Z88" s="1"/>
    </row>
    <row r="89" spans="1:26" ht="12" customHeight="1" x14ac:dyDescent="0.25">
      <c r="A89" s="44"/>
      <c r="C89" s="219" t="s">
        <v>34</v>
      </c>
      <c r="D89" s="160"/>
      <c r="E89" s="160"/>
      <c r="F89" s="160"/>
      <c r="G89" s="160"/>
      <c r="H89" s="160"/>
      <c r="I89" s="220" t="s">
        <v>35</v>
      </c>
      <c r="J89" s="160"/>
      <c r="K89" s="220" t="s">
        <v>36</v>
      </c>
      <c r="L89" s="220"/>
      <c r="M89" s="160"/>
      <c r="N89" s="160"/>
      <c r="O89" s="1"/>
      <c r="P89" s="1"/>
      <c r="Q89" s="1"/>
      <c r="R89" s="1"/>
      <c r="S89" s="1"/>
      <c r="T89" s="4"/>
      <c r="U89" s="1"/>
      <c r="V89" s="1"/>
      <c r="W89" s="1"/>
      <c r="X89" s="1"/>
      <c r="Y89" s="1"/>
      <c r="Z89" s="1"/>
    </row>
    <row r="90" spans="1:26" x14ac:dyDescent="0.25">
      <c r="A90" s="17"/>
      <c r="B90" s="6"/>
      <c r="C90" s="161" t="s">
        <v>37</v>
      </c>
      <c r="D90" s="160"/>
      <c r="E90" s="160"/>
      <c r="F90" s="160"/>
      <c r="G90" s="221" t="s">
        <v>27</v>
      </c>
      <c r="H90" s="160"/>
      <c r="I90" s="214" t="s">
        <v>38</v>
      </c>
      <c r="J90" s="160"/>
      <c r="K90" s="214" t="s">
        <v>39</v>
      </c>
      <c r="L90" s="214"/>
      <c r="M90" s="160"/>
      <c r="N90" s="160"/>
    </row>
    <row r="91" spans="1:26" ht="24.75" customHeight="1" x14ac:dyDescent="0.25">
      <c r="A91" s="17"/>
      <c r="B91" s="6"/>
      <c r="C91" s="161" t="s">
        <v>40</v>
      </c>
      <c r="D91" s="160"/>
      <c r="E91" s="160"/>
      <c r="F91" s="160"/>
      <c r="G91" s="212">
        <v>2023</v>
      </c>
      <c r="H91" s="213"/>
      <c r="I91" s="214" t="s">
        <v>41</v>
      </c>
      <c r="J91" s="160"/>
      <c r="K91" s="214" t="s">
        <v>42</v>
      </c>
      <c r="L91" s="214"/>
      <c r="M91" s="160"/>
      <c r="N91" s="160"/>
    </row>
    <row r="92" spans="1:26" x14ac:dyDescent="0.25">
      <c r="A92" s="17"/>
      <c r="B92" s="6"/>
      <c r="C92" s="159" t="str">
        <f>IF(G90="","",IF(G90=$S$5,"Valor umbral Mipyme.","Total Ingresos Operacionales Acreditados"))</f>
        <v>Total Ingresos Operacionales Acreditados</v>
      </c>
      <c r="D92" s="160"/>
      <c r="E92" s="160"/>
      <c r="F92" s="160"/>
      <c r="G92" s="215">
        <v>7046745183</v>
      </c>
      <c r="H92" s="216"/>
      <c r="I92" s="214" t="s">
        <v>43</v>
      </c>
      <c r="J92" s="160"/>
      <c r="K92" s="18" t="s">
        <v>44</v>
      </c>
      <c r="L92" s="18"/>
      <c r="M92" s="217">
        <v>457297264</v>
      </c>
      <c r="N92" s="218"/>
    </row>
    <row r="93" spans="1:26" x14ac:dyDescent="0.25">
      <c r="A93" s="17"/>
      <c r="B93" s="6"/>
      <c r="C93" s="162" t="s">
        <v>45</v>
      </c>
      <c r="D93" s="160"/>
      <c r="E93" s="160"/>
      <c r="F93" s="160"/>
      <c r="G93" s="160"/>
      <c r="H93" s="160"/>
      <c r="I93" s="19"/>
      <c r="J93" s="19"/>
      <c r="K93" s="20"/>
      <c r="L93" s="20"/>
      <c r="M93" s="21"/>
      <c r="N93" s="21"/>
    </row>
    <row r="94" spans="1:26" x14ac:dyDescent="0.25">
      <c r="A94" s="17"/>
      <c r="B94" s="6"/>
      <c r="C94" s="69" t="s">
        <v>46</v>
      </c>
      <c r="D94" s="225" t="s">
        <v>194</v>
      </c>
      <c r="E94" s="160"/>
      <c r="F94" s="226" t="s">
        <v>47</v>
      </c>
      <c r="G94" s="160"/>
      <c r="H94" s="72" t="s">
        <v>87</v>
      </c>
      <c r="I94" s="19"/>
      <c r="J94" s="19"/>
      <c r="K94" s="20"/>
      <c r="L94" s="20"/>
      <c r="M94" s="21"/>
      <c r="N94" s="21"/>
    </row>
    <row r="95" spans="1:26" x14ac:dyDescent="0.25">
      <c r="A95" s="17"/>
      <c r="B95" s="6"/>
      <c r="C95" s="69" t="s">
        <v>48</v>
      </c>
      <c r="D95" s="225" t="s">
        <v>195</v>
      </c>
      <c r="E95" s="160"/>
      <c r="F95" s="226" t="s">
        <v>47</v>
      </c>
      <c r="G95" s="160"/>
      <c r="H95" s="72" t="s">
        <v>87</v>
      </c>
      <c r="I95" s="19"/>
      <c r="J95" s="19"/>
      <c r="K95" s="20"/>
      <c r="L95" s="20"/>
      <c r="M95" s="21"/>
      <c r="N95" s="21"/>
    </row>
    <row r="96" spans="1:26" x14ac:dyDescent="0.25">
      <c r="A96" s="17"/>
      <c r="B96" s="6"/>
      <c r="C96" s="69" t="s">
        <v>49</v>
      </c>
      <c r="D96" s="69"/>
      <c r="E96" s="69"/>
      <c r="F96" s="69"/>
      <c r="G96" s="227">
        <f>IF(OR(H94="SIN VIGENCIA",H94="NO APORTA",H95="SIN VIGENCIA",H95="NO APORTA"),0,IF(G90="",0,IF(G90=$S$5,M92,IF(G92&lt;M92,M92,G92))))</f>
        <v>7046745183</v>
      </c>
      <c r="H96" s="228"/>
      <c r="I96" s="5"/>
      <c r="J96" s="5"/>
      <c r="K96" s="5"/>
      <c r="L96" s="5"/>
      <c r="M96" s="5"/>
      <c r="N96" s="5"/>
    </row>
    <row r="97" spans="1:14" x14ac:dyDescent="0.25">
      <c r="A97" s="14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</row>
    <row r="98" spans="1:14" x14ac:dyDescent="0.25">
      <c r="A98" s="17"/>
      <c r="B98" s="6"/>
      <c r="C98" s="222" t="s">
        <v>26</v>
      </c>
      <c r="D98" s="160"/>
      <c r="E98" s="160"/>
      <c r="F98" s="160"/>
      <c r="G98" s="160"/>
      <c r="H98" s="160"/>
      <c r="I98" s="7" t="s">
        <v>50</v>
      </c>
      <c r="J98" s="7" t="s">
        <v>51</v>
      </c>
      <c r="K98" s="7" t="s">
        <v>52</v>
      </c>
      <c r="L98" s="6"/>
      <c r="M98" s="5"/>
      <c r="N98" s="5"/>
    </row>
    <row r="99" spans="1:14" x14ac:dyDescent="0.25">
      <c r="A99" s="17"/>
      <c r="B99" s="6"/>
      <c r="C99" s="161" t="s">
        <v>53</v>
      </c>
      <c r="D99" s="160"/>
      <c r="E99" s="160"/>
      <c r="F99" s="160"/>
      <c r="G99" s="223">
        <f>D87</f>
        <v>0.7</v>
      </c>
      <c r="H99" s="160"/>
      <c r="I99" s="70">
        <v>0</v>
      </c>
      <c r="J99" s="70">
        <v>3</v>
      </c>
      <c r="K99" s="70">
        <v>60</v>
      </c>
      <c r="L99" s="4"/>
      <c r="M99" s="5"/>
      <c r="N99" s="5"/>
    </row>
    <row r="100" spans="1:14" x14ac:dyDescent="0.25">
      <c r="A100" s="17"/>
      <c r="B100" s="6"/>
      <c r="C100" s="161" t="s">
        <v>22</v>
      </c>
      <c r="D100" s="160"/>
      <c r="E100" s="160"/>
      <c r="F100" s="160"/>
      <c r="G100" s="224">
        <f>$E$5</f>
        <v>1169500932</v>
      </c>
      <c r="H100" s="216"/>
      <c r="I100" s="70">
        <v>3</v>
      </c>
      <c r="J100" s="70">
        <v>6</v>
      </c>
      <c r="K100" s="70">
        <v>80</v>
      </c>
      <c r="L100" s="4"/>
      <c r="M100" s="5"/>
      <c r="N100" s="5"/>
    </row>
    <row r="101" spans="1:14" x14ac:dyDescent="0.25">
      <c r="A101" s="17"/>
      <c r="B101" s="6"/>
      <c r="C101" s="162" t="s">
        <v>54</v>
      </c>
      <c r="D101" s="160"/>
      <c r="E101" s="160"/>
      <c r="F101" s="160"/>
      <c r="G101" s="160"/>
      <c r="H101" s="160"/>
      <c r="I101" s="70">
        <v>6</v>
      </c>
      <c r="J101" s="70">
        <v>10</v>
      </c>
      <c r="K101" s="70">
        <v>100</v>
      </c>
      <c r="L101" s="4"/>
      <c r="M101" s="5"/>
      <c r="N101" s="5"/>
    </row>
    <row r="102" spans="1:14" x14ac:dyDescent="0.25">
      <c r="A102" s="17"/>
      <c r="B102" s="6"/>
      <c r="C102" s="161" t="s">
        <v>55</v>
      </c>
      <c r="D102" s="160"/>
      <c r="E102" s="160"/>
      <c r="F102" s="160"/>
      <c r="G102" s="166" t="s">
        <v>56</v>
      </c>
      <c r="H102" s="160"/>
      <c r="I102" s="70">
        <v>10</v>
      </c>
      <c r="J102" s="70" t="s">
        <v>57</v>
      </c>
      <c r="K102" s="70">
        <v>120</v>
      </c>
      <c r="L102" s="4"/>
      <c r="M102" s="5"/>
      <c r="N102" s="5"/>
    </row>
    <row r="103" spans="1:14" x14ac:dyDescent="0.25">
      <c r="A103" s="17"/>
      <c r="B103" s="6"/>
      <c r="C103" s="162" t="s">
        <v>58</v>
      </c>
      <c r="D103" s="160"/>
      <c r="E103" s="160"/>
      <c r="F103" s="160"/>
      <c r="G103" s="230">
        <v>61114911650</v>
      </c>
      <c r="H103" s="160"/>
      <c r="I103" s="5"/>
      <c r="J103" s="5"/>
      <c r="K103" s="5"/>
      <c r="L103" s="5"/>
      <c r="M103" s="5"/>
      <c r="N103" s="5"/>
    </row>
    <row r="104" spans="1:14" x14ac:dyDescent="0.25">
      <c r="A104" s="17"/>
      <c r="B104" s="6"/>
      <c r="C104" s="161"/>
      <c r="D104" s="160"/>
      <c r="E104" s="160"/>
      <c r="F104" s="160"/>
      <c r="G104" s="231"/>
      <c r="H104" s="160"/>
      <c r="I104" s="5"/>
      <c r="J104" s="5"/>
      <c r="K104" s="5"/>
      <c r="L104" s="5"/>
      <c r="M104" s="5"/>
      <c r="N104" s="5"/>
    </row>
    <row r="105" spans="1:14" x14ac:dyDescent="0.25">
      <c r="A105" s="17"/>
      <c r="B105" s="6"/>
      <c r="C105" s="159" t="s">
        <v>59</v>
      </c>
      <c r="D105" s="160"/>
      <c r="E105" s="160"/>
      <c r="F105" s="160"/>
      <c r="G105" s="229">
        <f>SUM(G102:H104)</f>
        <v>61114911650</v>
      </c>
      <c r="H105" s="160"/>
      <c r="I105" s="5"/>
      <c r="J105" s="5"/>
      <c r="K105" s="5"/>
      <c r="L105" s="5"/>
      <c r="M105" s="5"/>
      <c r="N105" s="5"/>
    </row>
    <row r="106" spans="1:14" x14ac:dyDescent="0.25">
      <c r="A106" s="17"/>
      <c r="B106" s="6"/>
      <c r="C106" s="159" t="s">
        <v>60</v>
      </c>
      <c r="D106" s="160"/>
      <c r="E106" s="160"/>
      <c r="F106" s="160"/>
      <c r="G106" s="160"/>
      <c r="H106" s="71">
        <f>IF(OR(G99="",G99=0,G105=0),0,G105/(G100*G99))</f>
        <v>74.653225366439599</v>
      </c>
      <c r="I106" s="5"/>
      <c r="J106" s="5"/>
      <c r="K106" s="5"/>
      <c r="L106" s="5"/>
      <c r="M106" s="5"/>
      <c r="N106" s="5"/>
    </row>
    <row r="107" spans="1:14" x14ac:dyDescent="0.25">
      <c r="A107" s="17"/>
      <c r="B107" s="6"/>
      <c r="C107" s="159" t="s">
        <v>61</v>
      </c>
      <c r="D107" s="160"/>
      <c r="E107" s="160"/>
      <c r="F107" s="160"/>
      <c r="G107" s="160"/>
      <c r="H107" s="22">
        <f>IF(H106&lt;=J99,K99,IF(H106&lt;=J100,K100,IF(H106&lt;=J101,K101,K102)))</f>
        <v>120</v>
      </c>
      <c r="I107" s="5"/>
      <c r="J107" s="23"/>
      <c r="K107" s="5"/>
      <c r="L107" s="5"/>
      <c r="M107" s="5"/>
      <c r="N107" s="5"/>
    </row>
    <row r="108" spans="1:14" x14ac:dyDescent="0.25">
      <c r="A108" s="14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</row>
    <row r="109" spans="1:14" x14ac:dyDescent="0.25">
      <c r="A109" s="17"/>
      <c r="B109" s="6"/>
      <c r="C109" s="219" t="s">
        <v>62</v>
      </c>
      <c r="D109" s="160"/>
      <c r="E109" s="160"/>
      <c r="F109" s="160"/>
      <c r="G109" s="160"/>
      <c r="H109" s="160"/>
      <c r="I109" s="7" t="s">
        <v>63</v>
      </c>
      <c r="J109" s="7" t="s">
        <v>64</v>
      </c>
      <c r="K109" s="7" t="s">
        <v>52</v>
      </c>
      <c r="L109" s="6"/>
      <c r="M109" s="5"/>
      <c r="N109" s="5"/>
    </row>
    <row r="110" spans="1:14" x14ac:dyDescent="0.25">
      <c r="A110" s="17"/>
      <c r="B110" s="6"/>
      <c r="C110" s="159" t="s">
        <v>65</v>
      </c>
      <c r="D110" s="160"/>
      <c r="E110" s="160"/>
      <c r="F110" s="160"/>
      <c r="G110" s="160"/>
      <c r="H110" s="67">
        <f>VLOOKUP(A83,'CAPACIDAD FINANCIERA'!$A$6:$AK$308,5,FALSE)</f>
        <v>718218296</v>
      </c>
      <c r="I110" s="24">
        <v>0</v>
      </c>
      <c r="J110" s="24">
        <v>0.5</v>
      </c>
      <c r="K110" s="70">
        <v>20</v>
      </c>
      <c r="L110" s="4"/>
      <c r="M110" s="5"/>
      <c r="N110" s="5"/>
    </row>
    <row r="111" spans="1:14" x14ac:dyDescent="0.25">
      <c r="A111" s="17"/>
      <c r="B111" s="6"/>
      <c r="C111" s="159" t="s">
        <v>66</v>
      </c>
      <c r="D111" s="160"/>
      <c r="E111" s="160"/>
      <c r="F111" s="160"/>
      <c r="G111" s="160"/>
      <c r="H111" s="67">
        <f>VLOOKUP(A83,'CAPACIDAD FINANCIERA'!$A$6:$AK$308,7,FALSE)</f>
        <v>68984714</v>
      </c>
      <c r="I111" s="24">
        <v>0.5</v>
      </c>
      <c r="J111" s="24">
        <v>0.75</v>
      </c>
      <c r="K111" s="70">
        <v>25</v>
      </c>
      <c r="L111" s="4"/>
      <c r="M111" s="5"/>
      <c r="N111" s="5"/>
    </row>
    <row r="112" spans="1:14" x14ac:dyDescent="0.25">
      <c r="A112" s="17"/>
      <c r="B112" s="6"/>
      <c r="C112" s="159" t="s">
        <v>67</v>
      </c>
      <c r="D112" s="160"/>
      <c r="E112" s="160"/>
      <c r="F112" s="160"/>
      <c r="G112" s="160"/>
      <c r="H112" s="71">
        <f>ROUND(IF(H110="",0,H110/H111),2)</f>
        <v>10.41</v>
      </c>
      <c r="I112" s="24">
        <v>0.75</v>
      </c>
      <c r="J112" s="24">
        <v>1</v>
      </c>
      <c r="K112" s="70">
        <v>30</v>
      </c>
      <c r="L112" s="4"/>
      <c r="M112" s="5"/>
      <c r="N112" s="5"/>
    </row>
    <row r="113" spans="1:14" x14ac:dyDescent="0.25">
      <c r="A113" s="17"/>
      <c r="B113" s="6"/>
      <c r="C113" s="159" t="s">
        <v>68</v>
      </c>
      <c r="D113" s="160"/>
      <c r="E113" s="160"/>
      <c r="F113" s="160"/>
      <c r="G113" s="160"/>
      <c r="H113" s="22">
        <f>IF(H112="",0,IF(H112&lt;J110,K110,IF(H112&lt;J111,K111,IF(H112&lt;J112,K112,IF(H112&lt;J113,K113,K114)))))</f>
        <v>40</v>
      </c>
      <c r="I113" s="24">
        <v>1</v>
      </c>
      <c r="J113" s="24">
        <v>1.5</v>
      </c>
      <c r="K113" s="70">
        <v>35</v>
      </c>
      <c r="L113" s="4"/>
      <c r="M113" s="5"/>
      <c r="N113" s="5"/>
    </row>
    <row r="114" spans="1:14" x14ac:dyDescent="0.25">
      <c r="A114" s="17"/>
      <c r="B114" s="6"/>
      <c r="C114" s="5"/>
      <c r="D114" s="5"/>
      <c r="E114" s="5"/>
      <c r="F114" s="5"/>
      <c r="G114" s="5"/>
      <c r="H114" s="5"/>
      <c r="I114" s="24">
        <v>1.5</v>
      </c>
      <c r="J114" s="24" t="s">
        <v>57</v>
      </c>
      <c r="K114" s="70">
        <v>40</v>
      </c>
      <c r="L114" s="4"/>
      <c r="M114" s="5"/>
      <c r="N114" s="5"/>
    </row>
    <row r="115" spans="1:14" x14ac:dyDescent="0.25">
      <c r="A115" s="14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</row>
    <row r="116" spans="1:14" x14ac:dyDescent="0.25">
      <c r="A116" s="17"/>
      <c r="B116" s="6"/>
      <c r="C116" s="219" t="s">
        <v>69</v>
      </c>
      <c r="D116" s="160"/>
      <c r="E116" s="160"/>
      <c r="F116" s="160"/>
      <c r="G116" s="160"/>
      <c r="H116" s="160"/>
      <c r="I116" s="7" t="s">
        <v>70</v>
      </c>
      <c r="J116" s="7" t="s">
        <v>71</v>
      </c>
      <c r="K116" s="7" t="s">
        <v>52</v>
      </c>
      <c r="L116" s="6"/>
      <c r="M116" s="5"/>
      <c r="N116" s="5"/>
    </row>
    <row r="117" spans="1:14" x14ac:dyDescent="0.25">
      <c r="A117" s="17"/>
      <c r="B117" s="6"/>
      <c r="C117" s="159" t="s">
        <v>72</v>
      </c>
      <c r="D117" s="160"/>
      <c r="E117" s="160"/>
      <c r="F117" s="160"/>
      <c r="G117" s="160"/>
      <c r="H117" s="25">
        <v>6</v>
      </c>
      <c r="I117" s="26">
        <v>1</v>
      </c>
      <c r="J117" s="26">
        <v>5</v>
      </c>
      <c r="K117" s="70">
        <v>20</v>
      </c>
      <c r="L117" s="4"/>
      <c r="M117" s="5"/>
      <c r="N117" s="5"/>
    </row>
    <row r="118" spans="1:14" x14ac:dyDescent="0.25">
      <c r="A118" s="17"/>
      <c r="B118" s="6"/>
      <c r="C118" s="159" t="s">
        <v>73</v>
      </c>
      <c r="D118" s="160"/>
      <c r="E118" s="160"/>
      <c r="F118" s="160"/>
      <c r="G118" s="160"/>
      <c r="H118" s="22">
        <f>IF(H117&lt;I117,0,IF(H117&lt;=J117,K117,IF(H117&lt;=J118,K118,K119)))</f>
        <v>30</v>
      </c>
      <c r="I118" s="26">
        <v>6</v>
      </c>
      <c r="J118" s="26">
        <v>10</v>
      </c>
      <c r="K118" s="70">
        <v>30</v>
      </c>
      <c r="L118" s="4"/>
      <c r="M118" s="5"/>
      <c r="N118" s="5"/>
    </row>
    <row r="119" spans="1:14" x14ac:dyDescent="0.25">
      <c r="A119" s="17"/>
      <c r="B119" s="6"/>
      <c r="C119" s="5"/>
      <c r="D119" s="5"/>
      <c r="E119" s="5"/>
      <c r="F119" s="5"/>
      <c r="G119" s="5"/>
      <c r="H119" s="5"/>
      <c r="I119" s="26">
        <v>11</v>
      </c>
      <c r="J119" s="24" t="s">
        <v>57</v>
      </c>
      <c r="K119" s="70">
        <v>40</v>
      </c>
      <c r="L119" s="4"/>
      <c r="M119" s="5"/>
      <c r="N119" s="5"/>
    </row>
    <row r="120" spans="1:14" x14ac:dyDescent="0.25">
      <c r="A120" s="14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</row>
    <row r="121" spans="1:14" x14ac:dyDescent="0.25">
      <c r="A121" s="17"/>
      <c r="B121" s="6"/>
      <c r="C121" s="222" t="s">
        <v>74</v>
      </c>
      <c r="D121" s="160"/>
      <c r="E121" s="160"/>
      <c r="F121" s="160"/>
      <c r="G121" s="160"/>
      <c r="H121" s="160"/>
      <c r="I121" s="160"/>
      <c r="J121" s="160"/>
      <c r="K121" s="160"/>
      <c r="L121" s="160"/>
      <c r="M121" s="160"/>
      <c r="N121" s="160"/>
    </row>
    <row r="122" spans="1:14" x14ac:dyDescent="0.25">
      <c r="A122" s="27"/>
      <c r="B122" s="28"/>
      <c r="C122" s="162" t="s">
        <v>75</v>
      </c>
      <c r="D122" s="160"/>
      <c r="E122" s="160"/>
      <c r="F122" s="160"/>
      <c r="G122" s="160"/>
      <c r="H122" s="160"/>
      <c r="I122" s="160"/>
      <c r="J122" s="160"/>
      <c r="K122" s="160"/>
      <c r="L122" s="160"/>
      <c r="M122" s="160"/>
      <c r="N122" s="160"/>
    </row>
    <row r="123" spans="1:14" ht="48" x14ac:dyDescent="0.25">
      <c r="A123" s="29"/>
      <c r="B123" s="28"/>
      <c r="C123" s="69" t="s">
        <v>76</v>
      </c>
      <c r="D123" s="70" t="s">
        <v>77</v>
      </c>
      <c r="E123" s="70" t="s">
        <v>56</v>
      </c>
      <c r="F123" s="70" t="s">
        <v>78</v>
      </c>
      <c r="G123" s="30" t="s">
        <v>123</v>
      </c>
      <c r="H123" s="70" t="s">
        <v>80</v>
      </c>
      <c r="I123" s="70" t="s">
        <v>81</v>
      </c>
      <c r="J123" s="70" t="s">
        <v>82</v>
      </c>
      <c r="K123" s="70" t="s">
        <v>83</v>
      </c>
      <c r="L123" s="30" t="s">
        <v>204</v>
      </c>
      <c r="M123" s="30" t="s">
        <v>84</v>
      </c>
      <c r="N123" s="70" t="s">
        <v>85</v>
      </c>
    </row>
    <row r="124" spans="1:14" hidden="1" x14ac:dyDescent="0.25">
      <c r="A124" s="29"/>
      <c r="B124" s="28"/>
      <c r="C124" s="69"/>
      <c r="D124" s="70"/>
      <c r="E124" s="70"/>
      <c r="F124" s="70"/>
      <c r="G124" s="70"/>
      <c r="H124" s="70"/>
      <c r="I124" s="70"/>
      <c r="J124" s="70"/>
      <c r="K124" s="70"/>
      <c r="L124" s="70"/>
      <c r="M124" s="30"/>
      <c r="N124" s="70"/>
    </row>
    <row r="125" spans="1:14" x14ac:dyDescent="0.25">
      <c r="A125" s="29"/>
      <c r="B125" s="28"/>
      <c r="C125" s="72">
        <v>1</v>
      </c>
      <c r="D125" s="31">
        <v>1</v>
      </c>
      <c r="E125" s="57">
        <v>5513950487</v>
      </c>
      <c r="F125" s="56">
        <v>6</v>
      </c>
      <c r="G125" s="34">
        <v>45460</v>
      </c>
      <c r="H125" s="35"/>
      <c r="I125" s="35"/>
      <c r="J125" s="35"/>
      <c r="K125" s="35"/>
      <c r="L125" s="35"/>
      <c r="M125" s="24">
        <f t="shared" ref="M125:M129" si="2">IF(C125="","",IF(IF(H125&lt;&gt;"",IF(I125&lt;&gt;"",IF(J125&lt;&gt;"",IF(K125&lt;&gt;"",G125+F125*30+(I125-H125)+(K125-J125)-$E$6,G125+F125*30+(I125-H125)-J125),G125+F125*30+(I125-H125)-$E$6),G125+F125*30-H125),G125+F125*30-$E$6)&lt;0,0,IF(H125&lt;&gt;"",IF(I125&lt;&gt;"",IF(J125&lt;&gt;"",IF(K125&lt;&gt;"",G125+F125*30+(I125-H125)+(K125-J125)-$E$6,G125+F125*30+(I125-H125)-J125),G125+F125*30+(I125-H125)-$E$6),G125+F125*30-H125),G125+F125*30-$E$6)))</f>
        <v>72</v>
      </c>
      <c r="N125" s="65">
        <f t="shared" ref="N125:N129" si="3">IF(L125="",IF(C125="","",IF(M125&lt;360,D125*E125*M125/(F125*30),D125*E125*360/(F125*30))),IF(C125="","",IF(M125&lt;360,D125*L125*M125/(F125*30),D125*L125*360/(F125*30))))</f>
        <v>2205580194.8000002</v>
      </c>
    </row>
    <row r="126" spans="1:14" x14ac:dyDescent="0.25">
      <c r="A126" s="29"/>
      <c r="B126" s="28"/>
      <c r="C126" s="72"/>
      <c r="D126" s="31"/>
      <c r="E126" s="57"/>
      <c r="F126" s="56"/>
      <c r="G126" s="34"/>
      <c r="H126" s="35"/>
      <c r="I126" s="35"/>
      <c r="J126" s="35"/>
      <c r="K126" s="35"/>
      <c r="L126" s="35"/>
      <c r="M126" s="24" t="str">
        <f t="shared" si="2"/>
        <v/>
      </c>
      <c r="N126" s="65" t="str">
        <f t="shared" si="3"/>
        <v/>
      </c>
    </row>
    <row r="127" spans="1:14" x14ac:dyDescent="0.25">
      <c r="A127" s="29"/>
      <c r="B127" s="28"/>
      <c r="C127" s="72"/>
      <c r="D127" s="31"/>
      <c r="E127" s="57"/>
      <c r="F127" s="56"/>
      <c r="G127" s="34"/>
      <c r="H127" s="35"/>
      <c r="I127" s="35"/>
      <c r="J127" s="35"/>
      <c r="K127" s="35"/>
      <c r="L127" s="35"/>
      <c r="M127" s="24" t="str">
        <f t="shared" si="2"/>
        <v/>
      </c>
      <c r="N127" s="65" t="str">
        <f t="shared" si="3"/>
        <v/>
      </c>
    </row>
    <row r="128" spans="1:14" x14ac:dyDescent="0.25">
      <c r="A128" s="29"/>
      <c r="B128" s="28"/>
      <c r="C128" s="72"/>
      <c r="D128" s="31"/>
      <c r="E128" s="57"/>
      <c r="F128" s="56"/>
      <c r="G128" s="34"/>
      <c r="H128" s="35"/>
      <c r="I128" s="35"/>
      <c r="J128" s="35"/>
      <c r="K128" s="35"/>
      <c r="L128" s="35"/>
      <c r="M128" s="24" t="str">
        <f t="shared" si="2"/>
        <v/>
      </c>
      <c r="N128" s="65" t="str">
        <f t="shared" si="3"/>
        <v/>
      </c>
    </row>
    <row r="129" spans="1:14" x14ac:dyDescent="0.25">
      <c r="A129" s="29"/>
      <c r="B129" s="28"/>
      <c r="C129" s="72"/>
      <c r="D129" s="31"/>
      <c r="E129" s="57"/>
      <c r="F129" s="56"/>
      <c r="G129" s="34"/>
      <c r="H129" s="35"/>
      <c r="I129" s="35"/>
      <c r="J129" s="35"/>
      <c r="K129" s="35"/>
      <c r="L129" s="35"/>
      <c r="M129" s="24" t="str">
        <f t="shared" si="2"/>
        <v/>
      </c>
      <c r="N129" s="65" t="str">
        <f t="shared" si="3"/>
        <v/>
      </c>
    </row>
    <row r="130" spans="1:14" hidden="1" x14ac:dyDescent="0.25">
      <c r="A130" s="29"/>
      <c r="B130" s="28"/>
      <c r="C130" s="72"/>
      <c r="D130" s="31"/>
      <c r="E130" s="32"/>
      <c r="F130" s="33"/>
      <c r="G130" s="34"/>
      <c r="H130" s="35"/>
      <c r="I130" s="35"/>
      <c r="J130" s="35"/>
      <c r="K130" s="35"/>
      <c r="L130" s="35"/>
      <c r="M130" s="70"/>
      <c r="N130" s="65"/>
    </row>
    <row r="131" spans="1:14" x14ac:dyDescent="0.25">
      <c r="A131" s="29"/>
      <c r="B131" s="1"/>
      <c r="C131" s="159" t="s">
        <v>86</v>
      </c>
      <c r="D131" s="160"/>
      <c r="E131" s="160"/>
      <c r="F131" s="160"/>
      <c r="G131" s="160"/>
      <c r="H131" s="160"/>
      <c r="I131" s="160"/>
      <c r="J131" s="160"/>
      <c r="K131" s="160"/>
      <c r="L131" s="160"/>
      <c r="M131" s="160"/>
      <c r="N131" s="66">
        <f>SUM(N124:N130)</f>
        <v>2205580194.8000002</v>
      </c>
    </row>
    <row r="133" spans="1:14" x14ac:dyDescent="0.25">
      <c r="A133" s="197" t="s">
        <v>95</v>
      </c>
      <c r="B133" s="197"/>
      <c r="C133" s="197" t="s">
        <v>96</v>
      </c>
      <c r="D133" s="197"/>
      <c r="E133" s="197"/>
      <c r="F133" s="197" t="s">
        <v>97</v>
      </c>
      <c r="G133" s="197"/>
      <c r="H133" s="197"/>
      <c r="I133" s="197"/>
      <c r="J133" s="197"/>
      <c r="K133" s="197"/>
      <c r="L133" s="197"/>
      <c r="M133" s="197"/>
      <c r="N133" s="197"/>
    </row>
    <row r="134" spans="1:14" x14ac:dyDescent="0.25">
      <c r="A134" s="197" t="str">
        <f>IF(A26="N/A","",A26)</f>
        <v/>
      </c>
      <c r="B134" s="197"/>
      <c r="C134" s="198" t="s">
        <v>91</v>
      </c>
      <c r="D134" s="199" t="str">
        <f>IF(A134="","",VLOOKUP(A134,'CAPACIDAD RESIDUAL'!$A$6:$D$304,2,FALSE))</f>
        <v/>
      </c>
      <c r="E134" s="200"/>
      <c r="F134" s="197" t="str">
        <f>$C$38</f>
        <v>Capacidad de Organización (CO)</v>
      </c>
      <c r="G134" s="197"/>
      <c r="H134" s="197"/>
      <c r="I134" s="58" t="str">
        <f>IF(A134="","",G147)</f>
        <v/>
      </c>
      <c r="J134" s="203" t="s">
        <v>88</v>
      </c>
      <c r="K134" s="183" t="str">
        <f>IF(A134="","",I134*(I135+I136+I137)/100-I138)</f>
        <v/>
      </c>
      <c r="L134" s="184"/>
      <c r="M134" s="184"/>
      <c r="N134" s="185"/>
    </row>
    <row r="135" spans="1:14" x14ac:dyDescent="0.25">
      <c r="A135" s="197"/>
      <c r="B135" s="197"/>
      <c r="C135" s="198"/>
      <c r="D135" s="201"/>
      <c r="E135" s="202"/>
      <c r="F135" s="197" t="str">
        <f>$C$47</f>
        <v>Experiencia (E)</v>
      </c>
      <c r="G135" s="197"/>
      <c r="H135" s="197"/>
      <c r="I135" s="22" t="str">
        <f>IF(A134="","",H158)</f>
        <v/>
      </c>
      <c r="J135" s="204"/>
      <c r="K135" s="186"/>
      <c r="L135" s="187"/>
      <c r="M135" s="187"/>
      <c r="N135" s="188"/>
    </row>
    <row r="136" spans="1:14" x14ac:dyDescent="0.25">
      <c r="A136" s="197"/>
      <c r="B136" s="197"/>
      <c r="C136" s="198" t="s">
        <v>92</v>
      </c>
      <c r="D136" s="205" t="str">
        <f>IF(A134="","",VLOOKUP(A134,'CAPACIDAD RESIDUAL'!$A$6:$D$304,3,FALSE))</f>
        <v/>
      </c>
      <c r="E136" s="206"/>
      <c r="F136" s="197" t="str">
        <f>$C$58</f>
        <v>Capacidad Financiera (CF)</v>
      </c>
      <c r="G136" s="197"/>
      <c r="H136" s="197"/>
      <c r="I136" s="22" t="str">
        <f>IF(A134="","",H164)</f>
        <v/>
      </c>
      <c r="J136" s="191" t="str">
        <f>IF(A134="","",IF(K134&gt;$E$9,"CUMPLE","NO CUMPLE"))</f>
        <v/>
      </c>
      <c r="K136" s="191"/>
      <c r="L136" s="191"/>
      <c r="M136" s="191"/>
      <c r="N136" s="191"/>
    </row>
    <row r="137" spans="1:14" x14ac:dyDescent="0.25">
      <c r="A137" s="197"/>
      <c r="B137" s="197"/>
      <c r="C137" s="198"/>
      <c r="D137" s="207"/>
      <c r="E137" s="208"/>
      <c r="F137" s="197" t="str">
        <f>$C$65</f>
        <v>Capacidad Técnica (CT)</v>
      </c>
      <c r="G137" s="197"/>
      <c r="H137" s="197"/>
      <c r="I137" s="22" t="str">
        <f>IF(A134="","",H169)</f>
        <v/>
      </c>
      <c r="J137" s="191"/>
      <c r="K137" s="191"/>
      <c r="L137" s="191"/>
      <c r="M137" s="191"/>
      <c r="N137" s="191"/>
    </row>
    <row r="138" spans="1:14" x14ac:dyDescent="0.25">
      <c r="A138" s="197"/>
      <c r="B138" s="197"/>
      <c r="C138" s="73" t="s">
        <v>93</v>
      </c>
      <c r="D138" s="209" t="str">
        <f>IF(A134="","",VLOOKUP(A134,'CAPACIDAD RESIDUAL'!$A$6:$D$304,4,FALSE))</f>
        <v/>
      </c>
      <c r="E138" s="210"/>
      <c r="F138" s="211" t="str">
        <f>$C$70</f>
        <v>Saldo de los Contratos en Ejecución (SCE)</v>
      </c>
      <c r="G138" s="211"/>
      <c r="H138" s="211"/>
      <c r="I138" s="58" t="str">
        <f>IF(A134="","",N182)</f>
        <v/>
      </c>
      <c r="J138" s="191"/>
      <c r="K138" s="191"/>
      <c r="L138" s="191"/>
      <c r="M138" s="191"/>
      <c r="N138" s="191"/>
    </row>
    <row r="139" spans="1:14" x14ac:dyDescent="0.25">
      <c r="A139" s="14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</row>
    <row r="140" spans="1:14" x14ac:dyDescent="0.25">
      <c r="A140" s="44"/>
      <c r="C140" s="219" t="s">
        <v>34</v>
      </c>
      <c r="D140" s="160"/>
      <c r="E140" s="160"/>
      <c r="F140" s="160"/>
      <c r="G140" s="160"/>
      <c r="H140" s="160"/>
      <c r="I140" s="220" t="s">
        <v>35</v>
      </c>
      <c r="J140" s="160"/>
      <c r="K140" s="220" t="s">
        <v>36</v>
      </c>
      <c r="L140" s="220"/>
      <c r="M140" s="160"/>
      <c r="N140" s="160"/>
    </row>
    <row r="141" spans="1:14" x14ac:dyDescent="0.25">
      <c r="A141" s="17"/>
      <c r="B141" s="6"/>
      <c r="C141" s="161" t="s">
        <v>37</v>
      </c>
      <c r="D141" s="160"/>
      <c r="E141" s="160"/>
      <c r="F141" s="160"/>
      <c r="G141" s="221" t="s">
        <v>27</v>
      </c>
      <c r="H141" s="160"/>
      <c r="I141" s="214" t="s">
        <v>38</v>
      </c>
      <c r="J141" s="160"/>
      <c r="K141" s="214" t="s">
        <v>39</v>
      </c>
      <c r="L141" s="214"/>
      <c r="M141" s="160"/>
      <c r="N141" s="160"/>
    </row>
    <row r="142" spans="1:14" x14ac:dyDescent="0.25">
      <c r="A142" s="17"/>
      <c r="B142" s="6"/>
      <c r="C142" s="161" t="s">
        <v>40</v>
      </c>
      <c r="D142" s="160"/>
      <c r="E142" s="160"/>
      <c r="F142" s="160"/>
      <c r="G142" s="212">
        <v>2023</v>
      </c>
      <c r="H142" s="213"/>
      <c r="I142" s="214" t="s">
        <v>41</v>
      </c>
      <c r="J142" s="160"/>
      <c r="K142" s="214" t="s">
        <v>42</v>
      </c>
      <c r="L142" s="214"/>
      <c r="M142" s="160"/>
      <c r="N142" s="160"/>
    </row>
    <row r="143" spans="1:14" x14ac:dyDescent="0.25">
      <c r="A143" s="17"/>
      <c r="B143" s="6"/>
      <c r="C143" s="159" t="str">
        <f>IF(G141="","",IF(G141=$S$5,"Valor umbral Mipyme.","Total Ingresos Operacionales Acreditados"))</f>
        <v>Total Ingresos Operacionales Acreditados</v>
      </c>
      <c r="D143" s="160"/>
      <c r="E143" s="160"/>
      <c r="F143" s="160"/>
      <c r="G143" s="215">
        <v>2591203000</v>
      </c>
      <c r="H143" s="216"/>
      <c r="I143" s="214" t="s">
        <v>43</v>
      </c>
      <c r="J143" s="160"/>
      <c r="K143" s="18" t="s">
        <v>44</v>
      </c>
      <c r="L143" s="18"/>
      <c r="M143" s="217">
        <v>457297264</v>
      </c>
      <c r="N143" s="218"/>
    </row>
    <row r="144" spans="1:14" x14ac:dyDescent="0.25">
      <c r="A144" s="17"/>
      <c r="B144" s="6"/>
      <c r="C144" s="162" t="s">
        <v>45</v>
      </c>
      <c r="D144" s="160"/>
      <c r="E144" s="160"/>
      <c r="F144" s="160"/>
      <c r="G144" s="160"/>
      <c r="H144" s="160"/>
      <c r="I144" s="19"/>
      <c r="J144" s="19"/>
      <c r="K144" s="20"/>
      <c r="L144" s="20"/>
      <c r="M144" s="21"/>
      <c r="N144" s="21"/>
    </row>
    <row r="145" spans="1:14" x14ac:dyDescent="0.25">
      <c r="A145" s="17"/>
      <c r="B145" s="6"/>
      <c r="C145" s="69" t="s">
        <v>46</v>
      </c>
      <c r="D145" s="225" t="s">
        <v>128</v>
      </c>
      <c r="E145" s="160"/>
      <c r="F145" s="226" t="s">
        <v>47</v>
      </c>
      <c r="G145" s="160"/>
      <c r="H145" s="72" t="s">
        <v>87</v>
      </c>
      <c r="I145" s="19"/>
      <c r="J145" s="19"/>
      <c r="K145" s="20"/>
      <c r="L145" s="20"/>
      <c r="M145" s="21"/>
      <c r="N145" s="21"/>
    </row>
    <row r="146" spans="1:14" x14ac:dyDescent="0.25">
      <c r="A146" s="17"/>
      <c r="B146" s="6"/>
      <c r="C146" s="69" t="s">
        <v>48</v>
      </c>
      <c r="D146" s="225" t="s">
        <v>127</v>
      </c>
      <c r="E146" s="160"/>
      <c r="F146" s="226" t="s">
        <v>47</v>
      </c>
      <c r="G146" s="160"/>
      <c r="H146" s="72" t="s">
        <v>87</v>
      </c>
      <c r="I146" s="19"/>
      <c r="J146" s="19"/>
      <c r="K146" s="20"/>
      <c r="L146" s="20"/>
      <c r="M146" s="21"/>
      <c r="N146" s="21"/>
    </row>
    <row r="147" spans="1:14" x14ac:dyDescent="0.25">
      <c r="A147" s="17"/>
      <c r="B147" s="6"/>
      <c r="C147" s="69" t="s">
        <v>49</v>
      </c>
      <c r="D147" s="69"/>
      <c r="E147" s="69"/>
      <c r="F147" s="69"/>
      <c r="G147" s="227">
        <f>IF(OR(H145="SIN VIGENCIA",H145="NO APORTA",H146="SIN VIGENCIA",H146="NO APORTA"),0,IF(G141="",0,IF(G141=$S$5,M143,IF(G143&lt;M143,M143,G143))))</f>
        <v>2591203000</v>
      </c>
      <c r="H147" s="228"/>
      <c r="I147" s="5"/>
      <c r="J147" s="5"/>
      <c r="K147" s="5"/>
      <c r="L147" s="5"/>
      <c r="M147" s="5"/>
      <c r="N147" s="5"/>
    </row>
    <row r="148" spans="1:14" x14ac:dyDescent="0.25">
      <c r="A148" s="14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</row>
    <row r="149" spans="1:14" x14ac:dyDescent="0.25">
      <c r="A149" s="17"/>
      <c r="B149" s="6"/>
      <c r="C149" s="222" t="s">
        <v>26</v>
      </c>
      <c r="D149" s="160"/>
      <c r="E149" s="160"/>
      <c r="F149" s="160"/>
      <c r="G149" s="160"/>
      <c r="H149" s="160"/>
      <c r="I149" s="7" t="s">
        <v>50</v>
      </c>
      <c r="J149" s="7" t="s">
        <v>51</v>
      </c>
      <c r="K149" s="7" t="s">
        <v>52</v>
      </c>
      <c r="L149" s="6"/>
      <c r="M149" s="5"/>
      <c r="N149" s="5"/>
    </row>
    <row r="150" spans="1:14" x14ac:dyDescent="0.25">
      <c r="A150" s="17"/>
      <c r="B150" s="6"/>
      <c r="C150" s="161" t="s">
        <v>53</v>
      </c>
      <c r="D150" s="160"/>
      <c r="E150" s="160"/>
      <c r="F150" s="160"/>
      <c r="G150" s="223" t="str">
        <f>D138</f>
        <v/>
      </c>
      <c r="H150" s="160"/>
      <c r="I150" s="70">
        <v>0</v>
      </c>
      <c r="J150" s="70">
        <v>3</v>
      </c>
      <c r="K150" s="70">
        <v>60</v>
      </c>
      <c r="L150" s="4"/>
      <c r="M150" s="5"/>
      <c r="N150" s="5"/>
    </row>
    <row r="151" spans="1:14" x14ac:dyDescent="0.25">
      <c r="A151" s="17"/>
      <c r="B151" s="6"/>
      <c r="C151" s="161" t="s">
        <v>22</v>
      </c>
      <c r="D151" s="160"/>
      <c r="E151" s="160"/>
      <c r="F151" s="160"/>
      <c r="G151" s="224">
        <f>$E$5</f>
        <v>1169500932</v>
      </c>
      <c r="H151" s="216"/>
      <c r="I151" s="70">
        <v>3</v>
      </c>
      <c r="J151" s="70">
        <v>6</v>
      </c>
      <c r="K151" s="70">
        <v>80</v>
      </c>
      <c r="L151" s="4"/>
      <c r="M151" s="5"/>
      <c r="N151" s="5"/>
    </row>
    <row r="152" spans="1:14" x14ac:dyDescent="0.25">
      <c r="A152" s="17"/>
      <c r="B152" s="6"/>
      <c r="C152" s="162" t="s">
        <v>54</v>
      </c>
      <c r="D152" s="160"/>
      <c r="E152" s="160"/>
      <c r="F152" s="160"/>
      <c r="G152" s="160"/>
      <c r="H152" s="160"/>
      <c r="I152" s="70">
        <v>6</v>
      </c>
      <c r="J152" s="70">
        <v>10</v>
      </c>
      <c r="K152" s="70">
        <v>100</v>
      </c>
      <c r="L152" s="4"/>
      <c r="M152" s="5"/>
      <c r="N152" s="5"/>
    </row>
    <row r="153" spans="1:14" x14ac:dyDescent="0.25">
      <c r="A153" s="17"/>
      <c r="B153" s="6"/>
      <c r="C153" s="161" t="s">
        <v>55</v>
      </c>
      <c r="D153" s="160"/>
      <c r="E153" s="160"/>
      <c r="F153" s="160"/>
      <c r="G153" s="166" t="s">
        <v>56</v>
      </c>
      <c r="H153" s="160"/>
      <c r="I153" s="70">
        <v>10</v>
      </c>
      <c r="J153" s="70" t="s">
        <v>57</v>
      </c>
      <c r="K153" s="70">
        <v>120</v>
      </c>
      <c r="L153" s="4"/>
      <c r="M153" s="5"/>
      <c r="N153" s="5"/>
    </row>
    <row r="154" spans="1:14" x14ac:dyDescent="0.25">
      <c r="A154" s="17"/>
      <c r="B154" s="6"/>
      <c r="C154" s="162" t="s">
        <v>58</v>
      </c>
      <c r="D154" s="160"/>
      <c r="E154" s="160"/>
      <c r="F154" s="160"/>
      <c r="G154" s="230">
        <v>13520501800</v>
      </c>
      <c r="H154" s="160"/>
      <c r="I154" s="5"/>
      <c r="J154" s="5"/>
      <c r="K154" s="5"/>
      <c r="L154" s="5"/>
      <c r="M154" s="5"/>
      <c r="N154" s="5"/>
    </row>
    <row r="155" spans="1:14" x14ac:dyDescent="0.25">
      <c r="A155" s="17"/>
      <c r="B155" s="6"/>
      <c r="C155" s="161"/>
      <c r="D155" s="160"/>
      <c r="E155" s="160"/>
      <c r="F155" s="160"/>
      <c r="G155" s="231"/>
      <c r="H155" s="160"/>
      <c r="I155" s="5"/>
      <c r="J155" s="5"/>
      <c r="K155" s="5"/>
      <c r="L155" s="5"/>
      <c r="M155" s="5"/>
      <c r="N155" s="5"/>
    </row>
    <row r="156" spans="1:14" x14ac:dyDescent="0.25">
      <c r="A156" s="17"/>
      <c r="B156" s="6"/>
      <c r="C156" s="159" t="s">
        <v>59</v>
      </c>
      <c r="D156" s="160"/>
      <c r="E156" s="160"/>
      <c r="F156" s="160"/>
      <c r="G156" s="229">
        <f>SUM(G153:H155)</f>
        <v>13520501800</v>
      </c>
      <c r="H156" s="160"/>
      <c r="I156" s="5"/>
      <c r="J156" s="5"/>
      <c r="K156" s="5"/>
      <c r="L156" s="5"/>
      <c r="M156" s="5"/>
      <c r="N156" s="5"/>
    </row>
    <row r="157" spans="1:14" x14ac:dyDescent="0.25">
      <c r="A157" s="17"/>
      <c r="B157" s="6"/>
      <c r="C157" s="159" t="s">
        <v>60</v>
      </c>
      <c r="D157" s="160"/>
      <c r="E157" s="160"/>
      <c r="F157" s="160"/>
      <c r="G157" s="160"/>
      <c r="H157" s="71">
        <f>IF(OR(G150="",G150=0,G156=0),0,G156/(G151*G150))</f>
        <v>0</v>
      </c>
      <c r="I157" s="5"/>
      <c r="J157" s="5"/>
      <c r="K157" s="5"/>
      <c r="L157" s="5"/>
      <c r="M157" s="5"/>
      <c r="N157" s="5"/>
    </row>
    <row r="158" spans="1:14" x14ac:dyDescent="0.25">
      <c r="A158" s="17"/>
      <c r="B158" s="6"/>
      <c r="C158" s="159" t="s">
        <v>61</v>
      </c>
      <c r="D158" s="160"/>
      <c r="E158" s="160"/>
      <c r="F158" s="160"/>
      <c r="G158" s="160"/>
      <c r="H158" s="22">
        <f>IF(H157&lt;=J150,K150,IF(H157&lt;=J151,K151,IF(H157&lt;=J152,K152,K153)))</f>
        <v>60</v>
      </c>
      <c r="I158" s="5"/>
      <c r="J158" s="23"/>
      <c r="K158" s="5"/>
      <c r="L158" s="5"/>
      <c r="M158" s="5"/>
      <c r="N158" s="5"/>
    </row>
    <row r="159" spans="1:14" x14ac:dyDescent="0.25">
      <c r="A159" s="14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</row>
    <row r="160" spans="1:14" x14ac:dyDescent="0.25">
      <c r="A160" s="17"/>
      <c r="B160" s="6"/>
      <c r="C160" s="219" t="s">
        <v>62</v>
      </c>
      <c r="D160" s="160"/>
      <c r="E160" s="160"/>
      <c r="F160" s="160"/>
      <c r="G160" s="160"/>
      <c r="H160" s="160"/>
      <c r="I160" s="7" t="s">
        <v>63</v>
      </c>
      <c r="J160" s="7" t="s">
        <v>64</v>
      </c>
      <c r="K160" s="7" t="s">
        <v>52</v>
      </c>
      <c r="L160" s="6"/>
      <c r="M160" s="5"/>
      <c r="N160" s="5"/>
    </row>
    <row r="161" spans="1:14" x14ac:dyDescent="0.25">
      <c r="A161" s="17"/>
      <c r="B161" s="6"/>
      <c r="C161" s="159" t="s">
        <v>65</v>
      </c>
      <c r="D161" s="160"/>
      <c r="E161" s="160"/>
      <c r="F161" s="160"/>
      <c r="G161" s="160"/>
      <c r="H161" s="67" t="e">
        <f>VLOOKUP(A134,'CAPACIDAD FINANCIERA'!$A$6:$AK$308,5,FALSE)</f>
        <v>#N/A</v>
      </c>
      <c r="I161" s="24">
        <v>0</v>
      </c>
      <c r="J161" s="24">
        <v>0.5</v>
      </c>
      <c r="K161" s="70">
        <v>20</v>
      </c>
      <c r="L161" s="4"/>
      <c r="M161" s="5"/>
      <c r="N161" s="5"/>
    </row>
    <row r="162" spans="1:14" x14ac:dyDescent="0.25">
      <c r="A162" s="17"/>
      <c r="B162" s="6"/>
      <c r="C162" s="159" t="s">
        <v>66</v>
      </c>
      <c r="D162" s="160"/>
      <c r="E162" s="160"/>
      <c r="F162" s="160"/>
      <c r="G162" s="160"/>
      <c r="H162" s="67" t="e">
        <f>VLOOKUP(A134,'CAPACIDAD FINANCIERA'!$A$6:$AK$308,7,FALSE)</f>
        <v>#N/A</v>
      </c>
      <c r="I162" s="24">
        <v>0.5</v>
      </c>
      <c r="J162" s="24">
        <v>0.75</v>
      </c>
      <c r="K162" s="70">
        <v>25</v>
      </c>
      <c r="L162" s="4"/>
      <c r="M162" s="5"/>
      <c r="N162" s="5"/>
    </row>
    <row r="163" spans="1:14" x14ac:dyDescent="0.25">
      <c r="A163" s="17"/>
      <c r="B163" s="6"/>
      <c r="C163" s="159" t="s">
        <v>67</v>
      </c>
      <c r="D163" s="160"/>
      <c r="E163" s="160"/>
      <c r="F163" s="160"/>
      <c r="G163" s="160"/>
      <c r="H163" s="71" t="e">
        <f>ROUND(IF(H161="",0,H161/H162),2)</f>
        <v>#N/A</v>
      </c>
      <c r="I163" s="24">
        <v>0.75</v>
      </c>
      <c r="J163" s="24">
        <v>1</v>
      </c>
      <c r="K163" s="70">
        <v>30</v>
      </c>
      <c r="L163" s="4"/>
      <c r="M163" s="5"/>
      <c r="N163" s="5"/>
    </row>
    <row r="164" spans="1:14" x14ac:dyDescent="0.25">
      <c r="A164" s="17"/>
      <c r="B164" s="6"/>
      <c r="C164" s="159" t="s">
        <v>68</v>
      </c>
      <c r="D164" s="160"/>
      <c r="E164" s="160"/>
      <c r="F164" s="160"/>
      <c r="G164" s="160"/>
      <c r="H164" s="22" t="e">
        <f>IF(H163="",0,IF(H163&lt;J161,K161,IF(H163&lt;J162,K162,IF(H163&lt;J163,K163,IF(H163&lt;J164,K164,K165)))))</f>
        <v>#N/A</v>
      </c>
      <c r="I164" s="24">
        <v>1</v>
      </c>
      <c r="J164" s="24">
        <v>1.5</v>
      </c>
      <c r="K164" s="70">
        <v>35</v>
      </c>
      <c r="L164" s="4"/>
      <c r="M164" s="5"/>
      <c r="N164" s="5"/>
    </row>
    <row r="165" spans="1:14" x14ac:dyDescent="0.25">
      <c r="A165" s="17"/>
      <c r="B165" s="6"/>
      <c r="C165" s="5"/>
      <c r="D165" s="5"/>
      <c r="E165" s="5"/>
      <c r="F165" s="5"/>
      <c r="G165" s="5"/>
      <c r="H165" s="5"/>
      <c r="I165" s="24">
        <v>1.5</v>
      </c>
      <c r="J165" s="24" t="s">
        <v>57</v>
      </c>
      <c r="K165" s="70">
        <v>40</v>
      </c>
      <c r="L165" s="4"/>
      <c r="M165" s="5"/>
      <c r="N165" s="5"/>
    </row>
    <row r="166" spans="1:14" x14ac:dyDescent="0.25">
      <c r="A166" s="14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</row>
    <row r="167" spans="1:14" x14ac:dyDescent="0.25">
      <c r="A167" s="17"/>
      <c r="B167" s="6"/>
      <c r="C167" s="219" t="s">
        <v>69</v>
      </c>
      <c r="D167" s="160"/>
      <c r="E167" s="160"/>
      <c r="F167" s="160"/>
      <c r="G167" s="160"/>
      <c r="H167" s="160"/>
      <c r="I167" s="7" t="s">
        <v>70</v>
      </c>
      <c r="J167" s="7" t="s">
        <v>71</v>
      </c>
      <c r="K167" s="7" t="s">
        <v>52</v>
      </c>
      <c r="L167" s="6"/>
      <c r="M167" s="5"/>
      <c r="N167" s="5"/>
    </row>
    <row r="168" spans="1:14" x14ac:dyDescent="0.25">
      <c r="A168" s="17"/>
      <c r="B168" s="6"/>
      <c r="C168" s="159" t="s">
        <v>72</v>
      </c>
      <c r="D168" s="160"/>
      <c r="E168" s="160"/>
      <c r="F168" s="160"/>
      <c r="G168" s="160"/>
      <c r="H168" s="25">
        <v>1</v>
      </c>
      <c r="I168" s="26">
        <v>1</v>
      </c>
      <c r="J168" s="26">
        <v>5</v>
      </c>
      <c r="K168" s="70">
        <v>20</v>
      </c>
      <c r="L168" s="4"/>
      <c r="M168" s="5"/>
      <c r="N168" s="5"/>
    </row>
    <row r="169" spans="1:14" x14ac:dyDescent="0.25">
      <c r="A169" s="17"/>
      <c r="B169" s="6"/>
      <c r="C169" s="159" t="s">
        <v>73</v>
      </c>
      <c r="D169" s="160"/>
      <c r="E169" s="160"/>
      <c r="F169" s="160"/>
      <c r="G169" s="160"/>
      <c r="H169" s="22">
        <f>IF(H168&lt;I168,0,IF(H168&lt;=J168,K168,IF(H168&lt;=J169,K169,K170)))</f>
        <v>20</v>
      </c>
      <c r="I169" s="26">
        <v>6</v>
      </c>
      <c r="J169" s="26">
        <v>10</v>
      </c>
      <c r="K169" s="70">
        <v>30</v>
      </c>
      <c r="L169" s="4"/>
      <c r="M169" s="5"/>
      <c r="N169" s="5"/>
    </row>
    <row r="170" spans="1:14" x14ac:dyDescent="0.25">
      <c r="A170" s="17"/>
      <c r="B170" s="6"/>
      <c r="C170" s="5"/>
      <c r="D170" s="5"/>
      <c r="E170" s="5"/>
      <c r="F170" s="5"/>
      <c r="G170" s="5"/>
      <c r="H170" s="5"/>
      <c r="I170" s="26">
        <v>11</v>
      </c>
      <c r="J170" s="24" t="s">
        <v>57</v>
      </c>
      <c r="K170" s="70">
        <v>40</v>
      </c>
      <c r="L170" s="4"/>
      <c r="M170" s="5"/>
      <c r="N170" s="5"/>
    </row>
    <row r="171" spans="1:14" x14ac:dyDescent="0.25">
      <c r="A171" s="14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</row>
    <row r="172" spans="1:14" x14ac:dyDescent="0.25">
      <c r="A172" s="17"/>
      <c r="B172" s="6"/>
      <c r="C172" s="222" t="s">
        <v>74</v>
      </c>
      <c r="D172" s="160"/>
      <c r="E172" s="160"/>
      <c r="F172" s="160"/>
      <c r="G172" s="160"/>
      <c r="H172" s="160"/>
      <c r="I172" s="160"/>
      <c r="J172" s="160"/>
      <c r="K172" s="160"/>
      <c r="L172" s="160"/>
      <c r="M172" s="160"/>
      <c r="N172" s="160"/>
    </row>
    <row r="173" spans="1:14" x14ac:dyDescent="0.25">
      <c r="A173" s="27"/>
      <c r="B173" s="28"/>
      <c r="C173" s="162" t="s">
        <v>75</v>
      </c>
      <c r="D173" s="160"/>
      <c r="E173" s="160"/>
      <c r="F173" s="160"/>
      <c r="G173" s="160"/>
      <c r="H173" s="160"/>
      <c r="I173" s="160"/>
      <c r="J173" s="160"/>
      <c r="K173" s="160"/>
      <c r="L173" s="160"/>
      <c r="M173" s="160"/>
      <c r="N173" s="160"/>
    </row>
    <row r="174" spans="1:14" ht="36" x14ac:dyDescent="0.25">
      <c r="A174" s="29"/>
      <c r="B174" s="28"/>
      <c r="C174" s="69" t="s">
        <v>76</v>
      </c>
      <c r="D174" s="70" t="s">
        <v>77</v>
      </c>
      <c r="E174" s="70" t="s">
        <v>56</v>
      </c>
      <c r="F174" s="70" t="s">
        <v>78</v>
      </c>
      <c r="G174" s="30" t="s">
        <v>123</v>
      </c>
      <c r="H174" s="70" t="s">
        <v>80</v>
      </c>
      <c r="I174" s="70" t="s">
        <v>81</v>
      </c>
      <c r="J174" s="70" t="s">
        <v>82</v>
      </c>
      <c r="K174" s="70" t="s">
        <v>83</v>
      </c>
      <c r="L174" s="70"/>
      <c r="M174" s="30" t="s">
        <v>84</v>
      </c>
      <c r="N174" s="70" t="s">
        <v>85</v>
      </c>
    </row>
    <row r="175" spans="1:14" hidden="1" x14ac:dyDescent="0.25">
      <c r="A175" s="29"/>
      <c r="B175" s="28"/>
      <c r="C175" s="69"/>
      <c r="D175" s="70"/>
      <c r="E175" s="70"/>
      <c r="F175" s="70"/>
      <c r="G175" s="70"/>
      <c r="H175" s="70"/>
      <c r="I175" s="70"/>
      <c r="J175" s="70"/>
      <c r="K175" s="70"/>
      <c r="L175" s="70"/>
      <c r="M175" s="30"/>
      <c r="N175" s="70"/>
    </row>
    <row r="176" spans="1:14" x14ac:dyDescent="0.25">
      <c r="A176" s="29"/>
      <c r="B176" s="28"/>
      <c r="C176" s="72"/>
      <c r="D176" s="31"/>
      <c r="E176" s="57"/>
      <c r="F176" s="56"/>
      <c r="G176" s="34"/>
      <c r="H176" s="35"/>
      <c r="I176" s="35"/>
      <c r="J176" s="35"/>
      <c r="K176" s="35"/>
      <c r="L176" s="35"/>
      <c r="M176" s="24" t="str">
        <f t="shared" ref="M176:M180" si="4">IF(C176="","",IF(IF(H176&lt;&gt;"",IF(I176&lt;&gt;"",IF(J176&lt;&gt;"",IF(K176&lt;&gt;"",G176+F176*30+(I176-H176)+(K176-J176)-$E$6,G176+F176*30+(I176-H176)-J176),G176+F176*30+(I176-H176)-$E$6),G176+F176*30-H176),G176+F176*30-$E$6)&lt;0,0,IF(H176&lt;&gt;"",IF(I176&lt;&gt;"",IF(J176&lt;&gt;"",IF(K176&lt;&gt;"",G176+F176*30+(I176-H176)+(K176-J176)-$E$6,G176+F176*30+(I176-H176)-J176),G176+F176*30+(I176-H176)-$E$6),G176+F176*30-H176),G176+F176*30-$E$6)))</f>
        <v/>
      </c>
      <c r="N176" s="65" t="str">
        <f t="shared" ref="N176:N180" si="5">IF(C176="","",IF(M176&lt;360,D176*E176*M176/(F176*30),D176*E176*360/(F176*30)))</f>
        <v/>
      </c>
    </row>
    <row r="177" spans="1:14" x14ac:dyDescent="0.25">
      <c r="A177" s="29"/>
      <c r="B177" s="28"/>
      <c r="C177" s="72"/>
      <c r="D177" s="31"/>
      <c r="E177" s="57"/>
      <c r="F177" s="56"/>
      <c r="G177" s="34"/>
      <c r="H177" s="35"/>
      <c r="I177" s="35"/>
      <c r="J177" s="35"/>
      <c r="K177" s="35"/>
      <c r="L177" s="35"/>
      <c r="M177" s="24" t="str">
        <f t="shared" si="4"/>
        <v/>
      </c>
      <c r="N177" s="65" t="str">
        <f t="shared" si="5"/>
        <v/>
      </c>
    </row>
    <row r="178" spans="1:14" x14ac:dyDescent="0.25">
      <c r="A178" s="29"/>
      <c r="B178" s="28"/>
      <c r="C178" s="72"/>
      <c r="D178" s="31"/>
      <c r="E178" s="57"/>
      <c r="F178" s="56"/>
      <c r="G178" s="34"/>
      <c r="H178" s="35"/>
      <c r="I178" s="35"/>
      <c r="J178" s="35"/>
      <c r="K178" s="35"/>
      <c r="L178" s="35"/>
      <c r="M178" s="24" t="str">
        <f t="shared" si="4"/>
        <v/>
      </c>
      <c r="N178" s="65" t="str">
        <f t="shared" si="5"/>
        <v/>
      </c>
    </row>
    <row r="179" spans="1:14" x14ac:dyDescent="0.25">
      <c r="A179" s="29"/>
      <c r="B179" s="28"/>
      <c r="C179" s="72"/>
      <c r="D179" s="31"/>
      <c r="E179" s="57"/>
      <c r="F179" s="56"/>
      <c r="G179" s="34"/>
      <c r="H179" s="35"/>
      <c r="I179" s="35"/>
      <c r="J179" s="35"/>
      <c r="K179" s="35"/>
      <c r="L179" s="35"/>
      <c r="M179" s="24" t="str">
        <f t="shared" si="4"/>
        <v/>
      </c>
      <c r="N179" s="65" t="str">
        <f t="shared" si="5"/>
        <v/>
      </c>
    </row>
    <row r="180" spans="1:14" x14ac:dyDescent="0.25">
      <c r="A180" s="29"/>
      <c r="B180" s="28"/>
      <c r="C180" s="72"/>
      <c r="D180" s="31"/>
      <c r="E180" s="57"/>
      <c r="F180" s="56"/>
      <c r="G180" s="34"/>
      <c r="H180" s="35"/>
      <c r="I180" s="35"/>
      <c r="J180" s="35"/>
      <c r="K180" s="35"/>
      <c r="L180" s="35"/>
      <c r="M180" s="24" t="str">
        <f t="shared" si="4"/>
        <v/>
      </c>
      <c r="N180" s="65" t="str">
        <f t="shared" si="5"/>
        <v/>
      </c>
    </row>
    <row r="181" spans="1:14" hidden="1" x14ac:dyDescent="0.25">
      <c r="A181" s="29"/>
      <c r="B181" s="28"/>
      <c r="C181" s="72"/>
      <c r="D181" s="31"/>
      <c r="E181" s="32"/>
      <c r="F181" s="33"/>
      <c r="G181" s="34"/>
      <c r="H181" s="35"/>
      <c r="I181" s="35"/>
      <c r="J181" s="35"/>
      <c r="K181" s="35"/>
      <c r="L181" s="35"/>
      <c r="M181" s="70"/>
      <c r="N181" s="65"/>
    </row>
    <row r="182" spans="1:14" x14ac:dyDescent="0.25">
      <c r="A182" s="29"/>
      <c r="B182" s="1"/>
      <c r="C182" s="159" t="s">
        <v>86</v>
      </c>
      <c r="D182" s="160"/>
      <c r="E182" s="160"/>
      <c r="F182" s="160"/>
      <c r="G182" s="160"/>
      <c r="H182" s="160"/>
      <c r="I182" s="160"/>
      <c r="J182" s="160"/>
      <c r="K182" s="160"/>
      <c r="L182" s="160"/>
      <c r="M182" s="160"/>
      <c r="N182" s="66">
        <f>SUM(N175:N181)</f>
        <v>0</v>
      </c>
    </row>
    <row r="184" spans="1:14" x14ac:dyDescent="0.25">
      <c r="A184" s="197" t="s">
        <v>95</v>
      </c>
      <c r="B184" s="197"/>
      <c r="C184" s="197" t="s">
        <v>96</v>
      </c>
      <c r="D184" s="197"/>
      <c r="E184" s="197"/>
      <c r="F184" s="197" t="s">
        <v>97</v>
      </c>
      <c r="G184" s="197"/>
      <c r="H184" s="197"/>
      <c r="I184" s="197"/>
      <c r="J184" s="197"/>
      <c r="K184" s="197"/>
      <c r="L184" s="197"/>
      <c r="M184" s="197"/>
      <c r="N184" s="197"/>
    </row>
    <row r="185" spans="1:14" x14ac:dyDescent="0.25">
      <c r="A185" s="197" t="str">
        <f>IF(A27="N/A","",A27)</f>
        <v/>
      </c>
      <c r="B185" s="197"/>
      <c r="C185" s="198" t="s">
        <v>91</v>
      </c>
      <c r="D185" s="199" t="str">
        <f>IF(A185="","",VLOOKUP(A185,'CAPACIDAD RESIDUAL'!$A$6:$D$304,2,FALSE))</f>
        <v/>
      </c>
      <c r="E185" s="200"/>
      <c r="F185" s="197" t="str">
        <f>$C$38</f>
        <v>Capacidad de Organización (CO)</v>
      </c>
      <c r="G185" s="197"/>
      <c r="H185" s="197"/>
      <c r="I185" s="58" t="str">
        <f>IF(A185="","",G198)</f>
        <v/>
      </c>
      <c r="J185" s="203" t="s">
        <v>88</v>
      </c>
      <c r="K185" s="183" t="str">
        <f>IF(A185="","",I185*(I186+I187+I188)/100-I189)</f>
        <v/>
      </c>
      <c r="L185" s="184"/>
      <c r="M185" s="184"/>
      <c r="N185" s="185"/>
    </row>
    <row r="186" spans="1:14" x14ac:dyDescent="0.25">
      <c r="A186" s="197"/>
      <c r="B186" s="197"/>
      <c r="C186" s="198"/>
      <c r="D186" s="201"/>
      <c r="E186" s="202"/>
      <c r="F186" s="197" t="str">
        <f>$C$47</f>
        <v>Experiencia (E)</v>
      </c>
      <c r="G186" s="197"/>
      <c r="H186" s="197"/>
      <c r="I186" s="22" t="str">
        <f>IF(A185="","",H209)</f>
        <v/>
      </c>
      <c r="J186" s="204"/>
      <c r="K186" s="186"/>
      <c r="L186" s="187"/>
      <c r="M186" s="187"/>
      <c r="N186" s="188"/>
    </row>
    <row r="187" spans="1:14" x14ac:dyDescent="0.25">
      <c r="A187" s="197"/>
      <c r="B187" s="197"/>
      <c r="C187" s="198" t="s">
        <v>92</v>
      </c>
      <c r="D187" s="205" t="str">
        <f>IF(A185="","",VLOOKUP(A185,'CAPACIDAD RESIDUAL'!$A$6:$D$304,3,FALSE))</f>
        <v/>
      </c>
      <c r="E187" s="206"/>
      <c r="F187" s="197" t="str">
        <f>$C$58</f>
        <v>Capacidad Financiera (CF)</v>
      </c>
      <c r="G187" s="197"/>
      <c r="H187" s="197"/>
      <c r="I187" s="22" t="str">
        <f>IF(A185="","",H215)</f>
        <v/>
      </c>
      <c r="J187" s="191" t="str">
        <f>IF(A185="","",IF(K185&gt;$E$9,"CUMPLE","NO CUMPLE"))</f>
        <v/>
      </c>
      <c r="K187" s="191"/>
      <c r="L187" s="191"/>
      <c r="M187" s="191"/>
      <c r="N187" s="191"/>
    </row>
    <row r="188" spans="1:14" x14ac:dyDescent="0.25">
      <c r="A188" s="197"/>
      <c r="B188" s="197"/>
      <c r="C188" s="198"/>
      <c r="D188" s="207"/>
      <c r="E188" s="208"/>
      <c r="F188" s="197" t="str">
        <f>$C$65</f>
        <v>Capacidad Técnica (CT)</v>
      </c>
      <c r="G188" s="197"/>
      <c r="H188" s="197"/>
      <c r="I188" s="22" t="str">
        <f>IF(A185="","",H220)</f>
        <v/>
      </c>
      <c r="J188" s="191"/>
      <c r="K188" s="191"/>
      <c r="L188" s="191"/>
      <c r="M188" s="191"/>
      <c r="N188" s="191"/>
    </row>
    <row r="189" spans="1:14" x14ac:dyDescent="0.25">
      <c r="A189" s="197"/>
      <c r="B189" s="197"/>
      <c r="C189" s="73" t="s">
        <v>93</v>
      </c>
      <c r="D189" s="209" t="str">
        <f>IF(A185="","",VLOOKUP(A185,'CAPACIDAD RESIDUAL'!$A$6:$D$304,4,FALSE))</f>
        <v/>
      </c>
      <c r="E189" s="210"/>
      <c r="F189" s="211" t="str">
        <f>$C$70</f>
        <v>Saldo de los Contratos en Ejecución (SCE)</v>
      </c>
      <c r="G189" s="211"/>
      <c r="H189" s="211"/>
      <c r="I189" s="58" t="str">
        <f>IF(A185="","",N233)</f>
        <v/>
      </c>
      <c r="J189" s="191"/>
      <c r="K189" s="191"/>
      <c r="L189" s="191"/>
      <c r="M189" s="191"/>
      <c r="N189" s="191"/>
    </row>
    <row r="190" spans="1:14" x14ac:dyDescent="0.25">
      <c r="A190" s="14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</row>
    <row r="191" spans="1:14" x14ac:dyDescent="0.25">
      <c r="A191" s="44"/>
      <c r="C191" s="219" t="s">
        <v>34</v>
      </c>
      <c r="D191" s="160"/>
      <c r="E191" s="160"/>
      <c r="F191" s="160"/>
      <c r="G191" s="160"/>
      <c r="H191" s="160"/>
      <c r="I191" s="220" t="s">
        <v>35</v>
      </c>
      <c r="J191" s="160"/>
      <c r="K191" s="220" t="s">
        <v>36</v>
      </c>
      <c r="L191" s="220"/>
      <c r="M191" s="160"/>
      <c r="N191" s="160"/>
    </row>
    <row r="192" spans="1:14" x14ac:dyDescent="0.25">
      <c r="A192" s="17"/>
      <c r="B192" s="6"/>
      <c r="C192" s="161" t="s">
        <v>37</v>
      </c>
      <c r="D192" s="160"/>
      <c r="E192" s="160"/>
      <c r="F192" s="160"/>
      <c r="G192" s="221" t="s">
        <v>27</v>
      </c>
      <c r="H192" s="160"/>
      <c r="I192" s="214" t="s">
        <v>38</v>
      </c>
      <c r="J192" s="160"/>
      <c r="K192" s="214" t="s">
        <v>39</v>
      </c>
      <c r="L192" s="214"/>
      <c r="M192" s="160"/>
      <c r="N192" s="160"/>
    </row>
    <row r="193" spans="1:14" x14ac:dyDescent="0.25">
      <c r="A193" s="17"/>
      <c r="B193" s="6"/>
      <c r="C193" s="161" t="s">
        <v>40</v>
      </c>
      <c r="D193" s="160"/>
      <c r="E193" s="160"/>
      <c r="F193" s="160"/>
      <c r="G193" s="212"/>
      <c r="H193" s="213"/>
      <c r="I193" s="214" t="s">
        <v>41</v>
      </c>
      <c r="J193" s="160"/>
      <c r="K193" s="214" t="s">
        <v>42</v>
      </c>
      <c r="L193" s="214"/>
      <c r="M193" s="160"/>
      <c r="N193" s="160"/>
    </row>
    <row r="194" spans="1:14" x14ac:dyDescent="0.25">
      <c r="A194" s="17"/>
      <c r="B194" s="6"/>
      <c r="C194" s="159" t="str">
        <f>IF(G192="","",IF(G192=$S$5,"Valor umbral Mipyme.","Total Ingresos Operacionales Acreditados"))</f>
        <v>Total Ingresos Operacionales Acreditados</v>
      </c>
      <c r="D194" s="160"/>
      <c r="E194" s="160"/>
      <c r="F194" s="160"/>
      <c r="G194" s="215"/>
      <c r="H194" s="216"/>
      <c r="I194" s="214" t="s">
        <v>43</v>
      </c>
      <c r="J194" s="160"/>
      <c r="K194" s="18" t="s">
        <v>44</v>
      </c>
      <c r="L194" s="18"/>
      <c r="M194" s="217">
        <v>457297264</v>
      </c>
      <c r="N194" s="218"/>
    </row>
    <row r="195" spans="1:14" x14ac:dyDescent="0.25">
      <c r="A195" s="17"/>
      <c r="B195" s="6"/>
      <c r="C195" s="162" t="s">
        <v>45</v>
      </c>
      <c r="D195" s="160"/>
      <c r="E195" s="160"/>
      <c r="F195" s="160"/>
      <c r="G195" s="160"/>
      <c r="H195" s="160"/>
      <c r="I195" s="19"/>
      <c r="J195" s="19"/>
      <c r="K195" s="20"/>
      <c r="L195" s="20"/>
      <c r="M195" s="21"/>
      <c r="N195" s="21"/>
    </row>
    <row r="196" spans="1:14" x14ac:dyDescent="0.25">
      <c r="A196" s="17"/>
      <c r="B196" s="6"/>
      <c r="C196" s="69" t="s">
        <v>46</v>
      </c>
      <c r="D196" s="225"/>
      <c r="E196" s="160"/>
      <c r="F196" s="226" t="s">
        <v>47</v>
      </c>
      <c r="G196" s="160"/>
      <c r="H196" s="72" t="s">
        <v>87</v>
      </c>
      <c r="I196" s="19"/>
      <c r="J196" s="19"/>
      <c r="K196" s="20"/>
      <c r="L196" s="20"/>
      <c r="M196" s="21"/>
      <c r="N196" s="21"/>
    </row>
    <row r="197" spans="1:14" x14ac:dyDescent="0.25">
      <c r="A197" s="17"/>
      <c r="B197" s="6"/>
      <c r="C197" s="69" t="s">
        <v>48</v>
      </c>
      <c r="D197" s="225"/>
      <c r="E197" s="160"/>
      <c r="F197" s="226" t="s">
        <v>47</v>
      </c>
      <c r="G197" s="160"/>
      <c r="H197" s="72" t="s">
        <v>87</v>
      </c>
      <c r="I197" s="19"/>
      <c r="J197" s="19"/>
      <c r="K197" s="20"/>
      <c r="L197" s="20"/>
      <c r="M197" s="21"/>
      <c r="N197" s="21"/>
    </row>
    <row r="198" spans="1:14" x14ac:dyDescent="0.25">
      <c r="A198" s="17"/>
      <c r="B198" s="6"/>
      <c r="C198" s="69" t="s">
        <v>49</v>
      </c>
      <c r="D198" s="69"/>
      <c r="E198" s="69"/>
      <c r="F198" s="69"/>
      <c r="G198" s="227">
        <f>IF(OR(H196="SIN VIGENCIA",H196="NO APORTA",H197="SIN VIGENCIA",H197="NO APORTA"),0,IF(G192="",0,IF(G192=$S$5,M194,IF(G194&lt;M194,M194,G194))))</f>
        <v>457297264</v>
      </c>
      <c r="H198" s="228"/>
      <c r="I198" s="5"/>
      <c r="J198" s="5"/>
      <c r="K198" s="5"/>
      <c r="L198" s="5"/>
      <c r="M198" s="5"/>
      <c r="N198" s="5"/>
    </row>
    <row r="199" spans="1:14" x14ac:dyDescent="0.25">
      <c r="A199" s="14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</row>
    <row r="200" spans="1:14" x14ac:dyDescent="0.25">
      <c r="A200" s="17"/>
      <c r="B200" s="6"/>
      <c r="C200" s="222" t="s">
        <v>26</v>
      </c>
      <c r="D200" s="160"/>
      <c r="E200" s="160"/>
      <c r="F200" s="160"/>
      <c r="G200" s="160"/>
      <c r="H200" s="160"/>
      <c r="I200" s="7" t="s">
        <v>50</v>
      </c>
      <c r="J200" s="7" t="s">
        <v>51</v>
      </c>
      <c r="K200" s="7" t="s">
        <v>52</v>
      </c>
      <c r="L200" s="6"/>
      <c r="M200" s="5"/>
      <c r="N200" s="5"/>
    </row>
    <row r="201" spans="1:14" x14ac:dyDescent="0.25">
      <c r="A201" s="17"/>
      <c r="B201" s="6"/>
      <c r="C201" s="161" t="s">
        <v>53</v>
      </c>
      <c r="D201" s="160"/>
      <c r="E201" s="160"/>
      <c r="F201" s="160"/>
      <c r="G201" s="223" t="str">
        <f>D189</f>
        <v/>
      </c>
      <c r="H201" s="160"/>
      <c r="I201" s="70">
        <v>0</v>
      </c>
      <c r="J201" s="70">
        <v>3</v>
      </c>
      <c r="K201" s="70">
        <v>60</v>
      </c>
      <c r="L201" s="4"/>
      <c r="M201" s="5"/>
      <c r="N201" s="5"/>
    </row>
    <row r="202" spans="1:14" x14ac:dyDescent="0.25">
      <c r="A202" s="17"/>
      <c r="B202" s="6"/>
      <c r="C202" s="161" t="s">
        <v>22</v>
      </c>
      <c r="D202" s="160"/>
      <c r="E202" s="160"/>
      <c r="F202" s="160"/>
      <c r="G202" s="224">
        <f>$E$5</f>
        <v>1169500932</v>
      </c>
      <c r="H202" s="216"/>
      <c r="I202" s="70">
        <v>3</v>
      </c>
      <c r="J202" s="70">
        <v>6</v>
      </c>
      <c r="K202" s="70">
        <v>80</v>
      </c>
      <c r="L202" s="4"/>
      <c r="M202" s="5"/>
      <c r="N202" s="5"/>
    </row>
    <row r="203" spans="1:14" x14ac:dyDescent="0.25">
      <c r="A203" s="17"/>
      <c r="B203" s="6"/>
      <c r="C203" s="162" t="s">
        <v>54</v>
      </c>
      <c r="D203" s="160"/>
      <c r="E203" s="160"/>
      <c r="F203" s="160"/>
      <c r="G203" s="160"/>
      <c r="H203" s="160"/>
      <c r="I203" s="70">
        <v>6</v>
      </c>
      <c r="J203" s="70">
        <v>10</v>
      </c>
      <c r="K203" s="70">
        <v>100</v>
      </c>
      <c r="L203" s="4"/>
      <c r="M203" s="5"/>
      <c r="N203" s="5"/>
    </row>
    <row r="204" spans="1:14" x14ac:dyDescent="0.25">
      <c r="A204" s="17"/>
      <c r="B204" s="6"/>
      <c r="C204" s="161" t="s">
        <v>55</v>
      </c>
      <c r="D204" s="160"/>
      <c r="E204" s="160"/>
      <c r="F204" s="160"/>
      <c r="G204" s="166" t="s">
        <v>56</v>
      </c>
      <c r="H204" s="160"/>
      <c r="I204" s="70">
        <v>10</v>
      </c>
      <c r="J204" s="70" t="s">
        <v>57</v>
      </c>
      <c r="K204" s="70">
        <v>120</v>
      </c>
      <c r="L204" s="4"/>
      <c r="M204" s="5"/>
      <c r="N204" s="5"/>
    </row>
    <row r="205" spans="1:14" x14ac:dyDescent="0.25">
      <c r="A205" s="17"/>
      <c r="B205" s="6"/>
      <c r="C205" s="162" t="s">
        <v>58</v>
      </c>
      <c r="D205" s="160"/>
      <c r="E205" s="160"/>
      <c r="F205" s="160"/>
      <c r="G205" s="230"/>
      <c r="H205" s="160"/>
      <c r="I205" s="5"/>
      <c r="J205" s="5"/>
      <c r="K205" s="5"/>
      <c r="L205" s="5"/>
      <c r="M205" s="5"/>
      <c r="N205" s="5"/>
    </row>
    <row r="206" spans="1:14" x14ac:dyDescent="0.25">
      <c r="A206" s="17"/>
      <c r="B206" s="6"/>
      <c r="C206" s="161"/>
      <c r="D206" s="160"/>
      <c r="E206" s="160"/>
      <c r="F206" s="160"/>
      <c r="G206" s="231"/>
      <c r="H206" s="160"/>
      <c r="I206" s="5"/>
      <c r="J206" s="5"/>
      <c r="K206" s="5"/>
      <c r="L206" s="5"/>
      <c r="M206" s="5"/>
      <c r="N206" s="5"/>
    </row>
    <row r="207" spans="1:14" x14ac:dyDescent="0.25">
      <c r="A207" s="17"/>
      <c r="B207" s="6"/>
      <c r="C207" s="159" t="s">
        <v>59</v>
      </c>
      <c r="D207" s="160"/>
      <c r="E207" s="160"/>
      <c r="F207" s="160"/>
      <c r="G207" s="229">
        <f>SUM(G204:H206)</f>
        <v>0</v>
      </c>
      <c r="H207" s="160"/>
      <c r="I207" s="5"/>
      <c r="J207" s="5"/>
      <c r="K207" s="5"/>
      <c r="L207" s="5"/>
      <c r="M207" s="5"/>
      <c r="N207" s="5"/>
    </row>
    <row r="208" spans="1:14" x14ac:dyDescent="0.25">
      <c r="A208" s="17"/>
      <c r="B208" s="6"/>
      <c r="C208" s="159" t="s">
        <v>60</v>
      </c>
      <c r="D208" s="160"/>
      <c r="E208" s="160"/>
      <c r="F208" s="160"/>
      <c r="G208" s="160"/>
      <c r="H208" s="71">
        <f>IF(OR(G201="",G201=0,G207=0),0,G207/(G202*G201))</f>
        <v>0</v>
      </c>
      <c r="I208" s="5"/>
      <c r="J208" s="5"/>
      <c r="K208" s="5"/>
      <c r="L208" s="5"/>
      <c r="M208" s="5"/>
      <c r="N208" s="5"/>
    </row>
    <row r="209" spans="1:14" x14ac:dyDescent="0.25">
      <c r="A209" s="17"/>
      <c r="B209" s="6"/>
      <c r="C209" s="159" t="s">
        <v>61</v>
      </c>
      <c r="D209" s="160"/>
      <c r="E209" s="160"/>
      <c r="F209" s="160"/>
      <c r="G209" s="160"/>
      <c r="H209" s="22">
        <f>IF(H208&lt;=J201,K201,IF(H208&lt;=J202,K202,IF(H208&lt;=J203,K203,K204)))</f>
        <v>60</v>
      </c>
      <c r="I209" s="5"/>
      <c r="J209" s="23"/>
      <c r="K209" s="5"/>
      <c r="L209" s="5"/>
      <c r="M209" s="5"/>
      <c r="N209" s="5"/>
    </row>
    <row r="210" spans="1:14" x14ac:dyDescent="0.25">
      <c r="A210" s="14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</row>
    <row r="211" spans="1:14" x14ac:dyDescent="0.25">
      <c r="A211" s="17"/>
      <c r="B211" s="6"/>
      <c r="C211" s="219" t="s">
        <v>62</v>
      </c>
      <c r="D211" s="160"/>
      <c r="E211" s="160"/>
      <c r="F211" s="160"/>
      <c r="G211" s="160"/>
      <c r="H211" s="160"/>
      <c r="I211" s="7" t="s">
        <v>63</v>
      </c>
      <c r="J211" s="7" t="s">
        <v>64</v>
      </c>
      <c r="K211" s="7" t="s">
        <v>52</v>
      </c>
      <c r="L211" s="6"/>
      <c r="M211" s="5"/>
      <c r="N211" s="5"/>
    </row>
    <row r="212" spans="1:14" x14ac:dyDescent="0.25">
      <c r="A212" s="17"/>
      <c r="B212" s="6"/>
      <c r="C212" s="159" t="s">
        <v>65</v>
      </c>
      <c r="D212" s="160"/>
      <c r="E212" s="160"/>
      <c r="F212" s="160"/>
      <c r="G212" s="160"/>
      <c r="H212" s="67" t="e">
        <f>VLOOKUP(A185,'CAPACIDAD FINANCIERA'!$A$6:$AK$308,5,FALSE)</f>
        <v>#N/A</v>
      </c>
      <c r="I212" s="24">
        <v>0</v>
      </c>
      <c r="J212" s="24">
        <v>0.5</v>
      </c>
      <c r="K212" s="70">
        <v>20</v>
      </c>
      <c r="L212" s="4"/>
      <c r="M212" s="5"/>
      <c r="N212" s="5"/>
    </row>
    <row r="213" spans="1:14" x14ac:dyDescent="0.25">
      <c r="A213" s="17"/>
      <c r="B213" s="6"/>
      <c r="C213" s="159" t="s">
        <v>66</v>
      </c>
      <c r="D213" s="160"/>
      <c r="E213" s="160"/>
      <c r="F213" s="160"/>
      <c r="G213" s="160"/>
      <c r="H213" s="67" t="e">
        <f>VLOOKUP(A185,'CAPACIDAD FINANCIERA'!$A$6:$AK$308,7,FALSE)</f>
        <v>#N/A</v>
      </c>
      <c r="I213" s="24">
        <v>0.5</v>
      </c>
      <c r="J213" s="24">
        <v>0.75</v>
      </c>
      <c r="K213" s="70">
        <v>25</v>
      </c>
      <c r="L213" s="4"/>
      <c r="M213" s="5"/>
      <c r="N213" s="5"/>
    </row>
    <row r="214" spans="1:14" x14ac:dyDescent="0.25">
      <c r="A214" s="17"/>
      <c r="B214" s="6"/>
      <c r="C214" s="159" t="s">
        <v>67</v>
      </c>
      <c r="D214" s="160"/>
      <c r="E214" s="160"/>
      <c r="F214" s="160"/>
      <c r="G214" s="160"/>
      <c r="H214" s="71" t="e">
        <f>ROUND(IF(H212="",0,H212/H213),2)</f>
        <v>#N/A</v>
      </c>
      <c r="I214" s="24">
        <v>0.75</v>
      </c>
      <c r="J214" s="24">
        <v>1</v>
      </c>
      <c r="K214" s="70">
        <v>30</v>
      </c>
      <c r="L214" s="4"/>
      <c r="M214" s="5"/>
      <c r="N214" s="5"/>
    </row>
    <row r="215" spans="1:14" x14ac:dyDescent="0.25">
      <c r="A215" s="17"/>
      <c r="B215" s="6"/>
      <c r="C215" s="159" t="s">
        <v>68</v>
      </c>
      <c r="D215" s="160"/>
      <c r="E215" s="160"/>
      <c r="F215" s="160"/>
      <c r="G215" s="160"/>
      <c r="H215" s="22" t="e">
        <f>IF(H214="",0,IF(H214&lt;J212,K212,IF(H214&lt;J213,K213,IF(H214&lt;J214,K214,IF(H214&lt;J215,K215,K216)))))</f>
        <v>#N/A</v>
      </c>
      <c r="I215" s="24">
        <v>1</v>
      </c>
      <c r="J215" s="24">
        <v>1.5</v>
      </c>
      <c r="K215" s="70">
        <v>35</v>
      </c>
      <c r="L215" s="4"/>
      <c r="M215" s="5"/>
      <c r="N215" s="5"/>
    </row>
    <row r="216" spans="1:14" x14ac:dyDescent="0.25">
      <c r="A216" s="17"/>
      <c r="B216" s="6"/>
      <c r="C216" s="5"/>
      <c r="D216" s="5"/>
      <c r="E216" s="5"/>
      <c r="F216" s="5"/>
      <c r="G216" s="5"/>
      <c r="H216" s="5"/>
      <c r="I216" s="24">
        <v>1.5</v>
      </c>
      <c r="J216" s="24" t="s">
        <v>57</v>
      </c>
      <c r="K216" s="70">
        <v>40</v>
      </c>
      <c r="L216" s="4"/>
      <c r="M216" s="5"/>
      <c r="N216" s="5"/>
    </row>
    <row r="217" spans="1:14" x14ac:dyDescent="0.25">
      <c r="A217" s="14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</row>
    <row r="218" spans="1:14" x14ac:dyDescent="0.25">
      <c r="A218" s="17"/>
      <c r="B218" s="6"/>
      <c r="C218" s="219" t="s">
        <v>69</v>
      </c>
      <c r="D218" s="160"/>
      <c r="E218" s="160"/>
      <c r="F218" s="160"/>
      <c r="G218" s="160"/>
      <c r="H218" s="160"/>
      <c r="I218" s="7" t="s">
        <v>70</v>
      </c>
      <c r="J218" s="7" t="s">
        <v>71</v>
      </c>
      <c r="K218" s="7" t="s">
        <v>52</v>
      </c>
      <c r="L218" s="6"/>
      <c r="M218" s="5"/>
      <c r="N218" s="5"/>
    </row>
    <row r="219" spans="1:14" x14ac:dyDescent="0.25">
      <c r="A219" s="17"/>
      <c r="B219" s="6"/>
      <c r="C219" s="159" t="s">
        <v>72</v>
      </c>
      <c r="D219" s="160"/>
      <c r="E219" s="160"/>
      <c r="F219" s="160"/>
      <c r="G219" s="160"/>
      <c r="H219" s="25"/>
      <c r="I219" s="26">
        <v>1</v>
      </c>
      <c r="J219" s="26">
        <v>5</v>
      </c>
      <c r="K219" s="70">
        <v>20</v>
      </c>
      <c r="L219" s="4"/>
      <c r="M219" s="5"/>
      <c r="N219" s="5"/>
    </row>
    <row r="220" spans="1:14" x14ac:dyDescent="0.25">
      <c r="A220" s="17"/>
      <c r="B220" s="6"/>
      <c r="C220" s="159" t="s">
        <v>73</v>
      </c>
      <c r="D220" s="160"/>
      <c r="E220" s="160"/>
      <c r="F220" s="160"/>
      <c r="G220" s="160"/>
      <c r="H220" s="22">
        <f>IF(H219&lt;I219,0,IF(H219&lt;=J219,K219,IF(H219&lt;=J220,K220,K221)))</f>
        <v>0</v>
      </c>
      <c r="I220" s="26">
        <v>6</v>
      </c>
      <c r="J220" s="26">
        <v>10</v>
      </c>
      <c r="K220" s="70">
        <v>30</v>
      </c>
      <c r="L220" s="4"/>
      <c r="M220" s="5"/>
      <c r="N220" s="5"/>
    </row>
    <row r="221" spans="1:14" x14ac:dyDescent="0.25">
      <c r="A221" s="17"/>
      <c r="B221" s="6"/>
      <c r="C221" s="5"/>
      <c r="D221" s="5"/>
      <c r="E221" s="5"/>
      <c r="F221" s="5"/>
      <c r="G221" s="5"/>
      <c r="H221" s="5"/>
      <c r="I221" s="26">
        <v>11</v>
      </c>
      <c r="J221" s="24" t="s">
        <v>57</v>
      </c>
      <c r="K221" s="70">
        <v>40</v>
      </c>
      <c r="L221" s="4"/>
      <c r="M221" s="5"/>
      <c r="N221" s="5"/>
    </row>
    <row r="222" spans="1:14" x14ac:dyDescent="0.25">
      <c r="A222" s="14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</row>
    <row r="223" spans="1:14" x14ac:dyDescent="0.25">
      <c r="A223" s="17"/>
      <c r="B223" s="6"/>
      <c r="C223" s="222" t="s">
        <v>74</v>
      </c>
      <c r="D223" s="160"/>
      <c r="E223" s="160"/>
      <c r="F223" s="160"/>
      <c r="G223" s="160"/>
      <c r="H223" s="160"/>
      <c r="I223" s="160"/>
      <c r="J223" s="160"/>
      <c r="K223" s="160"/>
      <c r="L223" s="160"/>
      <c r="M223" s="160"/>
      <c r="N223" s="160"/>
    </row>
    <row r="224" spans="1:14" x14ac:dyDescent="0.25">
      <c r="A224" s="27"/>
      <c r="B224" s="28"/>
      <c r="C224" s="162" t="s">
        <v>75</v>
      </c>
      <c r="D224" s="160"/>
      <c r="E224" s="160"/>
      <c r="F224" s="160"/>
      <c r="G224" s="160"/>
      <c r="H224" s="160"/>
      <c r="I224" s="160"/>
      <c r="J224" s="160"/>
      <c r="K224" s="160"/>
      <c r="L224" s="160"/>
      <c r="M224" s="160"/>
      <c r="N224" s="160"/>
    </row>
    <row r="225" spans="1:14" ht="36" x14ac:dyDescent="0.25">
      <c r="A225" s="29"/>
      <c r="B225" s="28"/>
      <c r="C225" s="69" t="s">
        <v>76</v>
      </c>
      <c r="D225" s="70" t="s">
        <v>77</v>
      </c>
      <c r="E225" s="70" t="s">
        <v>56</v>
      </c>
      <c r="F225" s="70" t="s">
        <v>78</v>
      </c>
      <c r="G225" s="30" t="s">
        <v>123</v>
      </c>
      <c r="H225" s="70" t="s">
        <v>80</v>
      </c>
      <c r="I225" s="70" t="s">
        <v>81</v>
      </c>
      <c r="J225" s="70" t="s">
        <v>82</v>
      </c>
      <c r="K225" s="70" t="s">
        <v>83</v>
      </c>
      <c r="L225" s="70"/>
      <c r="M225" s="30" t="s">
        <v>84</v>
      </c>
      <c r="N225" s="70" t="s">
        <v>85</v>
      </c>
    </row>
    <row r="226" spans="1:14" hidden="1" x14ac:dyDescent="0.25">
      <c r="A226" s="29"/>
      <c r="B226" s="28"/>
      <c r="C226" s="69"/>
      <c r="D226" s="70"/>
      <c r="E226" s="70"/>
      <c r="F226" s="70"/>
      <c r="G226" s="70"/>
      <c r="H226" s="70"/>
      <c r="I226" s="70"/>
      <c r="J226" s="70"/>
      <c r="K226" s="70"/>
      <c r="L226" s="70"/>
      <c r="M226" s="30"/>
      <c r="N226" s="70"/>
    </row>
    <row r="227" spans="1:14" x14ac:dyDescent="0.25">
      <c r="A227" s="29"/>
      <c r="B227" s="28"/>
      <c r="C227" s="72"/>
      <c r="D227" s="31"/>
      <c r="E227" s="57"/>
      <c r="F227" s="56"/>
      <c r="G227" s="34"/>
      <c r="H227" s="35"/>
      <c r="I227" s="35"/>
      <c r="J227" s="35"/>
      <c r="K227" s="35"/>
      <c r="L227" s="35"/>
      <c r="M227" s="24" t="str">
        <f t="shared" ref="M227:M231" si="6">IF(C227="","",IF(IF(H227&lt;&gt;"",IF(I227&lt;&gt;"",IF(J227&lt;&gt;"",IF(K227&lt;&gt;"",G227+F227*30+(I227-H227)+(K227-J227)-$E$6,G227+F227*30+(I227-H227)-J227),G227+F227*30+(I227-H227)-$E$6),G227+F227*30-H227),G227+F227*30-$E$6)&lt;0,0,IF(H227&lt;&gt;"",IF(I227&lt;&gt;"",IF(J227&lt;&gt;"",IF(K227&lt;&gt;"",G227+F227*30+(I227-H227)+(K227-J227)-$E$6,G227+F227*30+(I227-H227)-J227),G227+F227*30+(I227-H227)-$E$6),G227+F227*30-H227),G227+F227*30-$E$6)))</f>
        <v/>
      </c>
      <c r="N227" s="65" t="str">
        <f t="shared" ref="N227:N231" si="7">IF(C227="","",IF(M227&lt;360,D227*E227*M227/(F227*30),D227*E227*360/(F227*30)))</f>
        <v/>
      </c>
    </row>
    <row r="228" spans="1:14" x14ac:dyDescent="0.25">
      <c r="A228" s="29"/>
      <c r="B228" s="28"/>
      <c r="C228" s="72"/>
      <c r="D228" s="31"/>
      <c r="E228" s="57"/>
      <c r="F228" s="56"/>
      <c r="G228" s="34"/>
      <c r="H228" s="35"/>
      <c r="I228" s="35"/>
      <c r="J228" s="35"/>
      <c r="K228" s="35"/>
      <c r="L228" s="35"/>
      <c r="M228" s="24" t="str">
        <f t="shared" si="6"/>
        <v/>
      </c>
      <c r="N228" s="65" t="str">
        <f t="shared" si="7"/>
        <v/>
      </c>
    </row>
    <row r="229" spans="1:14" x14ac:dyDescent="0.25">
      <c r="A229" s="29"/>
      <c r="B229" s="28"/>
      <c r="C229" s="72"/>
      <c r="D229" s="31"/>
      <c r="E229" s="57"/>
      <c r="F229" s="56"/>
      <c r="G229" s="34"/>
      <c r="H229" s="35"/>
      <c r="I229" s="35"/>
      <c r="J229" s="35"/>
      <c r="K229" s="35"/>
      <c r="L229" s="35"/>
      <c r="M229" s="24" t="str">
        <f t="shared" si="6"/>
        <v/>
      </c>
      <c r="N229" s="65" t="str">
        <f t="shared" si="7"/>
        <v/>
      </c>
    </row>
    <row r="230" spans="1:14" x14ac:dyDescent="0.25">
      <c r="A230" s="29"/>
      <c r="B230" s="28"/>
      <c r="C230" s="72"/>
      <c r="D230" s="31"/>
      <c r="E230" s="57"/>
      <c r="F230" s="56"/>
      <c r="G230" s="34"/>
      <c r="H230" s="35"/>
      <c r="I230" s="35"/>
      <c r="J230" s="35"/>
      <c r="K230" s="35"/>
      <c r="L230" s="35"/>
      <c r="M230" s="24" t="str">
        <f t="shared" si="6"/>
        <v/>
      </c>
      <c r="N230" s="65" t="str">
        <f t="shared" si="7"/>
        <v/>
      </c>
    </row>
    <row r="231" spans="1:14" x14ac:dyDescent="0.25">
      <c r="A231" s="29"/>
      <c r="B231" s="28"/>
      <c r="C231" s="72"/>
      <c r="D231" s="31"/>
      <c r="E231" s="57"/>
      <c r="F231" s="56"/>
      <c r="G231" s="34"/>
      <c r="H231" s="35"/>
      <c r="I231" s="35"/>
      <c r="J231" s="35"/>
      <c r="K231" s="35"/>
      <c r="L231" s="35"/>
      <c r="M231" s="24" t="str">
        <f t="shared" si="6"/>
        <v/>
      </c>
      <c r="N231" s="65" t="str">
        <f t="shared" si="7"/>
        <v/>
      </c>
    </row>
    <row r="232" spans="1:14" hidden="1" x14ac:dyDescent="0.25">
      <c r="A232" s="29"/>
      <c r="B232" s="28"/>
      <c r="C232" s="72"/>
      <c r="D232" s="31"/>
      <c r="E232" s="32"/>
      <c r="F232" s="33"/>
      <c r="G232" s="34"/>
      <c r="H232" s="35"/>
      <c r="I232" s="35"/>
      <c r="J232" s="35"/>
      <c r="K232" s="35"/>
      <c r="L232" s="35"/>
      <c r="M232" s="70"/>
      <c r="N232" s="65"/>
    </row>
    <row r="233" spans="1:14" x14ac:dyDescent="0.25">
      <c r="A233" s="29"/>
      <c r="B233" s="1"/>
      <c r="C233" s="159" t="s">
        <v>86</v>
      </c>
      <c r="D233" s="160"/>
      <c r="E233" s="160"/>
      <c r="F233" s="160"/>
      <c r="G233" s="160"/>
      <c r="H233" s="160"/>
      <c r="I233" s="160"/>
      <c r="J233" s="160"/>
      <c r="K233" s="160"/>
      <c r="L233" s="160"/>
      <c r="M233" s="160"/>
      <c r="N233" s="66">
        <f>SUM(N226:N232)</f>
        <v>0</v>
      </c>
    </row>
    <row r="235" spans="1:14" x14ac:dyDescent="0.25">
      <c r="A235" s="197" t="s">
        <v>95</v>
      </c>
      <c r="B235" s="197"/>
      <c r="C235" s="197" t="s">
        <v>96</v>
      </c>
      <c r="D235" s="197"/>
      <c r="E235" s="197"/>
      <c r="F235" s="197" t="s">
        <v>97</v>
      </c>
      <c r="G235" s="197"/>
      <c r="H235" s="197"/>
      <c r="I235" s="197"/>
      <c r="J235" s="197"/>
      <c r="K235" s="197"/>
      <c r="L235" s="197"/>
      <c r="M235" s="197"/>
      <c r="N235" s="197"/>
    </row>
    <row r="236" spans="1:14" x14ac:dyDescent="0.25">
      <c r="A236" s="197" t="str">
        <f>IF(A28="N/A","",A28)</f>
        <v/>
      </c>
      <c r="B236" s="197"/>
      <c r="C236" s="198" t="s">
        <v>91</v>
      </c>
      <c r="D236" s="199" t="str">
        <f>IF(A236="","",VLOOKUP(A236,'CAPACIDAD RESIDUAL'!$A$6:$D$304,2,FALSE))</f>
        <v/>
      </c>
      <c r="E236" s="200"/>
      <c r="F236" s="197" t="str">
        <f>$C$38</f>
        <v>Capacidad de Organización (CO)</v>
      </c>
      <c r="G236" s="197"/>
      <c r="H236" s="197"/>
      <c r="I236" s="58" t="str">
        <f>IF(A236="","",G249)</f>
        <v/>
      </c>
      <c r="J236" s="203" t="s">
        <v>88</v>
      </c>
      <c r="K236" s="183" t="str">
        <f>IF(A236="","",I236*(I237+I238+I239)/100-I240)</f>
        <v/>
      </c>
      <c r="L236" s="184"/>
      <c r="M236" s="184"/>
      <c r="N236" s="185"/>
    </row>
    <row r="237" spans="1:14" x14ac:dyDescent="0.25">
      <c r="A237" s="197"/>
      <c r="B237" s="197"/>
      <c r="C237" s="198"/>
      <c r="D237" s="201"/>
      <c r="E237" s="202"/>
      <c r="F237" s="197" t="str">
        <f>$C$47</f>
        <v>Experiencia (E)</v>
      </c>
      <c r="G237" s="197"/>
      <c r="H237" s="197"/>
      <c r="I237" s="22" t="str">
        <f>IF(A236="","",H260)</f>
        <v/>
      </c>
      <c r="J237" s="204"/>
      <c r="K237" s="186"/>
      <c r="L237" s="187"/>
      <c r="M237" s="187"/>
      <c r="N237" s="188"/>
    </row>
    <row r="238" spans="1:14" x14ac:dyDescent="0.25">
      <c r="A238" s="197"/>
      <c r="B238" s="197"/>
      <c r="C238" s="198" t="s">
        <v>92</v>
      </c>
      <c r="D238" s="205" t="str">
        <f>IF(A236="","",VLOOKUP(A236,'CAPACIDAD RESIDUAL'!$A$6:$D$304,3,FALSE))</f>
        <v/>
      </c>
      <c r="E238" s="206"/>
      <c r="F238" s="197" t="str">
        <f>$C$58</f>
        <v>Capacidad Financiera (CF)</v>
      </c>
      <c r="G238" s="197"/>
      <c r="H238" s="197"/>
      <c r="I238" s="22" t="str">
        <f>IF(A236="","",H266)</f>
        <v/>
      </c>
      <c r="J238" s="191" t="str">
        <f>IF(A236="","",IF(K236&gt;$E$9,"CUMPLE","NO CUMPLE"))</f>
        <v/>
      </c>
      <c r="K238" s="191"/>
      <c r="L238" s="191"/>
      <c r="M238" s="191"/>
      <c r="N238" s="191"/>
    </row>
    <row r="239" spans="1:14" x14ac:dyDescent="0.25">
      <c r="A239" s="197"/>
      <c r="B239" s="197"/>
      <c r="C239" s="198"/>
      <c r="D239" s="207"/>
      <c r="E239" s="208"/>
      <c r="F239" s="197" t="str">
        <f>$C$65</f>
        <v>Capacidad Técnica (CT)</v>
      </c>
      <c r="G239" s="197"/>
      <c r="H239" s="197"/>
      <c r="I239" s="22" t="str">
        <f>IF(A236="","",H271)</f>
        <v/>
      </c>
      <c r="J239" s="191"/>
      <c r="K239" s="191"/>
      <c r="L239" s="191"/>
      <c r="M239" s="191"/>
      <c r="N239" s="191"/>
    </row>
    <row r="240" spans="1:14" x14ac:dyDescent="0.25">
      <c r="A240" s="197"/>
      <c r="B240" s="197"/>
      <c r="C240" s="73" t="s">
        <v>93</v>
      </c>
      <c r="D240" s="209" t="str">
        <f>IF(A236="","",VLOOKUP(A236,'CAPACIDAD RESIDUAL'!$A$6:$D$304,4,FALSE))</f>
        <v/>
      </c>
      <c r="E240" s="210"/>
      <c r="F240" s="211" t="str">
        <f>$C$70</f>
        <v>Saldo de los Contratos en Ejecución (SCE)</v>
      </c>
      <c r="G240" s="211"/>
      <c r="H240" s="211"/>
      <c r="I240" s="58" t="str">
        <f>IF(A236="","",N284)</f>
        <v/>
      </c>
      <c r="J240" s="191"/>
      <c r="K240" s="191"/>
      <c r="L240" s="191"/>
      <c r="M240" s="191"/>
      <c r="N240" s="191"/>
    </row>
    <row r="241" spans="1:14" x14ac:dyDescent="0.25">
      <c r="A241" s="14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</row>
    <row r="242" spans="1:14" x14ac:dyDescent="0.25">
      <c r="A242" s="44"/>
      <c r="C242" s="219" t="s">
        <v>34</v>
      </c>
      <c r="D242" s="160"/>
      <c r="E242" s="160"/>
      <c r="F242" s="160"/>
      <c r="G242" s="160"/>
      <c r="H242" s="160"/>
      <c r="I242" s="220" t="s">
        <v>35</v>
      </c>
      <c r="J242" s="160"/>
      <c r="K242" s="220" t="s">
        <v>36</v>
      </c>
      <c r="L242" s="220"/>
      <c r="M242" s="160"/>
      <c r="N242" s="160"/>
    </row>
    <row r="243" spans="1:14" x14ac:dyDescent="0.25">
      <c r="A243" s="17"/>
      <c r="B243" s="6"/>
      <c r="C243" s="161" t="s">
        <v>37</v>
      </c>
      <c r="D243" s="160"/>
      <c r="E243" s="160"/>
      <c r="F243" s="160"/>
      <c r="G243" s="221" t="s">
        <v>27</v>
      </c>
      <c r="H243" s="160"/>
      <c r="I243" s="214" t="s">
        <v>38</v>
      </c>
      <c r="J243" s="160"/>
      <c r="K243" s="214" t="s">
        <v>39</v>
      </c>
      <c r="L243" s="214"/>
      <c r="M243" s="160"/>
      <c r="N243" s="160"/>
    </row>
    <row r="244" spans="1:14" x14ac:dyDescent="0.25">
      <c r="A244" s="17"/>
      <c r="B244" s="6"/>
      <c r="C244" s="161" t="s">
        <v>40</v>
      </c>
      <c r="D244" s="160"/>
      <c r="E244" s="160"/>
      <c r="F244" s="160"/>
      <c r="G244" s="212"/>
      <c r="H244" s="213"/>
      <c r="I244" s="214" t="s">
        <v>41</v>
      </c>
      <c r="J244" s="160"/>
      <c r="K244" s="214" t="s">
        <v>42</v>
      </c>
      <c r="L244" s="214"/>
      <c r="M244" s="160"/>
      <c r="N244" s="160"/>
    </row>
    <row r="245" spans="1:14" x14ac:dyDescent="0.25">
      <c r="A245" s="17"/>
      <c r="B245" s="6"/>
      <c r="C245" s="159" t="str">
        <f>IF(G243="","",IF(G243=$S$5,"Valor umbral Mipyme.","Total Ingresos Operacionales Acreditados"))</f>
        <v>Total Ingresos Operacionales Acreditados</v>
      </c>
      <c r="D245" s="160"/>
      <c r="E245" s="160"/>
      <c r="F245" s="160"/>
      <c r="G245" s="215"/>
      <c r="H245" s="216"/>
      <c r="I245" s="214" t="s">
        <v>43</v>
      </c>
      <c r="J245" s="160"/>
      <c r="K245" s="18" t="s">
        <v>44</v>
      </c>
      <c r="L245" s="18"/>
      <c r="M245" s="217">
        <v>457297264</v>
      </c>
      <c r="N245" s="218"/>
    </row>
    <row r="246" spans="1:14" x14ac:dyDescent="0.25">
      <c r="A246" s="17"/>
      <c r="B246" s="6"/>
      <c r="C246" s="162" t="s">
        <v>45</v>
      </c>
      <c r="D246" s="160"/>
      <c r="E246" s="160"/>
      <c r="F246" s="160"/>
      <c r="G246" s="160"/>
      <c r="H246" s="160"/>
      <c r="I246" s="19"/>
      <c r="J246" s="19"/>
      <c r="K246" s="20"/>
      <c r="L246" s="20"/>
      <c r="M246" s="21"/>
      <c r="N246" s="21"/>
    </row>
    <row r="247" spans="1:14" x14ac:dyDescent="0.25">
      <c r="A247" s="17"/>
      <c r="B247" s="6"/>
      <c r="C247" s="69" t="s">
        <v>46</v>
      </c>
      <c r="D247" s="225"/>
      <c r="E247" s="160"/>
      <c r="F247" s="226" t="s">
        <v>47</v>
      </c>
      <c r="G247" s="160"/>
      <c r="H247" s="72" t="s">
        <v>87</v>
      </c>
      <c r="I247" s="19"/>
      <c r="J247" s="19"/>
      <c r="K247" s="20"/>
      <c r="L247" s="20"/>
      <c r="M247" s="21"/>
      <c r="N247" s="21"/>
    </row>
    <row r="248" spans="1:14" x14ac:dyDescent="0.25">
      <c r="A248" s="17"/>
      <c r="B248" s="6"/>
      <c r="C248" s="69" t="s">
        <v>48</v>
      </c>
      <c r="D248" s="225"/>
      <c r="E248" s="160"/>
      <c r="F248" s="226" t="s">
        <v>47</v>
      </c>
      <c r="G248" s="160"/>
      <c r="H248" s="72" t="s">
        <v>87</v>
      </c>
      <c r="I248" s="19"/>
      <c r="J248" s="19"/>
      <c r="K248" s="20"/>
      <c r="L248" s="20"/>
      <c r="M248" s="21"/>
      <c r="N248" s="21"/>
    </row>
    <row r="249" spans="1:14" x14ac:dyDescent="0.25">
      <c r="A249" s="17"/>
      <c r="B249" s="6"/>
      <c r="C249" s="69" t="s">
        <v>49</v>
      </c>
      <c r="D249" s="69"/>
      <c r="E249" s="69"/>
      <c r="F249" s="69"/>
      <c r="G249" s="227">
        <f>IF(OR(H247="SIN VIGENCIA",H247="NO APORTA",H248="SIN VIGENCIA",H248="NO APORTA"),0,IF(G243="",0,IF(G243=$S$5,M245,IF(G245&lt;M245,M245,G245))))</f>
        <v>457297264</v>
      </c>
      <c r="H249" s="228"/>
      <c r="I249" s="5"/>
      <c r="J249" s="5"/>
      <c r="K249" s="5"/>
      <c r="L249" s="5"/>
      <c r="M249" s="5"/>
      <c r="N249" s="5"/>
    </row>
    <row r="250" spans="1:14" x14ac:dyDescent="0.25">
      <c r="A250" s="14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</row>
    <row r="251" spans="1:14" x14ac:dyDescent="0.25">
      <c r="A251" s="17"/>
      <c r="B251" s="6"/>
      <c r="C251" s="222" t="s">
        <v>26</v>
      </c>
      <c r="D251" s="160"/>
      <c r="E251" s="160"/>
      <c r="F251" s="160"/>
      <c r="G251" s="160"/>
      <c r="H251" s="160"/>
      <c r="I251" s="7" t="s">
        <v>50</v>
      </c>
      <c r="J251" s="7" t="s">
        <v>51</v>
      </c>
      <c r="K251" s="7" t="s">
        <v>52</v>
      </c>
      <c r="L251" s="6"/>
      <c r="M251" s="5"/>
      <c r="N251" s="5"/>
    </row>
    <row r="252" spans="1:14" x14ac:dyDescent="0.25">
      <c r="A252" s="17"/>
      <c r="B252" s="6"/>
      <c r="C252" s="161" t="s">
        <v>53</v>
      </c>
      <c r="D252" s="160"/>
      <c r="E252" s="160"/>
      <c r="F252" s="160"/>
      <c r="G252" s="223" t="str">
        <f>D240</f>
        <v/>
      </c>
      <c r="H252" s="160"/>
      <c r="I252" s="70">
        <v>0</v>
      </c>
      <c r="J252" s="70">
        <v>3</v>
      </c>
      <c r="K252" s="70">
        <v>60</v>
      </c>
      <c r="L252" s="4"/>
      <c r="M252" s="5"/>
      <c r="N252" s="5"/>
    </row>
    <row r="253" spans="1:14" x14ac:dyDescent="0.25">
      <c r="A253" s="17"/>
      <c r="B253" s="6"/>
      <c r="C253" s="161" t="s">
        <v>22</v>
      </c>
      <c r="D253" s="160"/>
      <c r="E253" s="160"/>
      <c r="F253" s="160"/>
      <c r="G253" s="224">
        <f>$E$5</f>
        <v>1169500932</v>
      </c>
      <c r="H253" s="216"/>
      <c r="I253" s="70">
        <v>3</v>
      </c>
      <c r="J253" s="70">
        <v>6</v>
      </c>
      <c r="K253" s="70">
        <v>80</v>
      </c>
      <c r="L253" s="4"/>
      <c r="M253" s="5"/>
      <c r="N253" s="5"/>
    </row>
    <row r="254" spans="1:14" x14ac:dyDescent="0.25">
      <c r="A254" s="17"/>
      <c r="B254" s="6"/>
      <c r="C254" s="162" t="s">
        <v>54</v>
      </c>
      <c r="D254" s="160"/>
      <c r="E254" s="160"/>
      <c r="F254" s="160"/>
      <c r="G254" s="160"/>
      <c r="H254" s="160"/>
      <c r="I254" s="70">
        <v>6</v>
      </c>
      <c r="J254" s="70">
        <v>10</v>
      </c>
      <c r="K254" s="70">
        <v>100</v>
      </c>
      <c r="L254" s="4"/>
      <c r="M254" s="5"/>
      <c r="N254" s="5"/>
    </row>
    <row r="255" spans="1:14" x14ac:dyDescent="0.25">
      <c r="A255" s="17"/>
      <c r="B255" s="6"/>
      <c r="C255" s="161" t="s">
        <v>55</v>
      </c>
      <c r="D255" s="160"/>
      <c r="E255" s="160"/>
      <c r="F255" s="160"/>
      <c r="G255" s="166" t="s">
        <v>56</v>
      </c>
      <c r="H255" s="160"/>
      <c r="I255" s="70">
        <v>10</v>
      </c>
      <c r="J255" s="70" t="s">
        <v>57</v>
      </c>
      <c r="K255" s="70">
        <v>120</v>
      </c>
      <c r="L255" s="4"/>
      <c r="M255" s="5"/>
      <c r="N255" s="5"/>
    </row>
    <row r="256" spans="1:14" x14ac:dyDescent="0.25">
      <c r="A256" s="17"/>
      <c r="B256" s="6"/>
      <c r="C256" s="162" t="s">
        <v>58</v>
      </c>
      <c r="D256" s="160"/>
      <c r="E256" s="160"/>
      <c r="F256" s="160"/>
      <c r="G256" s="230"/>
      <c r="H256" s="160"/>
      <c r="I256" s="5"/>
      <c r="J256" s="5"/>
      <c r="K256" s="5"/>
      <c r="L256" s="5"/>
      <c r="M256" s="5"/>
      <c r="N256" s="5"/>
    </row>
    <row r="257" spans="1:14" x14ac:dyDescent="0.25">
      <c r="A257" s="17"/>
      <c r="B257" s="6"/>
      <c r="C257" s="161"/>
      <c r="D257" s="160"/>
      <c r="E257" s="160"/>
      <c r="F257" s="160"/>
      <c r="G257" s="231"/>
      <c r="H257" s="160"/>
      <c r="I257" s="5"/>
      <c r="J257" s="5"/>
      <c r="K257" s="5"/>
      <c r="L257" s="5"/>
      <c r="M257" s="5"/>
      <c r="N257" s="5"/>
    </row>
    <row r="258" spans="1:14" x14ac:dyDescent="0.25">
      <c r="A258" s="17"/>
      <c r="B258" s="6"/>
      <c r="C258" s="159" t="s">
        <v>59</v>
      </c>
      <c r="D258" s="160"/>
      <c r="E258" s="160"/>
      <c r="F258" s="160"/>
      <c r="G258" s="229">
        <f>SUM(G255:H257)</f>
        <v>0</v>
      </c>
      <c r="H258" s="160"/>
      <c r="I258" s="5"/>
      <c r="J258" s="5"/>
      <c r="K258" s="5"/>
      <c r="L258" s="5"/>
      <c r="M258" s="5"/>
      <c r="N258" s="5"/>
    </row>
    <row r="259" spans="1:14" x14ac:dyDescent="0.25">
      <c r="A259" s="17"/>
      <c r="B259" s="6"/>
      <c r="C259" s="159" t="s">
        <v>60</v>
      </c>
      <c r="D259" s="160"/>
      <c r="E259" s="160"/>
      <c r="F259" s="160"/>
      <c r="G259" s="160"/>
      <c r="H259" s="71">
        <f>IF(OR(G252="",G252=0,G258=0),0,G258/(G253*G252))</f>
        <v>0</v>
      </c>
      <c r="I259" s="5"/>
      <c r="J259" s="5"/>
      <c r="K259" s="5"/>
      <c r="L259" s="5"/>
      <c r="M259" s="5"/>
      <c r="N259" s="5"/>
    </row>
    <row r="260" spans="1:14" x14ac:dyDescent="0.25">
      <c r="A260" s="17"/>
      <c r="B260" s="6"/>
      <c r="C260" s="159" t="s">
        <v>61</v>
      </c>
      <c r="D260" s="160"/>
      <c r="E260" s="160"/>
      <c r="F260" s="160"/>
      <c r="G260" s="160"/>
      <c r="H260" s="22">
        <f>IF(H259&lt;=J252,K252,IF(H259&lt;=J253,K253,IF(H259&lt;=J254,K254,K255)))</f>
        <v>60</v>
      </c>
      <c r="I260" s="5"/>
      <c r="J260" s="23"/>
      <c r="K260" s="5"/>
      <c r="L260" s="5"/>
      <c r="M260" s="5"/>
      <c r="N260" s="5"/>
    </row>
    <row r="261" spans="1:14" x14ac:dyDescent="0.25">
      <c r="A261" s="14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</row>
    <row r="262" spans="1:14" x14ac:dyDescent="0.25">
      <c r="A262" s="17"/>
      <c r="B262" s="6"/>
      <c r="C262" s="219" t="s">
        <v>62</v>
      </c>
      <c r="D262" s="160"/>
      <c r="E262" s="160"/>
      <c r="F262" s="160"/>
      <c r="G262" s="160"/>
      <c r="H262" s="160"/>
      <c r="I262" s="7" t="s">
        <v>63</v>
      </c>
      <c r="J262" s="7" t="s">
        <v>64</v>
      </c>
      <c r="K262" s="7" t="s">
        <v>52</v>
      </c>
      <c r="L262" s="6"/>
      <c r="M262" s="5"/>
      <c r="N262" s="5"/>
    </row>
    <row r="263" spans="1:14" x14ac:dyDescent="0.25">
      <c r="A263" s="17"/>
      <c r="B263" s="6"/>
      <c r="C263" s="159" t="s">
        <v>65</v>
      </c>
      <c r="D263" s="160"/>
      <c r="E263" s="160"/>
      <c r="F263" s="160"/>
      <c r="G263" s="160"/>
      <c r="H263" s="67" t="e">
        <f>VLOOKUP(A236,'CAPACIDAD FINANCIERA'!$A$6:$AK$308,5,FALSE)</f>
        <v>#N/A</v>
      </c>
      <c r="I263" s="24">
        <v>0</v>
      </c>
      <c r="J263" s="24">
        <v>0.5</v>
      </c>
      <c r="K263" s="70">
        <v>20</v>
      </c>
      <c r="L263" s="4"/>
      <c r="M263" s="5"/>
      <c r="N263" s="5"/>
    </row>
    <row r="264" spans="1:14" x14ac:dyDescent="0.25">
      <c r="A264" s="17"/>
      <c r="B264" s="6"/>
      <c r="C264" s="159" t="s">
        <v>66</v>
      </c>
      <c r="D264" s="160"/>
      <c r="E264" s="160"/>
      <c r="F264" s="160"/>
      <c r="G264" s="160"/>
      <c r="H264" s="67" t="e">
        <f>VLOOKUP(A236,'CAPACIDAD FINANCIERA'!$A$6:$AK$308,7,FALSE)</f>
        <v>#N/A</v>
      </c>
      <c r="I264" s="24">
        <v>0.5</v>
      </c>
      <c r="J264" s="24">
        <v>0.75</v>
      </c>
      <c r="K264" s="70">
        <v>25</v>
      </c>
      <c r="L264" s="4"/>
      <c r="M264" s="5"/>
      <c r="N264" s="5"/>
    </row>
    <row r="265" spans="1:14" x14ac:dyDescent="0.25">
      <c r="A265" s="17"/>
      <c r="B265" s="6"/>
      <c r="C265" s="159" t="s">
        <v>67</v>
      </c>
      <c r="D265" s="160"/>
      <c r="E265" s="160"/>
      <c r="F265" s="160"/>
      <c r="G265" s="160"/>
      <c r="H265" s="71" t="e">
        <f>ROUND(IF(H263="",0,H263/H264),2)</f>
        <v>#N/A</v>
      </c>
      <c r="I265" s="24">
        <v>0.75</v>
      </c>
      <c r="J265" s="24">
        <v>1</v>
      </c>
      <c r="K265" s="70">
        <v>30</v>
      </c>
      <c r="L265" s="4"/>
      <c r="M265" s="5"/>
      <c r="N265" s="5"/>
    </row>
    <row r="266" spans="1:14" x14ac:dyDescent="0.25">
      <c r="A266" s="17"/>
      <c r="B266" s="6"/>
      <c r="C266" s="159" t="s">
        <v>68</v>
      </c>
      <c r="D266" s="160"/>
      <c r="E266" s="160"/>
      <c r="F266" s="160"/>
      <c r="G266" s="160"/>
      <c r="H266" s="22" t="e">
        <f>IF(H265="",0,IF(H265&lt;J263,K263,IF(H265&lt;J264,K264,IF(H265&lt;J265,K265,IF(H265&lt;J266,K266,K267)))))</f>
        <v>#N/A</v>
      </c>
      <c r="I266" s="24">
        <v>1</v>
      </c>
      <c r="J266" s="24">
        <v>1.5</v>
      </c>
      <c r="K266" s="70">
        <v>35</v>
      </c>
      <c r="L266" s="4"/>
      <c r="M266" s="5"/>
      <c r="N266" s="5"/>
    </row>
    <row r="267" spans="1:14" x14ac:dyDescent="0.25">
      <c r="A267" s="17"/>
      <c r="B267" s="6"/>
      <c r="C267" s="5"/>
      <c r="D267" s="5"/>
      <c r="E267" s="5"/>
      <c r="F267" s="5"/>
      <c r="G267" s="5"/>
      <c r="H267" s="5"/>
      <c r="I267" s="24">
        <v>1.5</v>
      </c>
      <c r="J267" s="24" t="s">
        <v>57</v>
      </c>
      <c r="K267" s="70">
        <v>40</v>
      </c>
      <c r="L267" s="4"/>
      <c r="M267" s="5"/>
      <c r="N267" s="5"/>
    </row>
    <row r="268" spans="1:14" x14ac:dyDescent="0.25">
      <c r="A268" s="14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</row>
    <row r="269" spans="1:14" x14ac:dyDescent="0.25">
      <c r="A269" s="17"/>
      <c r="B269" s="6"/>
      <c r="C269" s="219" t="s">
        <v>69</v>
      </c>
      <c r="D269" s="160"/>
      <c r="E269" s="160"/>
      <c r="F269" s="160"/>
      <c r="G269" s="160"/>
      <c r="H269" s="160"/>
      <c r="I269" s="7" t="s">
        <v>70</v>
      </c>
      <c r="J269" s="7" t="s">
        <v>71</v>
      </c>
      <c r="K269" s="7" t="s">
        <v>52</v>
      </c>
      <c r="L269" s="6"/>
      <c r="M269" s="5"/>
      <c r="N269" s="5"/>
    </row>
    <row r="270" spans="1:14" x14ac:dyDescent="0.25">
      <c r="A270" s="17"/>
      <c r="B270" s="6"/>
      <c r="C270" s="159" t="s">
        <v>72</v>
      </c>
      <c r="D270" s="160"/>
      <c r="E270" s="160"/>
      <c r="F270" s="160"/>
      <c r="G270" s="160"/>
      <c r="H270" s="25"/>
      <c r="I270" s="26">
        <v>1</v>
      </c>
      <c r="J270" s="26">
        <v>5</v>
      </c>
      <c r="K270" s="70">
        <v>20</v>
      </c>
      <c r="L270" s="4"/>
      <c r="M270" s="5"/>
      <c r="N270" s="5"/>
    </row>
    <row r="271" spans="1:14" x14ac:dyDescent="0.25">
      <c r="A271" s="17"/>
      <c r="B271" s="6"/>
      <c r="C271" s="159" t="s">
        <v>73</v>
      </c>
      <c r="D271" s="160"/>
      <c r="E271" s="160"/>
      <c r="F271" s="160"/>
      <c r="G271" s="160"/>
      <c r="H271" s="22">
        <f>IF(H270&lt;I270,0,IF(H270&lt;=J270,K270,IF(H270&lt;=J271,K271,K272)))</f>
        <v>0</v>
      </c>
      <c r="I271" s="26">
        <v>6</v>
      </c>
      <c r="J271" s="26">
        <v>10</v>
      </c>
      <c r="K271" s="70">
        <v>30</v>
      </c>
      <c r="L271" s="4"/>
      <c r="M271" s="5"/>
      <c r="N271" s="5"/>
    </row>
    <row r="272" spans="1:14" x14ac:dyDescent="0.25">
      <c r="A272" s="17"/>
      <c r="B272" s="6"/>
      <c r="C272" s="5"/>
      <c r="D272" s="5"/>
      <c r="E272" s="5"/>
      <c r="F272" s="5"/>
      <c r="G272" s="5"/>
      <c r="H272" s="5"/>
      <c r="I272" s="26">
        <v>11</v>
      </c>
      <c r="J272" s="24" t="s">
        <v>57</v>
      </c>
      <c r="K272" s="70">
        <v>40</v>
      </c>
      <c r="L272" s="4"/>
      <c r="M272" s="5"/>
      <c r="N272" s="5"/>
    </row>
    <row r="273" spans="1:14" x14ac:dyDescent="0.25">
      <c r="A273" s="14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</row>
    <row r="274" spans="1:14" x14ac:dyDescent="0.25">
      <c r="A274" s="17"/>
      <c r="B274" s="6"/>
      <c r="C274" s="222" t="s">
        <v>74</v>
      </c>
      <c r="D274" s="160"/>
      <c r="E274" s="160"/>
      <c r="F274" s="160"/>
      <c r="G274" s="160"/>
      <c r="H274" s="160"/>
      <c r="I274" s="160"/>
      <c r="J274" s="160"/>
      <c r="K274" s="160"/>
      <c r="L274" s="160"/>
      <c r="M274" s="160"/>
      <c r="N274" s="160"/>
    </row>
    <row r="275" spans="1:14" x14ac:dyDescent="0.25">
      <c r="A275" s="27"/>
      <c r="B275" s="28"/>
      <c r="C275" s="162" t="s">
        <v>75</v>
      </c>
      <c r="D275" s="160"/>
      <c r="E275" s="160"/>
      <c r="F275" s="160"/>
      <c r="G275" s="160"/>
      <c r="H275" s="160"/>
      <c r="I275" s="160"/>
      <c r="J275" s="160"/>
      <c r="K275" s="160"/>
      <c r="L275" s="160"/>
      <c r="M275" s="160"/>
      <c r="N275" s="160"/>
    </row>
    <row r="276" spans="1:14" ht="36" x14ac:dyDescent="0.25">
      <c r="A276" s="29"/>
      <c r="B276" s="28"/>
      <c r="C276" s="69" t="s">
        <v>76</v>
      </c>
      <c r="D276" s="70" t="s">
        <v>77</v>
      </c>
      <c r="E276" s="70" t="s">
        <v>56</v>
      </c>
      <c r="F276" s="70" t="s">
        <v>78</v>
      </c>
      <c r="G276" s="30" t="s">
        <v>123</v>
      </c>
      <c r="H276" s="70" t="s">
        <v>80</v>
      </c>
      <c r="I276" s="70" t="s">
        <v>81</v>
      </c>
      <c r="J276" s="70" t="s">
        <v>82</v>
      </c>
      <c r="K276" s="70" t="s">
        <v>83</v>
      </c>
      <c r="L276" s="70"/>
      <c r="M276" s="30" t="s">
        <v>84</v>
      </c>
      <c r="N276" s="70" t="s">
        <v>85</v>
      </c>
    </row>
    <row r="277" spans="1:14" hidden="1" x14ac:dyDescent="0.25">
      <c r="A277" s="29"/>
      <c r="B277" s="28"/>
      <c r="C277" s="69"/>
      <c r="D277" s="70"/>
      <c r="E277" s="70"/>
      <c r="F277" s="70"/>
      <c r="G277" s="70"/>
      <c r="H277" s="70"/>
      <c r="I277" s="70"/>
      <c r="J277" s="70"/>
      <c r="K277" s="70"/>
      <c r="L277" s="70"/>
      <c r="M277" s="30"/>
      <c r="N277" s="70"/>
    </row>
    <row r="278" spans="1:14" x14ac:dyDescent="0.25">
      <c r="A278" s="29"/>
      <c r="B278" s="28"/>
      <c r="C278" s="72"/>
      <c r="D278" s="31"/>
      <c r="E278" s="57"/>
      <c r="F278" s="56"/>
      <c r="G278" s="34"/>
      <c r="H278" s="35"/>
      <c r="I278" s="35"/>
      <c r="J278" s="35"/>
      <c r="K278" s="35"/>
      <c r="L278" s="35"/>
      <c r="M278" s="24" t="str">
        <f t="shared" ref="M278:M282" si="8">IF(C278="","",IF(IF(H278&lt;&gt;"",IF(I278&lt;&gt;"",IF(J278&lt;&gt;"",IF(K278&lt;&gt;"",G278+F278*30+(I278-H278)+(K278-J278)-$E$6,G278+F278*30+(I278-H278)-J278),G278+F278*30+(I278-H278)-$E$6),G278+F278*30-H278),G278+F278*30-$E$6)&lt;0,0,IF(H278&lt;&gt;"",IF(I278&lt;&gt;"",IF(J278&lt;&gt;"",IF(K278&lt;&gt;"",G278+F278*30+(I278-H278)+(K278-J278)-$E$6,G278+F278*30+(I278-H278)-J278),G278+F278*30+(I278-H278)-$E$6),G278+F278*30-H278),G278+F278*30-$E$6)))</f>
        <v/>
      </c>
      <c r="N278" s="65" t="str">
        <f t="shared" ref="N278:N282" si="9">IF(C278="","",IF(M278&lt;360,D278*E278*M278/(F278*30),D278*E278*360/(F278*30)))</f>
        <v/>
      </c>
    </row>
    <row r="279" spans="1:14" x14ac:dyDescent="0.25">
      <c r="A279" s="29"/>
      <c r="B279" s="28"/>
      <c r="C279" s="72"/>
      <c r="D279" s="31"/>
      <c r="E279" s="57"/>
      <c r="F279" s="56"/>
      <c r="G279" s="34"/>
      <c r="H279" s="35"/>
      <c r="I279" s="35"/>
      <c r="J279" s="35"/>
      <c r="K279" s="35"/>
      <c r="L279" s="35"/>
      <c r="M279" s="24" t="str">
        <f t="shared" si="8"/>
        <v/>
      </c>
      <c r="N279" s="65" t="str">
        <f t="shared" si="9"/>
        <v/>
      </c>
    </row>
    <row r="280" spans="1:14" x14ac:dyDescent="0.25">
      <c r="A280" s="29"/>
      <c r="B280" s="28"/>
      <c r="C280" s="72"/>
      <c r="D280" s="31"/>
      <c r="E280" s="57"/>
      <c r="F280" s="56"/>
      <c r="G280" s="34"/>
      <c r="H280" s="35"/>
      <c r="I280" s="35"/>
      <c r="J280" s="35"/>
      <c r="K280" s="35"/>
      <c r="L280" s="35"/>
      <c r="M280" s="24" t="str">
        <f t="shared" si="8"/>
        <v/>
      </c>
      <c r="N280" s="65" t="str">
        <f t="shared" si="9"/>
        <v/>
      </c>
    </row>
    <row r="281" spans="1:14" x14ac:dyDescent="0.25">
      <c r="A281" s="29"/>
      <c r="B281" s="28"/>
      <c r="C281" s="72"/>
      <c r="D281" s="31"/>
      <c r="E281" s="57"/>
      <c r="F281" s="56"/>
      <c r="G281" s="34"/>
      <c r="H281" s="35"/>
      <c r="I281" s="35"/>
      <c r="J281" s="35"/>
      <c r="K281" s="35"/>
      <c r="L281" s="35"/>
      <c r="M281" s="24" t="str">
        <f t="shared" si="8"/>
        <v/>
      </c>
      <c r="N281" s="65" t="str">
        <f t="shared" si="9"/>
        <v/>
      </c>
    </row>
    <row r="282" spans="1:14" x14ac:dyDescent="0.25">
      <c r="A282" s="29"/>
      <c r="B282" s="28"/>
      <c r="C282" s="72"/>
      <c r="D282" s="31"/>
      <c r="E282" s="57"/>
      <c r="F282" s="56"/>
      <c r="G282" s="34"/>
      <c r="H282" s="35"/>
      <c r="I282" s="35"/>
      <c r="J282" s="35"/>
      <c r="K282" s="35"/>
      <c r="L282" s="35"/>
      <c r="M282" s="24" t="str">
        <f t="shared" si="8"/>
        <v/>
      </c>
      <c r="N282" s="65" t="str">
        <f t="shared" si="9"/>
        <v/>
      </c>
    </row>
    <row r="283" spans="1:14" hidden="1" x14ac:dyDescent="0.25">
      <c r="A283" s="29"/>
      <c r="B283" s="28"/>
      <c r="C283" s="72"/>
      <c r="D283" s="31"/>
      <c r="E283" s="32"/>
      <c r="F283" s="33"/>
      <c r="G283" s="34"/>
      <c r="H283" s="35"/>
      <c r="I283" s="35"/>
      <c r="J283" s="35"/>
      <c r="K283" s="35"/>
      <c r="L283" s="35"/>
      <c r="M283" s="70"/>
      <c r="N283" s="65"/>
    </row>
    <row r="284" spans="1:14" x14ac:dyDescent="0.25">
      <c r="A284" s="29"/>
      <c r="B284" s="1"/>
      <c r="C284" s="159" t="s">
        <v>86</v>
      </c>
      <c r="D284" s="160"/>
      <c r="E284" s="160"/>
      <c r="F284" s="160"/>
      <c r="G284" s="160"/>
      <c r="H284" s="160"/>
      <c r="I284" s="160"/>
      <c r="J284" s="160"/>
      <c r="K284" s="160"/>
      <c r="L284" s="160"/>
      <c r="M284" s="160"/>
      <c r="N284" s="66">
        <f>SUM(N277:N283)</f>
        <v>0</v>
      </c>
    </row>
  </sheetData>
  <mergeCells count="381">
    <mergeCell ref="A7:D7"/>
    <mergeCell ref="K7:M7"/>
    <mergeCell ref="A8:D8"/>
    <mergeCell ref="K8:M8"/>
    <mergeCell ref="A9:D9"/>
    <mergeCell ref="K9:M9"/>
    <mergeCell ref="A1:N1"/>
    <mergeCell ref="A2:N2"/>
    <mergeCell ref="A3:N3"/>
    <mergeCell ref="A4:N4"/>
    <mergeCell ref="A5:D5"/>
    <mergeCell ref="F5:G9"/>
    <mergeCell ref="H5:J9"/>
    <mergeCell ref="K5:M5"/>
    <mergeCell ref="A6:D6"/>
    <mergeCell ref="K6:M6"/>
    <mergeCell ref="A11:C11"/>
    <mergeCell ref="A13:N14"/>
    <mergeCell ref="A15:B15"/>
    <mergeCell ref="C15:E15"/>
    <mergeCell ref="F15:N15"/>
    <mergeCell ref="A16:B20"/>
    <mergeCell ref="C16:C17"/>
    <mergeCell ref="D16:E17"/>
    <mergeCell ref="F16:H16"/>
    <mergeCell ref="J16:J17"/>
    <mergeCell ref="A22:N22"/>
    <mergeCell ref="A23:B23"/>
    <mergeCell ref="C23:D23"/>
    <mergeCell ref="K23:M23"/>
    <mergeCell ref="A24:B24"/>
    <mergeCell ref="C24:D24"/>
    <mergeCell ref="K24:M24"/>
    <mergeCell ref="K16:N17"/>
    <mergeCell ref="F17:H17"/>
    <mergeCell ref="C18:C19"/>
    <mergeCell ref="D18:E19"/>
    <mergeCell ref="F18:H18"/>
    <mergeCell ref="J18:N20"/>
    <mergeCell ref="F19:H19"/>
    <mergeCell ref="D20:E20"/>
    <mergeCell ref="F20:H20"/>
    <mergeCell ref="A27:B27"/>
    <mergeCell ref="C27:D27"/>
    <mergeCell ref="K27:M27"/>
    <mergeCell ref="A28:B28"/>
    <mergeCell ref="C28:D28"/>
    <mergeCell ref="K28:M28"/>
    <mergeCell ref="A25:B25"/>
    <mergeCell ref="C25:D25"/>
    <mergeCell ref="K25:M25"/>
    <mergeCell ref="A26:B26"/>
    <mergeCell ref="C26:D26"/>
    <mergeCell ref="K26:M26"/>
    <mergeCell ref="A29:E29"/>
    <mergeCell ref="K29:M29"/>
    <mergeCell ref="A31:B31"/>
    <mergeCell ref="C31:E31"/>
    <mergeCell ref="F31:N31"/>
    <mergeCell ref="A32:B36"/>
    <mergeCell ref="C32:C33"/>
    <mergeCell ref="D32:E33"/>
    <mergeCell ref="F32:H32"/>
    <mergeCell ref="J32:J33"/>
    <mergeCell ref="K32:N33"/>
    <mergeCell ref="F33:H33"/>
    <mergeCell ref="C34:C35"/>
    <mergeCell ref="D34:E35"/>
    <mergeCell ref="F34:H34"/>
    <mergeCell ref="J34:N36"/>
    <mergeCell ref="F35:H35"/>
    <mergeCell ref="D36:E36"/>
    <mergeCell ref="F36:H36"/>
    <mergeCell ref="C40:F40"/>
    <mergeCell ref="G40:H40"/>
    <mergeCell ref="I40:J40"/>
    <mergeCell ref="K40:N40"/>
    <mergeCell ref="C41:F41"/>
    <mergeCell ref="G41:H41"/>
    <mergeCell ref="I41:J41"/>
    <mergeCell ref="M41:N41"/>
    <mergeCell ref="C38:H38"/>
    <mergeCell ref="I38:J38"/>
    <mergeCell ref="K38:N38"/>
    <mergeCell ref="C39:F39"/>
    <mergeCell ref="G39:H39"/>
    <mergeCell ref="I39:J39"/>
    <mergeCell ref="K39:N39"/>
    <mergeCell ref="C47:H47"/>
    <mergeCell ref="C48:F48"/>
    <mergeCell ref="G48:H48"/>
    <mergeCell ref="C49:F49"/>
    <mergeCell ref="G49:H49"/>
    <mergeCell ref="C50:H50"/>
    <mergeCell ref="C42:H42"/>
    <mergeCell ref="D43:E43"/>
    <mergeCell ref="F43:G43"/>
    <mergeCell ref="D44:E44"/>
    <mergeCell ref="F44:G44"/>
    <mergeCell ref="G45:H45"/>
    <mergeCell ref="C54:F54"/>
    <mergeCell ref="G54:H54"/>
    <mergeCell ref="C55:G55"/>
    <mergeCell ref="C56:G56"/>
    <mergeCell ref="C58:H58"/>
    <mergeCell ref="C59:G59"/>
    <mergeCell ref="C51:F51"/>
    <mergeCell ref="G51:H51"/>
    <mergeCell ref="C52:F52"/>
    <mergeCell ref="G52:H52"/>
    <mergeCell ref="C53:F53"/>
    <mergeCell ref="G53:H53"/>
    <mergeCell ref="C70:N70"/>
    <mergeCell ref="C71:N71"/>
    <mergeCell ref="C80:M80"/>
    <mergeCell ref="A82:B82"/>
    <mergeCell ref="C82:E82"/>
    <mergeCell ref="F82:N82"/>
    <mergeCell ref="C60:G60"/>
    <mergeCell ref="C61:G61"/>
    <mergeCell ref="C62:G62"/>
    <mergeCell ref="C65:H65"/>
    <mergeCell ref="C66:G66"/>
    <mergeCell ref="C67:G67"/>
    <mergeCell ref="J85:N87"/>
    <mergeCell ref="F86:H86"/>
    <mergeCell ref="D87:E87"/>
    <mergeCell ref="F87:H87"/>
    <mergeCell ref="C89:H89"/>
    <mergeCell ref="I89:J89"/>
    <mergeCell ref="K89:N89"/>
    <mergeCell ref="A83:B87"/>
    <mergeCell ref="C83:C84"/>
    <mergeCell ref="D83:E84"/>
    <mergeCell ref="F83:H83"/>
    <mergeCell ref="J83:J84"/>
    <mergeCell ref="K83:N84"/>
    <mergeCell ref="F84:H84"/>
    <mergeCell ref="C85:C86"/>
    <mergeCell ref="D85:E86"/>
    <mergeCell ref="F85:H85"/>
    <mergeCell ref="M92:N92"/>
    <mergeCell ref="C93:H93"/>
    <mergeCell ref="D94:E94"/>
    <mergeCell ref="F94:G94"/>
    <mergeCell ref="C90:F90"/>
    <mergeCell ref="G90:H90"/>
    <mergeCell ref="I90:J90"/>
    <mergeCell ref="K90:N90"/>
    <mergeCell ref="C91:F91"/>
    <mergeCell ref="G91:H91"/>
    <mergeCell ref="I91:J91"/>
    <mergeCell ref="K91:N91"/>
    <mergeCell ref="D95:E95"/>
    <mergeCell ref="F95:G95"/>
    <mergeCell ref="G96:H96"/>
    <mergeCell ref="C98:H98"/>
    <mergeCell ref="C99:F99"/>
    <mergeCell ref="G99:H99"/>
    <mergeCell ref="C92:F92"/>
    <mergeCell ref="G92:H92"/>
    <mergeCell ref="I92:J92"/>
    <mergeCell ref="C104:F104"/>
    <mergeCell ref="G104:H104"/>
    <mergeCell ref="C105:F105"/>
    <mergeCell ref="G105:H105"/>
    <mergeCell ref="C106:G106"/>
    <mergeCell ref="C107:G107"/>
    <mergeCell ref="C100:F100"/>
    <mergeCell ref="G100:H100"/>
    <mergeCell ref="C101:H101"/>
    <mergeCell ref="C102:F102"/>
    <mergeCell ref="G102:H102"/>
    <mergeCell ref="C103:F103"/>
    <mergeCell ref="G103:H103"/>
    <mergeCell ref="C117:G117"/>
    <mergeCell ref="C118:G118"/>
    <mergeCell ref="C121:N121"/>
    <mergeCell ref="C122:N122"/>
    <mergeCell ref="C131:M131"/>
    <mergeCell ref="A133:B133"/>
    <mergeCell ref="C133:E133"/>
    <mergeCell ref="F133:N133"/>
    <mergeCell ref="C109:H109"/>
    <mergeCell ref="C110:G110"/>
    <mergeCell ref="C111:G111"/>
    <mergeCell ref="C112:G112"/>
    <mergeCell ref="C113:G113"/>
    <mergeCell ref="C116:H116"/>
    <mergeCell ref="J136:N138"/>
    <mergeCell ref="F137:H137"/>
    <mergeCell ref="D138:E138"/>
    <mergeCell ref="F138:H138"/>
    <mergeCell ref="C140:H140"/>
    <mergeCell ref="I140:J140"/>
    <mergeCell ref="K140:N140"/>
    <mergeCell ref="A134:B138"/>
    <mergeCell ref="C134:C135"/>
    <mergeCell ref="D134:E135"/>
    <mergeCell ref="F134:H134"/>
    <mergeCell ref="J134:J135"/>
    <mergeCell ref="K134:N135"/>
    <mergeCell ref="F135:H135"/>
    <mergeCell ref="C136:C137"/>
    <mergeCell ref="D136:E137"/>
    <mergeCell ref="F136:H136"/>
    <mergeCell ref="M143:N143"/>
    <mergeCell ref="C144:H144"/>
    <mergeCell ref="D145:E145"/>
    <mergeCell ref="F145:G145"/>
    <mergeCell ref="C141:F141"/>
    <mergeCell ref="G141:H141"/>
    <mergeCell ref="I141:J141"/>
    <mergeCell ref="K141:N141"/>
    <mergeCell ref="C142:F142"/>
    <mergeCell ref="G142:H142"/>
    <mergeCell ref="I142:J142"/>
    <mergeCell ref="K142:N142"/>
    <mergeCell ref="D146:E146"/>
    <mergeCell ref="F146:G146"/>
    <mergeCell ref="G147:H147"/>
    <mergeCell ref="C149:H149"/>
    <mergeCell ref="C150:F150"/>
    <mergeCell ref="G150:H150"/>
    <mergeCell ref="C143:F143"/>
    <mergeCell ref="G143:H143"/>
    <mergeCell ref="I143:J143"/>
    <mergeCell ref="C155:F155"/>
    <mergeCell ref="G155:H155"/>
    <mergeCell ref="C156:F156"/>
    <mergeCell ref="G156:H156"/>
    <mergeCell ref="C157:G157"/>
    <mergeCell ref="C158:G158"/>
    <mergeCell ref="C151:F151"/>
    <mergeCell ref="G151:H151"/>
    <mergeCell ref="C152:H152"/>
    <mergeCell ref="C153:F153"/>
    <mergeCell ref="G153:H153"/>
    <mergeCell ref="C154:F154"/>
    <mergeCell ref="G154:H154"/>
    <mergeCell ref="C168:G168"/>
    <mergeCell ref="C169:G169"/>
    <mergeCell ref="C172:N172"/>
    <mergeCell ref="C173:N173"/>
    <mergeCell ref="C182:M182"/>
    <mergeCell ref="A184:B184"/>
    <mergeCell ref="C184:E184"/>
    <mergeCell ref="F184:N184"/>
    <mergeCell ref="C160:H160"/>
    <mergeCell ref="C161:G161"/>
    <mergeCell ref="C162:G162"/>
    <mergeCell ref="C163:G163"/>
    <mergeCell ref="C164:G164"/>
    <mergeCell ref="C167:H167"/>
    <mergeCell ref="J187:N189"/>
    <mergeCell ref="F188:H188"/>
    <mergeCell ref="D189:E189"/>
    <mergeCell ref="F189:H189"/>
    <mergeCell ref="C191:H191"/>
    <mergeCell ref="I191:J191"/>
    <mergeCell ref="K191:N191"/>
    <mergeCell ref="A185:B189"/>
    <mergeCell ref="C185:C186"/>
    <mergeCell ref="D185:E186"/>
    <mergeCell ref="F185:H185"/>
    <mergeCell ref="J185:J186"/>
    <mergeCell ref="K185:N186"/>
    <mergeCell ref="F186:H186"/>
    <mergeCell ref="C187:C188"/>
    <mergeCell ref="D187:E188"/>
    <mergeCell ref="F187:H187"/>
    <mergeCell ref="M194:N194"/>
    <mergeCell ref="C195:H195"/>
    <mergeCell ref="D196:E196"/>
    <mergeCell ref="F196:G196"/>
    <mergeCell ref="C192:F192"/>
    <mergeCell ref="G192:H192"/>
    <mergeCell ref="I192:J192"/>
    <mergeCell ref="K192:N192"/>
    <mergeCell ref="C193:F193"/>
    <mergeCell ref="G193:H193"/>
    <mergeCell ref="I193:J193"/>
    <mergeCell ref="K193:N193"/>
    <mergeCell ref="D197:E197"/>
    <mergeCell ref="F197:G197"/>
    <mergeCell ref="G198:H198"/>
    <mergeCell ref="C200:H200"/>
    <mergeCell ref="C201:F201"/>
    <mergeCell ref="G201:H201"/>
    <mergeCell ref="C194:F194"/>
    <mergeCell ref="G194:H194"/>
    <mergeCell ref="I194:J194"/>
    <mergeCell ref="C206:F206"/>
    <mergeCell ref="G206:H206"/>
    <mergeCell ref="C207:F207"/>
    <mergeCell ref="G207:H207"/>
    <mergeCell ref="C208:G208"/>
    <mergeCell ref="C209:G209"/>
    <mergeCell ref="C202:F202"/>
    <mergeCell ref="G202:H202"/>
    <mergeCell ref="C203:H203"/>
    <mergeCell ref="C204:F204"/>
    <mergeCell ref="G204:H204"/>
    <mergeCell ref="C205:F205"/>
    <mergeCell ref="G205:H205"/>
    <mergeCell ref="C219:G219"/>
    <mergeCell ref="C220:G220"/>
    <mergeCell ref="C223:N223"/>
    <mergeCell ref="C224:N224"/>
    <mergeCell ref="C233:M233"/>
    <mergeCell ref="A235:B235"/>
    <mergeCell ref="C235:E235"/>
    <mergeCell ref="F235:N235"/>
    <mergeCell ref="C211:H211"/>
    <mergeCell ref="C212:G212"/>
    <mergeCell ref="C213:G213"/>
    <mergeCell ref="C214:G214"/>
    <mergeCell ref="C215:G215"/>
    <mergeCell ref="C218:H218"/>
    <mergeCell ref="J238:N240"/>
    <mergeCell ref="F239:H239"/>
    <mergeCell ref="D240:E240"/>
    <mergeCell ref="F240:H240"/>
    <mergeCell ref="C242:H242"/>
    <mergeCell ref="I242:J242"/>
    <mergeCell ref="K242:N242"/>
    <mergeCell ref="A236:B240"/>
    <mergeCell ref="C236:C237"/>
    <mergeCell ref="D236:E237"/>
    <mergeCell ref="F236:H236"/>
    <mergeCell ref="J236:J237"/>
    <mergeCell ref="K236:N237"/>
    <mergeCell ref="F237:H237"/>
    <mergeCell ref="C238:C239"/>
    <mergeCell ref="D238:E239"/>
    <mergeCell ref="F238:H238"/>
    <mergeCell ref="M245:N245"/>
    <mergeCell ref="C246:H246"/>
    <mergeCell ref="D247:E247"/>
    <mergeCell ref="F247:G247"/>
    <mergeCell ref="C243:F243"/>
    <mergeCell ref="G243:H243"/>
    <mergeCell ref="I243:J243"/>
    <mergeCell ref="K243:N243"/>
    <mergeCell ref="C244:F244"/>
    <mergeCell ref="G244:H244"/>
    <mergeCell ref="I244:J244"/>
    <mergeCell ref="K244:N244"/>
    <mergeCell ref="D248:E248"/>
    <mergeCell ref="F248:G248"/>
    <mergeCell ref="G249:H249"/>
    <mergeCell ref="C251:H251"/>
    <mergeCell ref="C252:F252"/>
    <mergeCell ref="G252:H252"/>
    <mergeCell ref="C245:F245"/>
    <mergeCell ref="G245:H245"/>
    <mergeCell ref="I245:J245"/>
    <mergeCell ref="C257:F257"/>
    <mergeCell ref="G257:H257"/>
    <mergeCell ref="C258:F258"/>
    <mergeCell ref="G258:H258"/>
    <mergeCell ref="C259:G259"/>
    <mergeCell ref="C260:G260"/>
    <mergeCell ref="C253:F253"/>
    <mergeCell ref="G253:H253"/>
    <mergeCell ref="C254:H254"/>
    <mergeCell ref="C255:F255"/>
    <mergeCell ref="G255:H255"/>
    <mergeCell ref="C256:F256"/>
    <mergeCell ref="G256:H256"/>
    <mergeCell ref="C270:G270"/>
    <mergeCell ref="C271:G271"/>
    <mergeCell ref="C274:N274"/>
    <mergeCell ref="C275:N275"/>
    <mergeCell ref="C284:M284"/>
    <mergeCell ref="C262:H262"/>
    <mergeCell ref="C263:G263"/>
    <mergeCell ref="C264:G264"/>
    <mergeCell ref="C265:G265"/>
    <mergeCell ref="C266:G266"/>
    <mergeCell ref="C269:H269"/>
  </mergeCells>
  <conditionalFormatting sqref="G40:H40">
    <cfRule type="cellIs" dxfId="21" priority="11" operator="equal">
      <formula>""</formula>
    </cfRule>
  </conditionalFormatting>
  <conditionalFormatting sqref="G91:H91">
    <cfRule type="cellIs" dxfId="20" priority="8" operator="equal">
      <formula>""</formula>
    </cfRule>
  </conditionalFormatting>
  <conditionalFormatting sqref="G142:H142">
    <cfRule type="cellIs" dxfId="19" priority="6" operator="equal">
      <formula>""</formula>
    </cfRule>
  </conditionalFormatting>
  <conditionalFormatting sqref="G193:H193">
    <cfRule type="cellIs" dxfId="18" priority="4" operator="equal">
      <formula>""</formula>
    </cfRule>
  </conditionalFormatting>
  <conditionalFormatting sqref="G244:H244">
    <cfRule type="cellIs" dxfId="17" priority="2" operator="equal">
      <formula>""</formula>
    </cfRule>
  </conditionalFormatting>
  <conditionalFormatting sqref="J18">
    <cfRule type="cellIs" dxfId="16" priority="9" operator="equal">
      <formula>"CUMPLE"</formula>
    </cfRule>
  </conditionalFormatting>
  <conditionalFormatting sqref="J85">
    <cfRule type="cellIs" dxfId="15" priority="7" operator="equal">
      <formula>"CUMPLE"</formula>
    </cfRule>
  </conditionalFormatting>
  <conditionalFormatting sqref="J136">
    <cfRule type="cellIs" dxfId="14" priority="5" operator="equal">
      <formula>"CUMPLE"</formula>
    </cfRule>
  </conditionalFormatting>
  <conditionalFormatting sqref="J187">
    <cfRule type="cellIs" dxfId="13" priority="3" operator="equal">
      <formula>"CUMPLE"</formula>
    </cfRule>
  </conditionalFormatting>
  <conditionalFormatting sqref="J238">
    <cfRule type="cellIs" dxfId="12" priority="1" operator="equal">
      <formula>"CUMPLE"</formula>
    </cfRule>
  </conditionalFormatting>
  <conditionalFormatting sqref="O32:R36 J34">
    <cfRule type="cellIs" dxfId="11" priority="10" operator="equal">
      <formula>"CUMPLE"</formula>
    </cfRule>
  </conditionalFormatting>
  <dataValidations disablePrompts="1" count="4">
    <dataValidation type="list" allowBlank="1" showErrorMessage="1" sqref="G39 G243 G192 G141 G90" xr:uid="{00000000-0002-0000-0600-000000000000}">
      <formula1>$S$5:$S$6</formula1>
    </dataValidation>
    <dataValidation type="list" allowBlank="1" showErrorMessage="1" sqref="H43 H94 H145 H196 H247" xr:uid="{00000000-0002-0000-0600-000001000000}">
      <formula1>"VIGENTE,SIN VIGENCIA,NO APORTA"</formula1>
    </dataValidation>
    <dataValidation type="decimal" operator="greaterThan" allowBlank="1" showErrorMessage="1" sqref="G40 G91 G142 G193 G244" xr:uid="{00000000-0002-0000-0600-000002000000}">
      <formula1>0</formula1>
    </dataValidation>
    <dataValidation type="list" allowBlank="1" showErrorMessage="1" sqref="H44 H95 H146 H197 H248" xr:uid="{00000000-0002-0000-0600-000003000000}">
      <formula1>"VIGENTE,SIN VIGENCIA,NO APORTA,N/A"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284"/>
  <sheetViews>
    <sheetView topLeftCell="C119" zoomScale="90" zoomScaleNormal="90" workbookViewId="0">
      <selection activeCell="L74" sqref="L74"/>
    </sheetView>
  </sheetViews>
  <sheetFormatPr baseColWidth="10" defaultColWidth="14.42578125" defaultRowHeight="15" outlineLevelRow="1" x14ac:dyDescent="0.25"/>
  <cols>
    <col min="1" max="1" width="4.7109375" customWidth="1"/>
    <col min="2" max="2" width="4.85546875" customWidth="1"/>
    <col min="3" max="3" width="18.5703125" customWidth="1"/>
    <col min="4" max="4" width="18" customWidth="1"/>
    <col min="5" max="5" width="19.7109375" customWidth="1"/>
    <col min="6" max="7" width="18" customWidth="1"/>
    <col min="8" max="8" width="20.85546875" customWidth="1"/>
    <col min="9" max="10" width="16.140625" customWidth="1"/>
    <col min="11" max="12" width="14.7109375" customWidth="1"/>
    <col min="13" max="13" width="13.85546875" customWidth="1"/>
    <col min="14" max="14" width="19.42578125" customWidth="1"/>
    <col min="15" max="18" width="20" customWidth="1"/>
    <col min="19" max="19" width="8.28515625" hidden="1" customWidth="1"/>
    <col min="20" max="23" width="11.42578125" customWidth="1"/>
    <col min="24" max="24" width="17" customWidth="1"/>
    <col min="25" max="26" width="11.42578125" customWidth="1"/>
  </cols>
  <sheetData>
    <row r="1" spans="1:26" ht="22.5" customHeight="1" x14ac:dyDescent="0.25">
      <c r="A1" s="163" t="s">
        <v>21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5"/>
      <c r="S1" s="2"/>
      <c r="T1" s="2"/>
      <c r="U1" s="2"/>
      <c r="V1" s="2"/>
      <c r="W1" s="2"/>
      <c r="X1" s="1"/>
      <c r="Y1" s="1"/>
      <c r="Z1" s="1"/>
    </row>
    <row r="2" spans="1:26" ht="22.5" customHeight="1" x14ac:dyDescent="0.25">
      <c r="A2" s="163" t="str">
        <f>'DATOS INICIALES'!B1</f>
        <v>LICITACIÓN PÚBLICA SAB-05-009-24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5"/>
      <c r="S2" s="2"/>
      <c r="T2" s="2"/>
      <c r="U2" s="2"/>
      <c r="V2" s="2"/>
      <c r="W2" s="2"/>
      <c r="X2" s="1"/>
      <c r="Y2" s="1"/>
      <c r="Z2" s="1"/>
    </row>
    <row r="3" spans="1:26" ht="22.5" customHeight="1" x14ac:dyDescent="0.25">
      <c r="A3" s="163" t="str">
        <f>'DATOS INICIALES'!B2</f>
        <v>RECUPERACIÓN, MANTENIMIENTO, ADECUACIONES Y OBRAS COMPLEMENTARIAS DE LAS SEDES ADMINISTRATIVAS Y BIENES DE USO PUBLICO DEL MUNICIPIO DE SABANETA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5"/>
      <c r="S3" s="2"/>
      <c r="T3" s="2"/>
      <c r="U3" s="2"/>
      <c r="V3" s="2"/>
      <c r="W3" s="2"/>
      <c r="X3" s="1"/>
      <c r="Y3" s="1"/>
      <c r="Z3" s="1"/>
    </row>
    <row r="4" spans="1:26" ht="22.5" customHeight="1" x14ac:dyDescent="0.25">
      <c r="A4" s="163" t="s">
        <v>102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5"/>
      <c r="S4" s="3"/>
      <c r="T4" s="4"/>
      <c r="U4" s="5"/>
      <c r="V4" s="5"/>
      <c r="W4" s="5"/>
      <c r="X4" s="1"/>
      <c r="Y4" s="1"/>
      <c r="Z4" s="1"/>
    </row>
    <row r="5" spans="1:26" ht="23.25" customHeight="1" x14ac:dyDescent="0.25">
      <c r="A5" s="159" t="s">
        <v>22</v>
      </c>
      <c r="B5" s="160"/>
      <c r="C5" s="160"/>
      <c r="D5" s="160"/>
      <c r="E5" s="40">
        <f>'DATOS INICIALES'!B3</f>
        <v>1169500932</v>
      </c>
      <c r="F5" s="166"/>
      <c r="G5" s="160"/>
      <c r="H5" s="167" t="s">
        <v>124</v>
      </c>
      <c r="I5" s="160"/>
      <c r="J5" s="160"/>
      <c r="K5" s="162" t="s">
        <v>23</v>
      </c>
      <c r="L5" s="162"/>
      <c r="M5" s="160"/>
      <c r="N5" s="7" t="s">
        <v>24</v>
      </c>
      <c r="O5" s="6"/>
      <c r="P5" s="6"/>
      <c r="Q5" s="6"/>
      <c r="R5" s="6"/>
      <c r="S5" s="5" t="s">
        <v>25</v>
      </c>
      <c r="T5" s="5"/>
      <c r="U5" s="5"/>
      <c r="V5" s="5"/>
      <c r="W5" s="5"/>
      <c r="X5" s="5"/>
      <c r="Y5" s="5"/>
      <c r="Z5" s="5"/>
    </row>
    <row r="6" spans="1:26" ht="15.75" customHeight="1" x14ac:dyDescent="0.25">
      <c r="A6" s="159" t="s">
        <v>106</v>
      </c>
      <c r="B6" s="160"/>
      <c r="C6" s="160"/>
      <c r="D6" s="160"/>
      <c r="E6" s="8">
        <f>'DATOS INICIALES'!B5</f>
        <v>45568</v>
      </c>
      <c r="F6" s="160"/>
      <c r="G6" s="160"/>
      <c r="H6" s="168"/>
      <c r="I6" s="168"/>
      <c r="J6" s="168"/>
      <c r="K6" s="161" t="s">
        <v>26</v>
      </c>
      <c r="L6" s="161"/>
      <c r="M6" s="160"/>
      <c r="N6" s="70">
        <v>120</v>
      </c>
      <c r="O6" s="4"/>
      <c r="P6" s="4"/>
      <c r="Q6" s="4"/>
      <c r="R6" s="4"/>
      <c r="S6" s="5" t="s">
        <v>27</v>
      </c>
      <c r="T6" s="5"/>
      <c r="U6" s="5"/>
      <c r="V6" s="5"/>
      <c r="W6" s="5"/>
      <c r="X6" s="5"/>
      <c r="Y6" s="5"/>
      <c r="Z6" s="5"/>
    </row>
    <row r="7" spans="1:26" ht="15.75" customHeight="1" x14ac:dyDescent="0.25">
      <c r="A7" s="159" t="s">
        <v>28</v>
      </c>
      <c r="B7" s="160"/>
      <c r="C7" s="160"/>
      <c r="D7" s="160"/>
      <c r="E7" s="9">
        <v>0</v>
      </c>
      <c r="F7" s="160"/>
      <c r="G7" s="160"/>
      <c r="H7" s="168"/>
      <c r="I7" s="168"/>
      <c r="J7" s="168"/>
      <c r="K7" s="161" t="s">
        <v>29</v>
      </c>
      <c r="L7" s="161"/>
      <c r="M7" s="160"/>
      <c r="N7" s="70">
        <v>40</v>
      </c>
      <c r="O7" s="4"/>
      <c r="P7" s="4"/>
      <c r="Q7" s="4"/>
      <c r="R7" s="4"/>
      <c r="S7" s="4"/>
      <c r="T7" s="5"/>
      <c r="U7" s="5"/>
      <c r="V7" s="5"/>
      <c r="W7" s="5"/>
      <c r="X7" s="5"/>
      <c r="Y7" s="5"/>
      <c r="Z7" s="5"/>
    </row>
    <row r="8" spans="1:26" ht="15.75" customHeight="1" x14ac:dyDescent="0.25">
      <c r="A8" s="159" t="s">
        <v>30</v>
      </c>
      <c r="B8" s="160"/>
      <c r="C8" s="160"/>
      <c r="D8" s="160"/>
      <c r="E8" s="117">
        <f>'DATOS INICIALES'!B4</f>
        <v>2</v>
      </c>
      <c r="F8" s="160"/>
      <c r="G8" s="160"/>
      <c r="H8" s="168"/>
      <c r="I8" s="168"/>
      <c r="J8" s="168"/>
      <c r="K8" s="161" t="s">
        <v>31</v>
      </c>
      <c r="L8" s="161"/>
      <c r="M8" s="160"/>
      <c r="N8" s="70">
        <v>40</v>
      </c>
      <c r="O8" s="4"/>
      <c r="P8" s="4"/>
      <c r="Q8" s="4"/>
      <c r="R8" s="4"/>
      <c r="S8" s="4"/>
      <c r="T8" s="5"/>
      <c r="U8" s="5"/>
      <c r="V8" s="5"/>
      <c r="W8" s="5"/>
      <c r="X8" s="5"/>
      <c r="Y8" s="5"/>
      <c r="Z8" s="5"/>
    </row>
    <row r="9" spans="1:26" ht="15.75" customHeight="1" x14ac:dyDescent="0.25">
      <c r="A9" s="159" t="s">
        <v>32</v>
      </c>
      <c r="B9" s="160"/>
      <c r="C9" s="160"/>
      <c r="D9" s="160"/>
      <c r="E9" s="68">
        <f>IF(E8&lt;12,E5-E7*E5,(E5-E7*E5)/E8*12)</f>
        <v>1169500932</v>
      </c>
      <c r="F9" s="160"/>
      <c r="G9" s="160"/>
      <c r="H9" s="160"/>
      <c r="I9" s="160"/>
      <c r="J9" s="160"/>
      <c r="K9" s="162" t="s">
        <v>33</v>
      </c>
      <c r="L9" s="162"/>
      <c r="M9" s="160"/>
      <c r="N9" s="7">
        <v>200</v>
      </c>
      <c r="O9" s="6"/>
      <c r="P9" s="6"/>
      <c r="Q9" s="6"/>
      <c r="R9" s="6"/>
      <c r="S9" s="4"/>
      <c r="T9" s="5"/>
      <c r="U9" s="5"/>
      <c r="V9" s="5"/>
      <c r="W9" s="5"/>
      <c r="X9" s="5"/>
      <c r="Y9" s="5"/>
      <c r="Z9" s="5"/>
    </row>
    <row r="10" spans="1:26" ht="12" customHeight="1" thickBot="1" x14ac:dyDescent="0.3">
      <c r="A10" s="6"/>
      <c r="B10" s="6"/>
      <c r="C10" s="6"/>
      <c r="D10" s="6"/>
      <c r="E10" s="11"/>
      <c r="F10" s="6"/>
      <c r="G10" s="6"/>
      <c r="H10" s="6"/>
      <c r="I10" s="6"/>
      <c r="J10" s="6"/>
      <c r="K10" s="6"/>
      <c r="L10" s="6"/>
      <c r="M10" s="5"/>
      <c r="N10" s="5"/>
      <c r="O10" s="5"/>
      <c r="P10" s="5"/>
      <c r="Q10" s="5"/>
      <c r="R10" s="5"/>
      <c r="S10" s="6"/>
      <c r="T10" s="4"/>
      <c r="U10" s="5"/>
      <c r="V10" s="5"/>
      <c r="W10" s="5"/>
      <c r="X10" s="5"/>
      <c r="Y10" s="5"/>
      <c r="Z10" s="5"/>
    </row>
    <row r="11" spans="1:26" ht="12" customHeight="1" thickBot="1" x14ac:dyDescent="0.3">
      <c r="A11" s="169" t="s">
        <v>94</v>
      </c>
      <c r="B11" s="170"/>
      <c r="C11" s="171"/>
      <c r="D11" s="6"/>
      <c r="E11" s="55"/>
      <c r="F11" s="6"/>
      <c r="G11" s="6"/>
      <c r="H11" s="6"/>
      <c r="I11" s="6"/>
      <c r="J11" s="6"/>
      <c r="K11" s="6"/>
      <c r="L11" s="6"/>
      <c r="M11" s="5"/>
      <c r="N11" s="5"/>
      <c r="O11" s="5"/>
      <c r="P11" s="5"/>
      <c r="Q11" s="5"/>
      <c r="R11" s="5"/>
      <c r="S11" s="6"/>
      <c r="T11" s="4"/>
      <c r="U11" s="5"/>
      <c r="V11" s="5"/>
      <c r="W11" s="5"/>
      <c r="X11" s="5"/>
      <c r="Y11" s="5"/>
      <c r="Z11" s="5"/>
    </row>
    <row r="12" spans="1:26" ht="12" customHeight="1" x14ac:dyDescent="0.25">
      <c r="A12" s="6"/>
      <c r="B12" s="6"/>
      <c r="C12" s="6"/>
      <c r="D12" s="6"/>
      <c r="E12" s="11"/>
      <c r="F12" s="6"/>
      <c r="G12" s="6"/>
      <c r="H12" s="6"/>
      <c r="I12" s="6"/>
      <c r="J12" s="6"/>
      <c r="K12" s="6"/>
      <c r="L12" s="6"/>
      <c r="M12" s="5"/>
      <c r="N12" s="5"/>
      <c r="O12" s="5"/>
      <c r="P12" s="5"/>
      <c r="Q12" s="5"/>
      <c r="R12" s="5"/>
      <c r="S12" s="6"/>
      <c r="T12" s="4"/>
      <c r="U12" s="5"/>
      <c r="V12" s="5"/>
      <c r="W12" s="5"/>
      <c r="X12" s="5"/>
      <c r="Y12" s="5"/>
      <c r="Z12" s="5"/>
    </row>
    <row r="13" spans="1:26" ht="12" customHeight="1" x14ac:dyDescent="0.25">
      <c r="A13" s="172" t="str">
        <f>"Se considerará HÁBIL el proponente que presente una CR igual o superior a "&amp;TEXT(E9,"$#.##0")</f>
        <v>Se considerará HÁBIL el proponente que presente una CR igual o superior a $1.169.500.932</v>
      </c>
      <c r="B13" s="172"/>
      <c r="C13" s="172"/>
      <c r="D13" s="172"/>
      <c r="E13" s="172"/>
      <c r="F13" s="172"/>
      <c r="G13" s="172"/>
      <c r="H13" s="172"/>
      <c r="I13" s="172"/>
      <c r="J13" s="172"/>
      <c r="K13" s="172"/>
      <c r="L13" s="172"/>
      <c r="M13" s="172"/>
      <c r="N13" s="172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25">
      <c r="A14" s="172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" customHeight="1" x14ac:dyDescent="0.25">
      <c r="A15" s="173" t="s">
        <v>95</v>
      </c>
      <c r="B15" s="173"/>
      <c r="C15" s="174" t="s">
        <v>109</v>
      </c>
      <c r="D15" s="174"/>
      <c r="E15" s="174"/>
      <c r="F15" s="175" t="s">
        <v>110</v>
      </c>
      <c r="G15" s="173"/>
      <c r="H15" s="173"/>
      <c r="I15" s="173"/>
      <c r="J15" s="173"/>
      <c r="K15" s="173"/>
      <c r="L15" s="173"/>
      <c r="M15" s="173"/>
      <c r="N15" s="176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" customHeight="1" x14ac:dyDescent="0.25">
      <c r="A16" s="174">
        <v>5</v>
      </c>
      <c r="B16" s="174"/>
      <c r="C16" s="177" t="s">
        <v>91</v>
      </c>
      <c r="D16" s="178" t="str">
        <f>VLOOKUP(A16,'CAPACIDAD RESIDUAL'!$A$6:$D$304,2,FALSE)</f>
        <v>CONSORCIO AINCO 2024</v>
      </c>
      <c r="E16" s="178"/>
      <c r="F16" s="174" t="str">
        <f>$C$38</f>
        <v>Capacidad de Organización (CO)</v>
      </c>
      <c r="G16" s="174"/>
      <c r="H16" s="174"/>
      <c r="I16" s="54" t="s">
        <v>122</v>
      </c>
      <c r="J16" s="174" t="s">
        <v>88</v>
      </c>
      <c r="K16" s="183">
        <f>N29</f>
        <v>12629484602.639999</v>
      </c>
      <c r="L16" s="184"/>
      <c r="M16" s="184"/>
      <c r="N16" s="18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" customHeight="1" x14ac:dyDescent="0.25">
      <c r="A17" s="174"/>
      <c r="B17" s="174"/>
      <c r="C17" s="177"/>
      <c r="D17" s="178"/>
      <c r="E17" s="178"/>
      <c r="F17" s="174" t="str">
        <f>$C$47</f>
        <v>Experiencia (E)</v>
      </c>
      <c r="G17" s="174"/>
      <c r="H17" s="174"/>
      <c r="I17" s="54" t="s">
        <v>122</v>
      </c>
      <c r="J17" s="174"/>
      <c r="K17" s="186"/>
      <c r="L17" s="187"/>
      <c r="M17" s="187"/>
      <c r="N17" s="188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" customHeight="1" x14ac:dyDescent="0.25">
      <c r="A18" s="174"/>
      <c r="B18" s="174"/>
      <c r="C18" s="189" t="s">
        <v>111</v>
      </c>
      <c r="D18" s="190">
        <v>2</v>
      </c>
      <c r="E18" s="190"/>
      <c r="F18" s="174" t="str">
        <f>$C$58</f>
        <v>Capacidad Financiera (CF)</v>
      </c>
      <c r="G18" s="174"/>
      <c r="H18" s="174"/>
      <c r="I18" s="54" t="s">
        <v>122</v>
      </c>
      <c r="J18" s="191" t="str">
        <f>IF(K16&gt;$E$9,"CUMPLE","NO CUMPLE")</f>
        <v>CUMPLE</v>
      </c>
      <c r="K18" s="191"/>
      <c r="L18" s="191"/>
      <c r="M18" s="191"/>
      <c r="N18" s="19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" customHeight="1" x14ac:dyDescent="0.25">
      <c r="A19" s="174"/>
      <c r="B19" s="174"/>
      <c r="C19" s="189"/>
      <c r="D19" s="190"/>
      <c r="E19" s="190"/>
      <c r="F19" s="174" t="str">
        <f>$C$65</f>
        <v>Capacidad Técnica (CT)</v>
      </c>
      <c r="G19" s="174"/>
      <c r="H19" s="174"/>
      <c r="I19" s="54" t="s">
        <v>122</v>
      </c>
      <c r="J19" s="191"/>
      <c r="K19" s="191"/>
      <c r="L19" s="191"/>
      <c r="M19" s="191"/>
      <c r="N19" s="191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" customHeight="1" x14ac:dyDescent="0.25">
      <c r="A20" s="174"/>
      <c r="B20" s="174"/>
      <c r="C20" s="76" t="s">
        <v>93</v>
      </c>
      <c r="D20" s="192">
        <f>F29</f>
        <v>1</v>
      </c>
      <c r="E20" s="192"/>
      <c r="F20" s="178" t="str">
        <f>$C$70</f>
        <v>Saldo de los Contratos en Ejecución (SCE)</v>
      </c>
      <c r="G20" s="178"/>
      <c r="H20" s="178"/>
      <c r="I20" s="54" t="s">
        <v>122</v>
      </c>
      <c r="J20" s="191"/>
      <c r="K20" s="191"/>
      <c r="L20" s="191"/>
      <c r="M20" s="191"/>
      <c r="N20" s="191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24" customHeight="1" x14ac:dyDescent="0.25">
      <c r="A22" s="172" t="s">
        <v>120</v>
      </c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  <c r="M22" s="172"/>
      <c r="N22" s="172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" customHeight="1" x14ac:dyDescent="0.25">
      <c r="A23" s="174" t="s">
        <v>95</v>
      </c>
      <c r="B23" s="174"/>
      <c r="C23" s="174" t="s">
        <v>121</v>
      </c>
      <c r="D23" s="174"/>
      <c r="E23" s="74" t="s">
        <v>3</v>
      </c>
      <c r="F23" s="74" t="s">
        <v>112</v>
      </c>
      <c r="G23" s="74" t="s">
        <v>114</v>
      </c>
      <c r="H23" s="74" t="s">
        <v>115</v>
      </c>
      <c r="I23" s="74" t="s">
        <v>116</v>
      </c>
      <c r="J23" s="74" t="s">
        <v>117</v>
      </c>
      <c r="K23" s="175" t="s">
        <v>118</v>
      </c>
      <c r="L23" s="173"/>
      <c r="M23" s="176"/>
      <c r="N23" s="74" t="s">
        <v>119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6.25" customHeight="1" x14ac:dyDescent="0.25">
      <c r="A24" s="179" t="str">
        <f>IF(A16+D18/10&gt;=A16+(D18-(D18-1))/10,CONCATENATE(A16,".",1),"N/A")</f>
        <v>5.1</v>
      </c>
      <c r="B24" s="179"/>
      <c r="C24" s="179" t="str">
        <f>IF(A24="N/A","",D32)</f>
        <v>ANGELA MARIA CARDENAS ZAPATA</v>
      </c>
      <c r="D24" s="179"/>
      <c r="E24" s="75" t="str">
        <f>IF(A24="N/A","",D34)</f>
        <v>43.150.821-1</v>
      </c>
      <c r="F24" s="62">
        <f>IF(A24="N/A","",D36)</f>
        <v>0.55000000000000004</v>
      </c>
      <c r="G24" s="63">
        <f>IF(A24="N/A","",I32)</f>
        <v>4861893157</v>
      </c>
      <c r="H24" s="64">
        <f>IF(A24="N/A","",I33)</f>
        <v>120</v>
      </c>
      <c r="I24" s="64">
        <f>IF(A24="N/A","",I34)</f>
        <v>40</v>
      </c>
      <c r="J24" s="64">
        <f>IF(A24="N/A","",I35)</f>
        <v>20</v>
      </c>
      <c r="K24" s="180">
        <f>IF(A24="N/A","",I36)</f>
        <v>0</v>
      </c>
      <c r="L24" s="181"/>
      <c r="M24" s="182"/>
      <c r="N24" s="63">
        <f>IF(A24="N/A","",K32)</f>
        <v>8751407682.6000004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6.25" customHeight="1" x14ac:dyDescent="0.25">
      <c r="A25" s="179" t="str">
        <f>IF(A16+D18/10&gt;=A16+(D18-(D18-2))/10,CONCATENATE(A16,".",2),"N/A")</f>
        <v>5.2</v>
      </c>
      <c r="B25" s="179"/>
      <c r="C25" s="179" t="str">
        <f>IF(A25="N/A","",D83)</f>
        <v>INCOCAZA S.A.S.</v>
      </c>
      <c r="D25" s="179"/>
      <c r="E25" s="75" t="str">
        <f>IF(A25="N/A","",D85)</f>
        <v>900.901.565-0</v>
      </c>
      <c r="F25" s="62">
        <f>IF(A25="N/A","",D87)</f>
        <v>0.45</v>
      </c>
      <c r="G25" s="63">
        <f>IF(A25="N/A","",I83)</f>
        <v>2718961235</v>
      </c>
      <c r="H25" s="64">
        <f>IF(A25="N/A","",I84)</f>
        <v>120</v>
      </c>
      <c r="I25" s="64">
        <f>IF(A25="N/A","",I85)</f>
        <v>40</v>
      </c>
      <c r="J25" s="64">
        <f>IF(A25="N/A","",I86)</f>
        <v>20</v>
      </c>
      <c r="K25" s="180">
        <f>IF(A25="N/A","",I87)</f>
        <v>1016053302.96</v>
      </c>
      <c r="L25" s="181"/>
      <c r="M25" s="182"/>
      <c r="N25" s="63">
        <f>IF(A25="N/A","",K83)</f>
        <v>3878076920.04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6.25" customHeight="1" x14ac:dyDescent="0.25">
      <c r="A26" s="179" t="str">
        <f>IF(A16+D18/10&gt;=A16+(D18-(D18-3))/10,CONCATENATE(A16,".",3),"N/A")</f>
        <v>N/A</v>
      </c>
      <c r="B26" s="179"/>
      <c r="C26" s="179" t="str">
        <f>IF(A26="N/A","",D134)</f>
        <v/>
      </c>
      <c r="D26" s="179"/>
      <c r="E26" s="75" t="str">
        <f>IF(A26="N/A","",D136)</f>
        <v/>
      </c>
      <c r="F26" s="62" t="str">
        <f>IF(A26="N/A","",D138)</f>
        <v/>
      </c>
      <c r="G26" s="63" t="str">
        <f>IF(A26="N/A","",I134)</f>
        <v/>
      </c>
      <c r="H26" s="64" t="str">
        <f>IF(A26="N/A","",I135)</f>
        <v/>
      </c>
      <c r="I26" s="64" t="str">
        <f>IF(A26="N/A","",I136)</f>
        <v/>
      </c>
      <c r="J26" s="64" t="str">
        <f>IF(A26="N/A","",I137)</f>
        <v/>
      </c>
      <c r="K26" s="180" t="str">
        <f>IF(A26="N/A","",I138)</f>
        <v/>
      </c>
      <c r="L26" s="181"/>
      <c r="M26" s="182"/>
      <c r="N26" s="63" t="str">
        <f>IF(A26="N/A","",K134)</f>
        <v/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26.25" customHeight="1" x14ac:dyDescent="0.25">
      <c r="A27" s="179" t="str">
        <f>IF(A16+D18/10&gt;=A16+(D18-(D18-4))/10,CONCATENATE(A16,".",4),"N/A")</f>
        <v>N/A</v>
      </c>
      <c r="B27" s="179"/>
      <c r="C27" s="179" t="str">
        <f>IF(A27="N/A","",D185)</f>
        <v/>
      </c>
      <c r="D27" s="179"/>
      <c r="E27" s="75" t="str">
        <f>IF(A27="N/A","",D187)</f>
        <v/>
      </c>
      <c r="F27" s="62" t="str">
        <f>IF(A27="N/A","",D189)</f>
        <v/>
      </c>
      <c r="G27" s="63" t="str">
        <f>IF(A27="N/A","",I185)</f>
        <v/>
      </c>
      <c r="H27" s="64" t="str">
        <f>IF(A27="N/A","",I186)</f>
        <v/>
      </c>
      <c r="I27" s="64" t="str">
        <f>IF(A27="N/A","",I187)</f>
        <v/>
      </c>
      <c r="J27" s="64" t="str">
        <f>IF(A27="N/A","",I188)</f>
        <v/>
      </c>
      <c r="K27" s="180" t="str">
        <f>IF(A27="N/A","",I189)</f>
        <v/>
      </c>
      <c r="L27" s="181"/>
      <c r="M27" s="182"/>
      <c r="N27" s="63" t="str">
        <f>IF(A27="N/A","",K185)</f>
        <v/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26.25" customHeight="1" x14ac:dyDescent="0.25">
      <c r="A28" s="179" t="str">
        <f>IF(A16+D18/10&gt;=A16+(D18-(D18-5))/10,CONCATENATE(A16,".",5),"N/A")</f>
        <v>N/A</v>
      </c>
      <c r="B28" s="179"/>
      <c r="C28" s="179" t="str">
        <f>IF(A28="N/A","",D236)</f>
        <v/>
      </c>
      <c r="D28" s="179"/>
      <c r="E28" s="75" t="str">
        <f>IF(A28="N/A","",D238)</f>
        <v/>
      </c>
      <c r="F28" s="62" t="str">
        <f>IF(A28="N/A","",D240)</f>
        <v/>
      </c>
      <c r="G28" s="63" t="str">
        <f>IF(A28="N/A","",I236)</f>
        <v/>
      </c>
      <c r="H28" s="64" t="str">
        <f>IF(A28="N/A","",I237)</f>
        <v/>
      </c>
      <c r="I28" s="64" t="str">
        <f>IF(A28="N/A","",I238)</f>
        <v/>
      </c>
      <c r="J28" s="64" t="str">
        <f>IF(A28="N/A","",I239)</f>
        <v/>
      </c>
      <c r="K28" s="180" t="str">
        <f>IF(A28="N/A","",I240)</f>
        <v/>
      </c>
      <c r="L28" s="181"/>
      <c r="M28" s="182"/>
      <c r="N28" s="63" t="str">
        <f>IF(A28="N/A","",K236)</f>
        <v/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" customHeight="1" x14ac:dyDescent="0.25">
      <c r="A29" s="193" t="s">
        <v>113</v>
      </c>
      <c r="B29" s="193"/>
      <c r="C29" s="193"/>
      <c r="D29" s="193"/>
      <c r="E29" s="193"/>
      <c r="F29" s="59">
        <f>SUM(F24:F28)</f>
        <v>1</v>
      </c>
      <c r="G29" s="60"/>
      <c r="H29" s="61"/>
      <c r="I29" s="61"/>
      <c r="J29" s="61"/>
      <c r="K29" s="194"/>
      <c r="L29" s="195"/>
      <c r="M29" s="196"/>
      <c r="N29" s="60">
        <f>SUM(N24:N28)</f>
        <v>12629484602.639999</v>
      </c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" customHeight="1" x14ac:dyDescent="0.25">
      <c r="A30" s="43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" customHeight="1" x14ac:dyDescent="0.25">
      <c r="A31" s="197" t="s">
        <v>95</v>
      </c>
      <c r="B31" s="197"/>
      <c r="C31" s="197" t="s">
        <v>96</v>
      </c>
      <c r="D31" s="197"/>
      <c r="E31" s="197"/>
      <c r="F31" s="197" t="s">
        <v>97</v>
      </c>
      <c r="G31" s="197"/>
      <c r="H31" s="197"/>
      <c r="I31" s="197"/>
      <c r="J31" s="197"/>
      <c r="K31" s="197"/>
      <c r="L31" s="197"/>
      <c r="M31" s="197"/>
      <c r="N31" s="197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 x14ac:dyDescent="0.25">
      <c r="A32" s="197" t="str">
        <f>IF(A24="N/A","",A24)</f>
        <v>5.1</v>
      </c>
      <c r="B32" s="197"/>
      <c r="C32" s="198" t="s">
        <v>91</v>
      </c>
      <c r="D32" s="199" t="str">
        <f>VLOOKUP(A32,'CAPACIDAD RESIDUAL'!$A$6:$D$304,2,FALSE)</f>
        <v>ANGELA MARIA CARDENAS ZAPATA</v>
      </c>
      <c r="E32" s="200"/>
      <c r="F32" s="197" t="str">
        <f>$C$38</f>
        <v>Capacidad de Organización (CO)</v>
      </c>
      <c r="G32" s="197"/>
      <c r="H32" s="197"/>
      <c r="I32" s="58">
        <f>G45</f>
        <v>4861893157</v>
      </c>
      <c r="J32" s="203" t="s">
        <v>88</v>
      </c>
      <c r="K32" s="183">
        <f>I32*(I33+I34+I35)/100-I36</f>
        <v>8751407682.6000004</v>
      </c>
      <c r="L32" s="184"/>
      <c r="M32" s="184"/>
      <c r="N32" s="185"/>
      <c r="O32" s="6"/>
      <c r="P32" s="6"/>
      <c r="Q32" s="6"/>
      <c r="R32" s="6"/>
      <c r="S32" s="4"/>
      <c r="T32" s="6"/>
      <c r="U32" s="13"/>
      <c r="V32" s="6"/>
      <c r="W32" s="5"/>
      <c r="X32" s="5"/>
      <c r="Y32" s="5"/>
      <c r="Z32" s="5"/>
    </row>
    <row r="33" spans="1:26" ht="15.75" customHeight="1" x14ac:dyDescent="0.25">
      <c r="A33" s="197"/>
      <c r="B33" s="197"/>
      <c r="C33" s="198"/>
      <c r="D33" s="201"/>
      <c r="E33" s="202"/>
      <c r="F33" s="197" t="str">
        <f>$C$47</f>
        <v>Experiencia (E)</v>
      </c>
      <c r="G33" s="197"/>
      <c r="H33" s="197"/>
      <c r="I33" s="22">
        <f>H56</f>
        <v>120</v>
      </c>
      <c r="J33" s="204"/>
      <c r="K33" s="186"/>
      <c r="L33" s="187"/>
      <c r="M33" s="187"/>
      <c r="N33" s="188"/>
      <c r="O33" s="6"/>
      <c r="P33" s="6"/>
      <c r="Q33" s="6"/>
      <c r="R33" s="6"/>
      <c r="S33" s="4"/>
      <c r="T33" s="6"/>
      <c r="U33" s="13"/>
      <c r="V33" s="6"/>
      <c r="W33" s="5"/>
      <c r="X33" s="5"/>
      <c r="Y33" s="5"/>
      <c r="Z33" s="5"/>
    </row>
    <row r="34" spans="1:26" ht="15.75" customHeight="1" x14ac:dyDescent="0.25">
      <c r="A34" s="197"/>
      <c r="B34" s="197"/>
      <c r="C34" s="198" t="s">
        <v>92</v>
      </c>
      <c r="D34" s="205" t="str">
        <f>VLOOKUP(A32,'CAPACIDAD RESIDUAL'!$A$6:$D$304,3,FALSE)</f>
        <v>43.150.821-1</v>
      </c>
      <c r="E34" s="206"/>
      <c r="F34" s="197" t="str">
        <f>$C$58</f>
        <v>Capacidad Financiera (CF)</v>
      </c>
      <c r="G34" s="197"/>
      <c r="H34" s="197"/>
      <c r="I34" s="22">
        <f>H62</f>
        <v>40</v>
      </c>
      <c r="J34" s="191" t="str">
        <f>IF(K32&gt;$E$9,"CUMPLE","NO CUMPLE")</f>
        <v>CUMPLE</v>
      </c>
      <c r="K34" s="191"/>
      <c r="L34" s="191"/>
      <c r="M34" s="191"/>
      <c r="N34" s="191"/>
      <c r="O34" s="6"/>
      <c r="P34" s="6"/>
      <c r="Q34" s="6"/>
      <c r="R34" s="6"/>
      <c r="S34" s="4"/>
      <c r="T34" s="6"/>
      <c r="U34" s="13"/>
      <c r="V34" s="6"/>
      <c r="W34" s="5"/>
      <c r="X34" s="5"/>
      <c r="Y34" s="5"/>
      <c r="Z34" s="5"/>
    </row>
    <row r="35" spans="1:26" ht="15.75" customHeight="1" x14ac:dyDescent="0.25">
      <c r="A35" s="197"/>
      <c r="B35" s="197"/>
      <c r="C35" s="198"/>
      <c r="D35" s="207"/>
      <c r="E35" s="208"/>
      <c r="F35" s="197" t="str">
        <f>$C$65</f>
        <v>Capacidad Técnica (CT)</v>
      </c>
      <c r="G35" s="197"/>
      <c r="H35" s="197"/>
      <c r="I35" s="22">
        <f>H67</f>
        <v>20</v>
      </c>
      <c r="J35" s="191"/>
      <c r="K35" s="191"/>
      <c r="L35" s="191"/>
      <c r="M35" s="191"/>
      <c r="N35" s="191"/>
      <c r="O35" s="6"/>
      <c r="P35" s="6"/>
      <c r="Q35" s="6"/>
      <c r="R35" s="6"/>
      <c r="S35" s="4"/>
      <c r="T35" s="6"/>
      <c r="U35" s="13"/>
      <c r="V35" s="6"/>
      <c r="W35" s="5"/>
      <c r="X35" s="5"/>
      <c r="Y35" s="5"/>
      <c r="Z35" s="5"/>
    </row>
    <row r="36" spans="1:26" x14ac:dyDescent="0.25">
      <c r="A36" s="197"/>
      <c r="B36" s="197"/>
      <c r="C36" s="73" t="s">
        <v>93</v>
      </c>
      <c r="D36" s="209">
        <f>IF(A32="","",VLOOKUP(A32,'CAPACIDAD RESIDUAL'!$A$6:$D$304,4,FALSE))</f>
        <v>0.55000000000000004</v>
      </c>
      <c r="E36" s="210"/>
      <c r="F36" s="211" t="str">
        <f>$C$70</f>
        <v>Saldo de los Contratos en Ejecución (SCE)</v>
      </c>
      <c r="G36" s="211"/>
      <c r="H36" s="211"/>
      <c r="I36" s="58">
        <f>N80</f>
        <v>0</v>
      </c>
      <c r="J36" s="191"/>
      <c r="K36" s="191"/>
      <c r="L36" s="191"/>
      <c r="M36" s="191"/>
      <c r="N36" s="191"/>
      <c r="O36" s="6"/>
      <c r="P36" s="6"/>
      <c r="Q36" s="6"/>
      <c r="R36" s="6"/>
      <c r="S36" s="4"/>
      <c r="T36" s="6"/>
      <c r="U36" s="13"/>
      <c r="V36" s="6"/>
      <c r="W36" s="5"/>
      <c r="X36" s="5"/>
      <c r="Y36" s="5"/>
      <c r="Z36" s="5"/>
    </row>
    <row r="37" spans="1:26" outlineLevel="1" x14ac:dyDescent="0.25">
      <c r="A37" s="14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4"/>
      <c r="T37" s="6"/>
      <c r="U37" s="6"/>
      <c r="V37" s="6"/>
      <c r="W37" s="5"/>
      <c r="X37" s="5"/>
      <c r="Y37" s="5"/>
      <c r="Z37" s="5"/>
    </row>
    <row r="38" spans="1:26" ht="12" customHeight="1" outlineLevel="1" x14ac:dyDescent="0.25">
      <c r="A38" s="44"/>
      <c r="C38" s="219" t="s">
        <v>34</v>
      </c>
      <c r="D38" s="160"/>
      <c r="E38" s="160"/>
      <c r="F38" s="160"/>
      <c r="G38" s="160"/>
      <c r="H38" s="160"/>
      <c r="I38" s="220" t="s">
        <v>35</v>
      </c>
      <c r="J38" s="160"/>
      <c r="K38" s="220" t="s">
        <v>36</v>
      </c>
      <c r="L38" s="220"/>
      <c r="M38" s="160"/>
      <c r="N38" s="160"/>
      <c r="O38" s="16"/>
      <c r="P38" s="16"/>
      <c r="Q38" s="16"/>
      <c r="R38" s="16"/>
      <c r="S38" s="4"/>
      <c r="T38" s="6"/>
      <c r="U38" s="6"/>
      <c r="V38" s="6"/>
      <c r="W38" s="5"/>
      <c r="X38" s="5"/>
      <c r="Y38" s="5"/>
      <c r="Z38" s="5"/>
    </row>
    <row r="39" spans="1:26" ht="12.75" customHeight="1" outlineLevel="1" x14ac:dyDescent="0.25">
      <c r="A39" s="17"/>
      <c r="B39" s="6"/>
      <c r="C39" s="161" t="s">
        <v>37</v>
      </c>
      <c r="D39" s="160"/>
      <c r="E39" s="160"/>
      <c r="F39" s="160"/>
      <c r="G39" s="221" t="s">
        <v>27</v>
      </c>
      <c r="H39" s="160"/>
      <c r="I39" s="214" t="s">
        <v>38</v>
      </c>
      <c r="J39" s="160"/>
      <c r="K39" s="214" t="s">
        <v>39</v>
      </c>
      <c r="L39" s="214"/>
      <c r="M39" s="160"/>
      <c r="N39" s="160"/>
      <c r="O39" s="16"/>
      <c r="P39" s="16"/>
      <c r="Q39" s="16"/>
      <c r="R39" s="16"/>
      <c r="S39" s="4"/>
      <c r="T39" s="6"/>
      <c r="U39" s="6"/>
      <c r="V39" s="6"/>
      <c r="W39" s="5"/>
      <c r="X39" s="5"/>
      <c r="Y39" s="5"/>
      <c r="Z39" s="5"/>
    </row>
    <row r="40" spans="1:26" ht="27" customHeight="1" outlineLevel="1" x14ac:dyDescent="0.25">
      <c r="A40" s="17"/>
      <c r="B40" s="6"/>
      <c r="C40" s="161" t="s">
        <v>40</v>
      </c>
      <c r="D40" s="160"/>
      <c r="E40" s="160"/>
      <c r="F40" s="160"/>
      <c r="G40" s="212">
        <v>2021</v>
      </c>
      <c r="H40" s="213"/>
      <c r="I40" s="214" t="s">
        <v>41</v>
      </c>
      <c r="J40" s="160"/>
      <c r="K40" s="214" t="s">
        <v>42</v>
      </c>
      <c r="L40" s="214"/>
      <c r="M40" s="160"/>
      <c r="N40" s="160"/>
      <c r="O40" s="16"/>
      <c r="P40" s="16"/>
      <c r="Q40" s="16"/>
      <c r="R40" s="16"/>
      <c r="S40" s="4"/>
      <c r="T40" s="6"/>
      <c r="U40" s="6"/>
      <c r="V40" s="6"/>
      <c r="W40" s="5"/>
      <c r="X40" s="5"/>
      <c r="Y40" s="5"/>
      <c r="Z40" s="5"/>
    </row>
    <row r="41" spans="1:26" ht="12.75" customHeight="1" outlineLevel="1" x14ac:dyDescent="0.25">
      <c r="A41" s="17"/>
      <c r="B41" s="6"/>
      <c r="C41" s="159" t="str">
        <f>IF(G39="","",IF(G39=$S$5,"Valor umbral Mipyme.","Total Ingresos Operacionales Acreditados"))</f>
        <v>Total Ingresos Operacionales Acreditados</v>
      </c>
      <c r="D41" s="160"/>
      <c r="E41" s="160"/>
      <c r="F41" s="160"/>
      <c r="G41" s="215">
        <v>4861893157</v>
      </c>
      <c r="H41" s="216"/>
      <c r="I41" s="214" t="s">
        <v>43</v>
      </c>
      <c r="J41" s="160"/>
      <c r="K41" s="18" t="s">
        <v>44</v>
      </c>
      <c r="L41" s="18"/>
      <c r="M41" s="217">
        <v>457297264</v>
      </c>
      <c r="N41" s="218"/>
      <c r="O41" s="16"/>
      <c r="P41" s="16"/>
      <c r="Q41" s="16"/>
      <c r="R41" s="16"/>
      <c r="S41" s="4"/>
      <c r="T41" s="6"/>
      <c r="U41" s="6"/>
      <c r="V41" s="6"/>
      <c r="W41" s="5"/>
      <c r="X41" s="5"/>
      <c r="Y41" s="5"/>
      <c r="Z41" s="5"/>
    </row>
    <row r="42" spans="1:26" ht="12.75" customHeight="1" outlineLevel="1" x14ac:dyDescent="0.25">
      <c r="A42" s="17"/>
      <c r="B42" s="6"/>
      <c r="C42" s="162" t="s">
        <v>45</v>
      </c>
      <c r="D42" s="160"/>
      <c r="E42" s="160"/>
      <c r="F42" s="160"/>
      <c r="G42" s="160"/>
      <c r="H42" s="160"/>
      <c r="I42" s="19"/>
      <c r="J42" s="19"/>
      <c r="K42" s="20"/>
      <c r="L42" s="20"/>
      <c r="M42" s="21"/>
      <c r="N42" s="21"/>
      <c r="O42" s="21"/>
      <c r="P42" s="21"/>
      <c r="Q42" s="21"/>
      <c r="R42" s="21"/>
      <c r="S42" s="4"/>
      <c r="T42" s="6"/>
      <c r="U42" s="6"/>
      <c r="V42" s="6"/>
      <c r="W42" s="5"/>
      <c r="X42" s="5"/>
      <c r="Y42" s="5"/>
      <c r="Z42" s="5"/>
    </row>
    <row r="43" spans="1:26" outlineLevel="1" x14ac:dyDescent="0.25">
      <c r="A43" s="17"/>
      <c r="B43" s="6"/>
      <c r="C43" s="69" t="s">
        <v>46</v>
      </c>
      <c r="D43" s="225" t="s">
        <v>196</v>
      </c>
      <c r="E43" s="160"/>
      <c r="F43" s="226" t="s">
        <v>47</v>
      </c>
      <c r="G43" s="160"/>
      <c r="H43" s="72" t="s">
        <v>87</v>
      </c>
      <c r="I43" s="19"/>
      <c r="J43" s="19"/>
      <c r="K43" s="20"/>
      <c r="L43" s="20"/>
      <c r="M43" s="21"/>
      <c r="N43" s="21"/>
      <c r="O43" s="21"/>
      <c r="P43" s="21"/>
      <c r="Q43" s="21"/>
      <c r="R43" s="21"/>
      <c r="S43" s="4"/>
      <c r="T43" s="6"/>
      <c r="U43" s="6"/>
      <c r="V43" s="6"/>
      <c r="W43" s="5"/>
      <c r="X43" s="5"/>
      <c r="Y43" s="5"/>
      <c r="Z43" s="5"/>
    </row>
    <row r="44" spans="1:26" outlineLevel="1" x14ac:dyDescent="0.25">
      <c r="A44" s="17"/>
      <c r="B44" s="6"/>
      <c r="C44" s="69" t="s">
        <v>48</v>
      </c>
      <c r="D44" s="225" t="s">
        <v>197</v>
      </c>
      <c r="E44" s="160"/>
      <c r="F44" s="226" t="s">
        <v>47</v>
      </c>
      <c r="G44" s="160"/>
      <c r="H44" s="72" t="s">
        <v>87</v>
      </c>
      <c r="I44" s="19"/>
      <c r="J44" s="19"/>
      <c r="K44" s="20"/>
      <c r="L44" s="20"/>
      <c r="M44" s="21"/>
      <c r="N44" s="21"/>
      <c r="O44" s="21"/>
      <c r="P44" s="21"/>
      <c r="Q44" s="21"/>
      <c r="R44" s="21"/>
      <c r="S44" s="4"/>
      <c r="T44" s="6"/>
      <c r="U44" s="6"/>
      <c r="V44" s="6"/>
      <c r="W44" s="5"/>
      <c r="X44" s="5"/>
      <c r="Y44" s="5"/>
      <c r="Z44" s="5"/>
    </row>
    <row r="45" spans="1:26" ht="13.5" customHeight="1" outlineLevel="1" x14ac:dyDescent="0.25">
      <c r="A45" s="17"/>
      <c r="B45" s="6"/>
      <c r="C45" s="69" t="s">
        <v>49</v>
      </c>
      <c r="D45" s="69"/>
      <c r="E45" s="69"/>
      <c r="F45" s="69"/>
      <c r="G45" s="227">
        <f>IF(OR(H43="SIN VIGENCIA",H43="NO APORTA",H44="SIN VIGENCIA",H44="NO APORTA"),0,IF(G39="",0,IF(G39=$S$5,M41,IF(G41&lt;M41,M41,G41))))</f>
        <v>4861893157</v>
      </c>
      <c r="H45" s="228"/>
      <c r="I45" s="5"/>
      <c r="J45" s="5"/>
      <c r="K45" s="5"/>
      <c r="L45" s="5"/>
      <c r="M45" s="5"/>
      <c r="N45" s="5"/>
      <c r="O45" s="5"/>
      <c r="P45" s="5"/>
      <c r="Q45" s="5"/>
      <c r="R45" s="5"/>
      <c r="S45" s="4"/>
      <c r="T45" s="6"/>
      <c r="U45" s="6"/>
      <c r="V45" s="6"/>
      <c r="W45" s="5"/>
      <c r="X45" s="5"/>
      <c r="Y45" s="5"/>
      <c r="Z45" s="5"/>
    </row>
    <row r="46" spans="1:26" ht="5.25" customHeight="1" outlineLevel="1" x14ac:dyDescent="0.25">
      <c r="A46" s="14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4"/>
      <c r="T46" s="6"/>
      <c r="U46" s="6"/>
      <c r="V46" s="6"/>
      <c r="W46" s="5"/>
      <c r="X46" s="5"/>
      <c r="Y46" s="5"/>
      <c r="Z46" s="5"/>
    </row>
    <row r="47" spans="1:26" ht="12" customHeight="1" outlineLevel="1" x14ac:dyDescent="0.25">
      <c r="A47" s="17"/>
      <c r="B47" s="6"/>
      <c r="C47" s="222" t="s">
        <v>26</v>
      </c>
      <c r="D47" s="160"/>
      <c r="E47" s="160"/>
      <c r="F47" s="160"/>
      <c r="G47" s="160"/>
      <c r="H47" s="160"/>
      <c r="I47" s="7" t="s">
        <v>50</v>
      </c>
      <c r="J47" s="7" t="s">
        <v>51</v>
      </c>
      <c r="K47" s="7" t="s">
        <v>52</v>
      </c>
      <c r="L47" s="6"/>
      <c r="M47" s="5"/>
      <c r="N47" s="5"/>
      <c r="O47" s="5"/>
      <c r="P47" s="5"/>
      <c r="Q47" s="5"/>
      <c r="R47" s="5"/>
      <c r="S47" s="4"/>
      <c r="T47" s="6"/>
      <c r="U47" s="6"/>
      <c r="V47" s="6"/>
      <c r="W47" s="6"/>
      <c r="X47" s="5"/>
      <c r="Y47" s="5"/>
      <c r="Z47" s="5"/>
    </row>
    <row r="48" spans="1:26" ht="12" customHeight="1" outlineLevel="1" x14ac:dyDescent="0.25">
      <c r="A48" s="17"/>
      <c r="B48" s="6"/>
      <c r="C48" s="161" t="s">
        <v>53</v>
      </c>
      <c r="D48" s="160"/>
      <c r="E48" s="160"/>
      <c r="F48" s="160"/>
      <c r="G48" s="223">
        <f>D36</f>
        <v>0.55000000000000004</v>
      </c>
      <c r="H48" s="160"/>
      <c r="I48" s="70">
        <v>0</v>
      </c>
      <c r="J48" s="70">
        <v>3</v>
      </c>
      <c r="K48" s="70">
        <v>60</v>
      </c>
      <c r="L48" s="4"/>
      <c r="M48" s="5"/>
      <c r="N48" s="5"/>
      <c r="O48" s="5"/>
      <c r="P48" s="5"/>
      <c r="Q48" s="5"/>
      <c r="R48" s="5"/>
      <c r="S48" s="4"/>
      <c r="T48" s="6"/>
      <c r="U48" s="6"/>
      <c r="V48" s="6"/>
      <c r="W48" s="6"/>
      <c r="X48" s="5"/>
      <c r="Y48" s="5"/>
      <c r="Z48" s="5"/>
    </row>
    <row r="49" spans="1:26" ht="12" customHeight="1" outlineLevel="1" x14ac:dyDescent="0.25">
      <c r="A49" s="17"/>
      <c r="B49" s="6"/>
      <c r="C49" s="161" t="s">
        <v>22</v>
      </c>
      <c r="D49" s="160"/>
      <c r="E49" s="160"/>
      <c r="F49" s="160"/>
      <c r="G49" s="224">
        <f>$E$5</f>
        <v>1169500932</v>
      </c>
      <c r="H49" s="216"/>
      <c r="I49" s="70">
        <v>3</v>
      </c>
      <c r="J49" s="70">
        <v>6</v>
      </c>
      <c r="K49" s="70">
        <v>80</v>
      </c>
      <c r="L49" s="4"/>
      <c r="M49" s="5"/>
      <c r="N49" s="5"/>
      <c r="O49" s="5"/>
      <c r="P49" s="5"/>
      <c r="Q49" s="5"/>
      <c r="R49" s="5"/>
      <c r="S49" s="4"/>
      <c r="T49" s="6"/>
      <c r="U49" s="6"/>
      <c r="V49" s="6"/>
      <c r="W49" s="6"/>
      <c r="X49" s="5"/>
      <c r="Y49" s="5"/>
      <c r="Z49" s="5"/>
    </row>
    <row r="50" spans="1:26" ht="12" customHeight="1" outlineLevel="1" x14ac:dyDescent="0.25">
      <c r="A50" s="17"/>
      <c r="B50" s="6"/>
      <c r="C50" s="162" t="s">
        <v>54</v>
      </c>
      <c r="D50" s="160"/>
      <c r="E50" s="160"/>
      <c r="F50" s="160"/>
      <c r="G50" s="160"/>
      <c r="H50" s="160"/>
      <c r="I50" s="70">
        <v>6</v>
      </c>
      <c r="J50" s="70">
        <v>10</v>
      </c>
      <c r="K50" s="70">
        <v>100</v>
      </c>
      <c r="L50" s="4"/>
      <c r="M50" s="5"/>
      <c r="N50" s="5"/>
      <c r="O50" s="5"/>
      <c r="P50" s="5"/>
      <c r="Q50" s="5"/>
      <c r="R50" s="5"/>
      <c r="S50" s="4"/>
      <c r="T50" s="6"/>
      <c r="U50" s="6"/>
      <c r="V50" s="6"/>
      <c r="W50" s="6"/>
      <c r="X50" s="5"/>
      <c r="Y50" s="5"/>
      <c r="Z50" s="5"/>
    </row>
    <row r="51" spans="1:26" ht="15.75" customHeight="1" outlineLevel="1" x14ac:dyDescent="0.25">
      <c r="A51" s="17"/>
      <c r="B51" s="6"/>
      <c r="C51" s="161" t="s">
        <v>55</v>
      </c>
      <c r="D51" s="160"/>
      <c r="E51" s="160"/>
      <c r="F51" s="160"/>
      <c r="G51" s="166" t="s">
        <v>56</v>
      </c>
      <c r="H51" s="160"/>
      <c r="I51" s="70">
        <v>10</v>
      </c>
      <c r="J51" s="70" t="s">
        <v>57</v>
      </c>
      <c r="K51" s="70">
        <v>120</v>
      </c>
      <c r="L51" s="4"/>
      <c r="M51" s="5"/>
      <c r="N51" s="5"/>
      <c r="O51" s="5"/>
      <c r="P51" s="5"/>
      <c r="Q51" s="5"/>
      <c r="R51" s="5"/>
      <c r="S51" s="4"/>
      <c r="T51" s="6"/>
      <c r="U51" s="6"/>
      <c r="V51" s="6"/>
      <c r="W51" s="6"/>
      <c r="X51" s="5"/>
      <c r="Y51" s="5"/>
      <c r="Z51" s="5"/>
    </row>
    <row r="52" spans="1:26" ht="15" customHeight="1" outlineLevel="1" x14ac:dyDescent="0.25">
      <c r="A52" s="17"/>
      <c r="B52" s="6"/>
      <c r="C52" s="162" t="s">
        <v>58</v>
      </c>
      <c r="D52" s="160"/>
      <c r="E52" s="160"/>
      <c r="F52" s="160"/>
      <c r="G52" s="230">
        <v>83280521090</v>
      </c>
      <c r="H52" s="160"/>
      <c r="I52" s="5"/>
      <c r="J52" s="5"/>
      <c r="K52" s="5"/>
      <c r="L52" s="5"/>
      <c r="M52" s="5"/>
      <c r="N52" s="5"/>
      <c r="O52" s="5"/>
      <c r="P52" s="5"/>
      <c r="Q52" s="5"/>
      <c r="R52" s="5"/>
      <c r="S52" s="4"/>
      <c r="T52" s="6"/>
      <c r="U52" s="6"/>
      <c r="V52" s="6"/>
      <c r="W52" s="6"/>
      <c r="X52" s="5"/>
      <c r="Y52" s="5"/>
      <c r="Z52" s="5"/>
    </row>
    <row r="53" spans="1:26" ht="3" customHeight="1" outlineLevel="1" x14ac:dyDescent="0.25">
      <c r="A53" s="17"/>
      <c r="B53" s="6"/>
      <c r="C53" s="161"/>
      <c r="D53" s="160"/>
      <c r="E53" s="160"/>
      <c r="F53" s="160"/>
      <c r="G53" s="231"/>
      <c r="H53" s="160"/>
      <c r="I53" s="5"/>
      <c r="J53" s="5"/>
      <c r="K53" s="5"/>
      <c r="L53" s="5"/>
      <c r="M53" s="5"/>
      <c r="N53" s="5"/>
      <c r="O53" s="5"/>
      <c r="P53" s="5"/>
      <c r="Q53" s="5"/>
      <c r="R53" s="5"/>
      <c r="S53" s="4"/>
      <c r="T53" s="6"/>
      <c r="U53" s="6"/>
      <c r="V53" s="6"/>
      <c r="W53" s="6"/>
      <c r="X53" s="5"/>
      <c r="Y53" s="5"/>
      <c r="Z53" s="5"/>
    </row>
    <row r="54" spans="1:26" ht="13.5" customHeight="1" outlineLevel="1" x14ac:dyDescent="0.25">
      <c r="A54" s="17"/>
      <c r="B54" s="6"/>
      <c r="C54" s="159" t="s">
        <v>59</v>
      </c>
      <c r="D54" s="160"/>
      <c r="E54" s="160"/>
      <c r="F54" s="160"/>
      <c r="G54" s="229">
        <f>SUM(G51:H53)</f>
        <v>83280521090</v>
      </c>
      <c r="H54" s="160"/>
      <c r="I54" s="5"/>
      <c r="J54" s="5"/>
      <c r="K54" s="5"/>
      <c r="L54" s="5"/>
      <c r="M54" s="5"/>
      <c r="N54" s="5"/>
      <c r="O54" s="5"/>
      <c r="P54" s="5"/>
      <c r="Q54" s="5"/>
      <c r="R54" s="5"/>
      <c r="S54" s="4"/>
      <c r="T54" s="6"/>
      <c r="U54" s="6"/>
      <c r="V54" s="6"/>
      <c r="W54" s="6"/>
      <c r="X54" s="5"/>
      <c r="Y54" s="5"/>
      <c r="Z54" s="5"/>
    </row>
    <row r="55" spans="1:26" ht="12" customHeight="1" outlineLevel="1" x14ac:dyDescent="0.25">
      <c r="A55" s="17"/>
      <c r="B55" s="6"/>
      <c r="C55" s="159" t="s">
        <v>60</v>
      </c>
      <c r="D55" s="160"/>
      <c r="E55" s="160"/>
      <c r="F55" s="160"/>
      <c r="G55" s="160"/>
      <c r="H55" s="71">
        <f>IF(OR(G48="",G48=0,G54=0),0,G54/(G49*G48))</f>
        <v>129.47328652025857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4"/>
      <c r="T55" s="6"/>
      <c r="U55" s="6"/>
      <c r="V55" s="6"/>
      <c r="W55" s="6"/>
      <c r="X55" s="5"/>
      <c r="Y55" s="5"/>
      <c r="Z55" s="5"/>
    </row>
    <row r="56" spans="1:26" ht="13.5" customHeight="1" outlineLevel="1" x14ac:dyDescent="0.25">
      <c r="A56" s="17"/>
      <c r="B56" s="6"/>
      <c r="C56" s="159" t="s">
        <v>61</v>
      </c>
      <c r="D56" s="160"/>
      <c r="E56" s="160"/>
      <c r="F56" s="160"/>
      <c r="G56" s="160"/>
      <c r="H56" s="22">
        <f>IF(H55&lt;=J48,K48,IF(H55&lt;=J49,K49,IF(H55&lt;=J50,K50,K51)))</f>
        <v>120</v>
      </c>
      <c r="I56" s="5"/>
      <c r="J56" s="23"/>
      <c r="K56" s="5"/>
      <c r="L56" s="5"/>
      <c r="M56" s="5"/>
      <c r="N56" s="5"/>
      <c r="O56" s="5"/>
      <c r="P56" s="5"/>
      <c r="Q56" s="5"/>
      <c r="R56" s="5"/>
      <c r="S56" s="4"/>
      <c r="T56" s="6"/>
      <c r="U56" s="6"/>
      <c r="V56" s="6"/>
      <c r="W56" s="6"/>
      <c r="X56" s="5"/>
      <c r="Y56" s="5"/>
      <c r="Z56" s="5"/>
    </row>
    <row r="57" spans="1:26" ht="5.25" customHeight="1" outlineLevel="1" x14ac:dyDescent="0.25">
      <c r="A57" s="14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4"/>
      <c r="T57" s="6"/>
      <c r="U57" s="6"/>
      <c r="V57" s="6"/>
      <c r="W57" s="5"/>
      <c r="X57" s="5"/>
      <c r="Y57" s="5"/>
      <c r="Z57" s="5"/>
    </row>
    <row r="58" spans="1:26" ht="15" customHeight="1" outlineLevel="1" x14ac:dyDescent="0.25">
      <c r="A58" s="17"/>
      <c r="B58" s="6"/>
      <c r="C58" s="219" t="s">
        <v>62</v>
      </c>
      <c r="D58" s="160"/>
      <c r="E58" s="160"/>
      <c r="F58" s="160"/>
      <c r="G58" s="160"/>
      <c r="H58" s="160"/>
      <c r="I58" s="7" t="s">
        <v>63</v>
      </c>
      <c r="J58" s="7" t="s">
        <v>64</v>
      </c>
      <c r="K58" s="7" t="s">
        <v>52</v>
      </c>
      <c r="L58" s="6"/>
      <c r="M58" s="5"/>
      <c r="N58" s="5"/>
      <c r="O58" s="5"/>
      <c r="P58" s="5"/>
      <c r="Q58" s="5"/>
      <c r="R58" s="5"/>
      <c r="S58" s="4"/>
      <c r="T58" s="6"/>
      <c r="U58" s="6"/>
      <c r="V58" s="6"/>
      <c r="W58" s="6"/>
      <c r="X58" s="5"/>
      <c r="Y58" s="5"/>
      <c r="Z58" s="5"/>
    </row>
    <row r="59" spans="1:26" ht="12" customHeight="1" outlineLevel="1" x14ac:dyDescent="0.25">
      <c r="A59" s="17"/>
      <c r="B59" s="6"/>
      <c r="C59" s="159" t="s">
        <v>65</v>
      </c>
      <c r="D59" s="160"/>
      <c r="E59" s="160"/>
      <c r="F59" s="160"/>
      <c r="G59" s="160"/>
      <c r="H59" s="67">
        <f>VLOOKUP(A32,'CAPACIDAD FINANCIERA'!$A$6:$AK$308,5,FALSE)</f>
        <v>3108611961</v>
      </c>
      <c r="I59" s="24">
        <v>0</v>
      </c>
      <c r="J59" s="24">
        <v>0.5</v>
      </c>
      <c r="K59" s="70">
        <v>20</v>
      </c>
      <c r="L59" s="4"/>
      <c r="M59" s="5"/>
      <c r="N59" s="5"/>
      <c r="O59" s="5"/>
      <c r="P59" s="5"/>
      <c r="Q59" s="5"/>
      <c r="R59" s="5"/>
      <c r="S59" s="4"/>
      <c r="T59" s="6"/>
      <c r="U59" s="6"/>
      <c r="V59" s="6"/>
      <c r="W59" s="6"/>
      <c r="X59" s="5"/>
      <c r="Y59" s="5"/>
      <c r="Z59" s="5"/>
    </row>
    <row r="60" spans="1:26" ht="12" customHeight="1" outlineLevel="1" x14ac:dyDescent="0.25">
      <c r="A60" s="17"/>
      <c r="B60" s="6"/>
      <c r="C60" s="159" t="s">
        <v>66</v>
      </c>
      <c r="D60" s="160"/>
      <c r="E60" s="160"/>
      <c r="F60" s="160"/>
      <c r="G60" s="160"/>
      <c r="H60" s="67">
        <f>VLOOKUP(A32,'CAPACIDAD FINANCIERA'!$A$6:$AK$308,7,FALSE)</f>
        <v>77518074</v>
      </c>
      <c r="I60" s="24">
        <v>0.5</v>
      </c>
      <c r="J60" s="24">
        <v>0.75</v>
      </c>
      <c r="K60" s="70">
        <v>25</v>
      </c>
      <c r="L60" s="4"/>
      <c r="M60" s="5"/>
      <c r="N60" s="5"/>
      <c r="O60" s="5"/>
      <c r="P60" s="5"/>
      <c r="Q60" s="5"/>
      <c r="R60" s="5"/>
      <c r="S60" s="4"/>
      <c r="T60" s="6"/>
      <c r="U60" s="6"/>
      <c r="V60" s="6"/>
      <c r="W60" s="6"/>
      <c r="X60" s="5"/>
      <c r="Y60" s="5"/>
      <c r="Z60" s="5"/>
    </row>
    <row r="61" spans="1:26" ht="12" customHeight="1" outlineLevel="1" x14ac:dyDescent="0.25">
      <c r="A61" s="17"/>
      <c r="B61" s="6"/>
      <c r="C61" s="159" t="s">
        <v>67</v>
      </c>
      <c r="D61" s="160"/>
      <c r="E61" s="160"/>
      <c r="F61" s="160"/>
      <c r="G61" s="160"/>
      <c r="H61" s="71">
        <f>ROUND(IF(H59="",0,H59/H60),2)</f>
        <v>40.1</v>
      </c>
      <c r="I61" s="24">
        <v>0.75</v>
      </c>
      <c r="J61" s="24">
        <v>1</v>
      </c>
      <c r="K61" s="70">
        <v>30</v>
      </c>
      <c r="L61" s="4"/>
      <c r="M61" s="5"/>
      <c r="N61" s="5"/>
      <c r="O61" s="5"/>
      <c r="P61" s="5"/>
      <c r="Q61" s="5"/>
      <c r="R61" s="5"/>
      <c r="S61" s="4"/>
      <c r="T61" s="6"/>
      <c r="U61" s="6"/>
      <c r="V61" s="6"/>
      <c r="W61" s="6"/>
      <c r="X61" s="5"/>
      <c r="Y61" s="5"/>
      <c r="Z61" s="5"/>
    </row>
    <row r="62" spans="1:26" ht="13.5" customHeight="1" outlineLevel="1" x14ac:dyDescent="0.25">
      <c r="A62" s="17"/>
      <c r="B62" s="6"/>
      <c r="C62" s="159" t="s">
        <v>68</v>
      </c>
      <c r="D62" s="160"/>
      <c r="E62" s="160"/>
      <c r="F62" s="160"/>
      <c r="G62" s="160"/>
      <c r="H62" s="22">
        <f>IF(H61="",0,IF(H61&lt;J59,K59,IF(H61&lt;J60,K60,IF(H61&lt;J61,K61,IF(H61&lt;J62,K62,K63)))))</f>
        <v>40</v>
      </c>
      <c r="I62" s="24">
        <v>1</v>
      </c>
      <c r="J62" s="24">
        <v>1.5</v>
      </c>
      <c r="K62" s="70">
        <v>35</v>
      </c>
      <c r="L62" s="4"/>
      <c r="M62" s="5"/>
      <c r="N62" s="5"/>
      <c r="O62" s="5"/>
      <c r="P62" s="5"/>
      <c r="Q62" s="5"/>
      <c r="R62" s="5"/>
      <c r="S62" s="4"/>
      <c r="T62" s="6"/>
      <c r="U62" s="6"/>
      <c r="V62" s="6"/>
      <c r="W62" s="6"/>
      <c r="X62" s="5"/>
      <c r="Y62" s="5"/>
      <c r="Z62" s="5"/>
    </row>
    <row r="63" spans="1:26" ht="12" customHeight="1" outlineLevel="1" x14ac:dyDescent="0.25">
      <c r="A63" s="17"/>
      <c r="B63" s="6"/>
      <c r="C63" s="5"/>
      <c r="D63" s="5"/>
      <c r="E63" s="5"/>
      <c r="F63" s="5"/>
      <c r="G63" s="5"/>
      <c r="H63" s="5"/>
      <c r="I63" s="24">
        <v>1.5</v>
      </c>
      <c r="J63" s="24" t="s">
        <v>57</v>
      </c>
      <c r="K63" s="70">
        <v>40</v>
      </c>
      <c r="L63" s="4"/>
      <c r="M63" s="5"/>
      <c r="N63" s="5"/>
      <c r="O63" s="5"/>
      <c r="P63" s="5"/>
      <c r="Q63" s="5"/>
      <c r="R63" s="5"/>
      <c r="S63" s="4"/>
      <c r="T63" s="6"/>
      <c r="U63" s="6"/>
      <c r="V63" s="6"/>
      <c r="W63" s="6"/>
      <c r="X63" s="5"/>
      <c r="Y63" s="5"/>
      <c r="Z63" s="5"/>
    </row>
    <row r="64" spans="1:26" ht="5.25" customHeight="1" outlineLevel="1" x14ac:dyDescent="0.25">
      <c r="A64" s="14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4"/>
      <c r="T64" s="6"/>
      <c r="U64" s="6"/>
      <c r="V64" s="6"/>
      <c r="W64" s="5"/>
      <c r="X64" s="5"/>
      <c r="Y64" s="5"/>
      <c r="Z64" s="5"/>
    </row>
    <row r="65" spans="1:26" ht="12" customHeight="1" outlineLevel="1" x14ac:dyDescent="0.25">
      <c r="A65" s="17"/>
      <c r="B65" s="6"/>
      <c r="C65" s="219" t="s">
        <v>69</v>
      </c>
      <c r="D65" s="160"/>
      <c r="E65" s="160"/>
      <c r="F65" s="160"/>
      <c r="G65" s="160"/>
      <c r="H65" s="160"/>
      <c r="I65" s="7" t="s">
        <v>70</v>
      </c>
      <c r="J65" s="7" t="s">
        <v>71</v>
      </c>
      <c r="K65" s="7" t="s">
        <v>52</v>
      </c>
      <c r="L65" s="6"/>
      <c r="M65" s="5"/>
      <c r="N65" s="5"/>
      <c r="O65" s="5"/>
      <c r="P65" s="5"/>
      <c r="Q65" s="5"/>
      <c r="R65" s="5"/>
      <c r="S65" s="4"/>
      <c r="T65" s="6"/>
      <c r="U65" s="6"/>
      <c r="V65" s="6"/>
      <c r="W65" s="6"/>
      <c r="X65" s="5"/>
      <c r="Y65" s="5"/>
      <c r="Z65" s="5"/>
    </row>
    <row r="66" spans="1:26" ht="12.75" customHeight="1" outlineLevel="1" x14ac:dyDescent="0.25">
      <c r="A66" s="17"/>
      <c r="B66" s="6"/>
      <c r="C66" s="159" t="s">
        <v>72</v>
      </c>
      <c r="D66" s="160"/>
      <c r="E66" s="160"/>
      <c r="F66" s="160"/>
      <c r="G66" s="160"/>
      <c r="H66" s="25">
        <v>1</v>
      </c>
      <c r="I66" s="26">
        <v>1</v>
      </c>
      <c r="J66" s="26">
        <v>5</v>
      </c>
      <c r="K66" s="70">
        <v>20</v>
      </c>
      <c r="L66" s="4"/>
      <c r="M66" s="5"/>
      <c r="N66" s="5"/>
      <c r="O66" s="5"/>
      <c r="P66" s="5"/>
      <c r="Q66" s="5"/>
      <c r="R66" s="5"/>
      <c r="S66" s="4"/>
      <c r="T66" s="6"/>
      <c r="U66" s="6"/>
      <c r="V66" s="6"/>
      <c r="W66" s="6"/>
      <c r="X66" s="5"/>
      <c r="Y66" s="5"/>
      <c r="Z66" s="5"/>
    </row>
    <row r="67" spans="1:26" ht="13.5" customHeight="1" outlineLevel="1" x14ac:dyDescent="0.25">
      <c r="A67" s="17"/>
      <c r="B67" s="6"/>
      <c r="C67" s="159" t="s">
        <v>73</v>
      </c>
      <c r="D67" s="160"/>
      <c r="E67" s="160"/>
      <c r="F67" s="160"/>
      <c r="G67" s="160"/>
      <c r="H67" s="22">
        <f>IF(H66&lt;I66,0,IF(H66&lt;=J66,K66,IF(H66&lt;=J67,K67,K68)))</f>
        <v>20</v>
      </c>
      <c r="I67" s="26">
        <v>6</v>
      </c>
      <c r="J67" s="26">
        <v>10</v>
      </c>
      <c r="K67" s="70">
        <v>30</v>
      </c>
      <c r="L67" s="4"/>
      <c r="M67" s="5"/>
      <c r="N67" s="5"/>
      <c r="O67" s="5"/>
      <c r="P67" s="5"/>
      <c r="Q67" s="5"/>
      <c r="R67" s="5"/>
      <c r="S67" s="4"/>
      <c r="T67" s="6"/>
      <c r="U67" s="6"/>
      <c r="V67" s="6"/>
      <c r="W67" s="6"/>
      <c r="X67" s="5"/>
      <c r="Y67" s="5"/>
      <c r="Z67" s="5"/>
    </row>
    <row r="68" spans="1:26" ht="13.5" customHeight="1" outlineLevel="1" x14ac:dyDescent="0.25">
      <c r="A68" s="17"/>
      <c r="B68" s="6"/>
      <c r="C68" s="5"/>
      <c r="D68" s="5"/>
      <c r="E68" s="5"/>
      <c r="F68" s="5"/>
      <c r="G68" s="5"/>
      <c r="H68" s="5"/>
      <c r="I68" s="26">
        <v>11</v>
      </c>
      <c r="J68" s="24" t="s">
        <v>57</v>
      </c>
      <c r="K68" s="70">
        <v>40</v>
      </c>
      <c r="L68" s="4"/>
      <c r="M68" s="5"/>
      <c r="N68" s="5"/>
      <c r="O68" s="5"/>
      <c r="P68" s="5"/>
      <c r="Q68" s="5"/>
      <c r="R68" s="5"/>
      <c r="S68" s="4"/>
      <c r="T68" s="6"/>
      <c r="U68" s="6"/>
      <c r="V68" s="6"/>
      <c r="W68" s="6"/>
      <c r="X68" s="5"/>
      <c r="Y68" s="5"/>
      <c r="Z68" s="5"/>
    </row>
    <row r="69" spans="1:26" ht="5.25" customHeight="1" outlineLevel="1" x14ac:dyDescent="0.25">
      <c r="A69" s="14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4"/>
      <c r="T69" s="6"/>
      <c r="U69" s="6"/>
      <c r="V69" s="6"/>
      <c r="W69" s="5"/>
      <c r="X69" s="5"/>
      <c r="Y69" s="5"/>
      <c r="Z69" s="5"/>
    </row>
    <row r="70" spans="1:26" ht="15.75" customHeight="1" outlineLevel="1" x14ac:dyDescent="0.25">
      <c r="A70" s="17"/>
      <c r="B70" s="6"/>
      <c r="C70" s="222" t="s">
        <v>74</v>
      </c>
      <c r="D70" s="160"/>
      <c r="E70" s="160"/>
      <c r="F70" s="160"/>
      <c r="G70" s="160"/>
      <c r="H70" s="160"/>
      <c r="I70" s="160"/>
      <c r="J70" s="160"/>
      <c r="K70" s="160"/>
      <c r="L70" s="160"/>
      <c r="M70" s="160"/>
      <c r="N70" s="160"/>
      <c r="O70" s="16"/>
      <c r="P70" s="16"/>
      <c r="Q70" s="16"/>
      <c r="R70" s="16"/>
      <c r="S70" s="4"/>
      <c r="T70" s="6"/>
      <c r="U70" s="6"/>
      <c r="V70" s="6"/>
      <c r="W70" s="6"/>
      <c r="X70" s="5"/>
      <c r="Y70" s="5"/>
      <c r="Z70" s="5"/>
    </row>
    <row r="71" spans="1:26" ht="12.75" customHeight="1" outlineLevel="1" x14ac:dyDescent="0.25">
      <c r="A71" s="27"/>
      <c r="B71" s="28"/>
      <c r="C71" s="162" t="s">
        <v>75</v>
      </c>
      <c r="D71" s="160"/>
      <c r="E71" s="160"/>
      <c r="F71" s="160"/>
      <c r="G71" s="160"/>
      <c r="H71" s="160"/>
      <c r="I71" s="160"/>
      <c r="J71" s="160"/>
      <c r="K71" s="160"/>
      <c r="L71" s="160"/>
      <c r="M71" s="160"/>
      <c r="N71" s="160"/>
      <c r="O71" s="16"/>
      <c r="P71" s="16"/>
      <c r="Q71" s="16"/>
      <c r="R71" s="16"/>
      <c r="S71" s="4"/>
      <c r="T71" s="6"/>
      <c r="U71" s="1"/>
      <c r="V71" s="1"/>
      <c r="W71" s="1"/>
      <c r="X71" s="1"/>
      <c r="Y71" s="1"/>
      <c r="Z71" s="1"/>
    </row>
    <row r="72" spans="1:26" ht="48" outlineLevel="1" x14ac:dyDescent="0.25">
      <c r="A72" s="29"/>
      <c r="B72" s="28"/>
      <c r="C72" s="69" t="s">
        <v>76</v>
      </c>
      <c r="D72" s="70" t="s">
        <v>77</v>
      </c>
      <c r="E72" s="70" t="s">
        <v>56</v>
      </c>
      <c r="F72" s="70" t="s">
        <v>78</v>
      </c>
      <c r="G72" s="30" t="s">
        <v>123</v>
      </c>
      <c r="H72" s="70" t="s">
        <v>80</v>
      </c>
      <c r="I72" s="70" t="s">
        <v>81</v>
      </c>
      <c r="J72" s="70" t="s">
        <v>82</v>
      </c>
      <c r="K72" s="70" t="s">
        <v>83</v>
      </c>
      <c r="L72" s="30" t="s">
        <v>204</v>
      </c>
      <c r="M72" s="30" t="s">
        <v>84</v>
      </c>
      <c r="N72" s="70" t="s">
        <v>85</v>
      </c>
      <c r="O72" s="4"/>
      <c r="P72" s="4"/>
      <c r="Q72" s="4"/>
      <c r="R72" s="4"/>
      <c r="S72" s="4"/>
      <c r="T72" s="6"/>
      <c r="U72" s="1"/>
      <c r="V72" s="1"/>
      <c r="W72" s="1"/>
      <c r="X72" s="1"/>
      <c r="Y72" s="1"/>
      <c r="Z72" s="1"/>
    </row>
    <row r="73" spans="1:26" ht="12" hidden="1" customHeight="1" outlineLevel="1" x14ac:dyDescent="0.25">
      <c r="A73" s="29"/>
      <c r="B73" s="28"/>
      <c r="C73" s="69"/>
      <c r="D73" s="70"/>
      <c r="E73" s="70"/>
      <c r="F73" s="70"/>
      <c r="G73" s="70"/>
      <c r="H73" s="70"/>
      <c r="I73" s="70"/>
      <c r="J73" s="70"/>
      <c r="K73" s="70"/>
      <c r="L73" s="70"/>
      <c r="M73" s="30"/>
      <c r="N73" s="70"/>
      <c r="O73" s="4"/>
      <c r="P73" s="4"/>
      <c r="Q73" s="4"/>
      <c r="R73" s="4"/>
      <c r="S73" s="4"/>
      <c r="T73" s="6"/>
      <c r="U73" s="1"/>
      <c r="V73" s="1"/>
      <c r="W73" s="1"/>
      <c r="X73" s="1"/>
      <c r="Y73" s="1"/>
      <c r="Z73" s="1"/>
    </row>
    <row r="74" spans="1:26" outlineLevel="1" x14ac:dyDescent="0.25">
      <c r="A74" s="29"/>
      <c r="B74" s="28"/>
      <c r="C74" s="72">
        <v>1</v>
      </c>
      <c r="D74" s="31">
        <v>1</v>
      </c>
      <c r="E74" s="57">
        <v>78921639</v>
      </c>
      <c r="F74" s="56">
        <v>1.1299999999999999</v>
      </c>
      <c r="G74" s="34">
        <v>45533</v>
      </c>
      <c r="H74" s="35"/>
      <c r="I74" s="35"/>
      <c r="J74" s="35"/>
      <c r="K74" s="35"/>
      <c r="L74" s="35"/>
      <c r="M74" s="24">
        <f t="shared" ref="M74:M78" si="0">IF(C74="","",IF(IF(H74&lt;&gt;"",IF(I74&lt;&gt;"",IF(J74&lt;&gt;"",IF(K74&lt;&gt;"",G74+F74*30+(I74-H74)+(K74-J74)-$E$6,G74+F74*30+(I74-H74)-J74),G74+F74*30+(I74-H74)-$E$6),G74+F74*30-H74),G74+F74*30-$E$6)&lt;0,0,IF(H74&lt;&gt;"",IF(I74&lt;&gt;"",IF(J74&lt;&gt;"",IF(K74&lt;&gt;"",G74+F74*30+(I74-H74)+(K74-J74)-$E$6,G74+F74*30+(I74-H74)-J74),G74+F74*30+(I74-H74)-$E$6),G74+F74*30-H74),G74+F74*30-$E$6)))</f>
        <v>0</v>
      </c>
      <c r="N74" s="65">
        <f t="shared" ref="N74:N78" si="1">IF(L74="",IF(C74="","",IF(M74&lt;360,D74*E74*M74/(F74*30),D74*E74*360/(F74*30))),IF(C74="","",IF(M74&lt;360,D74*L74*M74/(F74*30),D74*L74*360/(F74*30))))</f>
        <v>0</v>
      </c>
      <c r="O74" s="21"/>
      <c r="P74" s="21"/>
      <c r="Q74" s="21"/>
      <c r="R74" s="21"/>
      <c r="S74" s="4"/>
      <c r="T74" s="6"/>
      <c r="U74" s="1"/>
      <c r="V74" s="1"/>
      <c r="W74" s="1"/>
      <c r="X74" s="1"/>
      <c r="Y74" s="1"/>
      <c r="Z74" s="1"/>
    </row>
    <row r="75" spans="1:26" outlineLevel="1" x14ac:dyDescent="0.25">
      <c r="A75" s="29"/>
      <c r="B75" s="28"/>
      <c r="C75" s="72"/>
      <c r="D75" s="31"/>
      <c r="E75" s="57"/>
      <c r="F75" s="56"/>
      <c r="G75" s="34"/>
      <c r="H75" s="35"/>
      <c r="I75" s="35"/>
      <c r="J75" s="35"/>
      <c r="K75" s="35"/>
      <c r="L75" s="35"/>
      <c r="M75" s="24" t="str">
        <f t="shared" si="0"/>
        <v/>
      </c>
      <c r="N75" s="65" t="str">
        <f t="shared" si="1"/>
        <v/>
      </c>
      <c r="O75" s="21"/>
      <c r="P75" s="21"/>
      <c r="Q75" s="21"/>
      <c r="R75" s="21"/>
      <c r="S75" s="4"/>
      <c r="T75" s="6"/>
      <c r="U75" s="1"/>
      <c r="V75" s="1"/>
      <c r="W75" s="1"/>
      <c r="X75" s="1"/>
      <c r="Y75" s="1"/>
      <c r="Z75" s="1"/>
    </row>
    <row r="76" spans="1:26" outlineLevel="1" x14ac:dyDescent="0.25">
      <c r="A76" s="29"/>
      <c r="B76" s="28"/>
      <c r="C76" s="72"/>
      <c r="D76" s="31"/>
      <c r="E76" s="57"/>
      <c r="F76" s="56"/>
      <c r="G76" s="34"/>
      <c r="H76" s="35"/>
      <c r="I76" s="35"/>
      <c r="J76" s="35"/>
      <c r="K76" s="35"/>
      <c r="L76" s="35"/>
      <c r="M76" s="24" t="str">
        <f t="shared" si="0"/>
        <v/>
      </c>
      <c r="N76" s="65" t="str">
        <f t="shared" si="1"/>
        <v/>
      </c>
      <c r="O76" s="21"/>
      <c r="P76" s="21"/>
      <c r="Q76" s="21"/>
      <c r="R76" s="21"/>
      <c r="S76" s="4"/>
      <c r="T76" s="6"/>
      <c r="U76" s="1"/>
      <c r="V76" s="1"/>
      <c r="W76" s="1"/>
      <c r="X76" s="1"/>
      <c r="Y76" s="1"/>
      <c r="Z76" s="1"/>
    </row>
    <row r="77" spans="1:26" outlineLevel="1" x14ac:dyDescent="0.25">
      <c r="A77" s="29"/>
      <c r="B77" s="28"/>
      <c r="C77" s="72"/>
      <c r="D77" s="31"/>
      <c r="E77" s="57"/>
      <c r="F77" s="56"/>
      <c r="G77" s="34"/>
      <c r="H77" s="35"/>
      <c r="I77" s="35"/>
      <c r="J77" s="35"/>
      <c r="K77" s="35"/>
      <c r="L77" s="35"/>
      <c r="M77" s="24" t="str">
        <f t="shared" si="0"/>
        <v/>
      </c>
      <c r="N77" s="65" t="str">
        <f t="shared" si="1"/>
        <v/>
      </c>
      <c r="O77" s="21"/>
      <c r="P77" s="21"/>
      <c r="Q77" s="21"/>
      <c r="R77" s="21"/>
      <c r="S77" s="4"/>
      <c r="T77" s="6"/>
      <c r="U77" s="1"/>
      <c r="V77" s="1"/>
      <c r="W77" s="1"/>
      <c r="X77" s="1"/>
      <c r="Y77" s="1"/>
      <c r="Z77" s="1"/>
    </row>
    <row r="78" spans="1:26" outlineLevel="1" x14ac:dyDescent="0.25">
      <c r="A78" s="29"/>
      <c r="B78" s="28"/>
      <c r="C78" s="72"/>
      <c r="D78" s="31"/>
      <c r="E78" s="57"/>
      <c r="F78" s="56"/>
      <c r="G78" s="34"/>
      <c r="H78" s="35"/>
      <c r="I78" s="35"/>
      <c r="J78" s="35"/>
      <c r="K78" s="35"/>
      <c r="L78" s="35"/>
      <c r="M78" s="24" t="str">
        <f t="shared" si="0"/>
        <v/>
      </c>
      <c r="N78" s="65" t="str">
        <f t="shared" si="1"/>
        <v/>
      </c>
      <c r="O78" s="21"/>
      <c r="P78" s="21"/>
      <c r="Q78" s="21"/>
      <c r="R78" s="21"/>
      <c r="S78" s="4"/>
      <c r="T78" s="6"/>
      <c r="U78" s="1"/>
      <c r="V78" s="1"/>
      <c r="W78" s="1"/>
      <c r="X78" s="1"/>
      <c r="Y78" s="1"/>
      <c r="Z78" s="1"/>
    </row>
    <row r="79" spans="1:26" ht="12" hidden="1" customHeight="1" outlineLevel="1" x14ac:dyDescent="0.25">
      <c r="A79" s="29"/>
      <c r="B79" s="28"/>
      <c r="C79" s="72"/>
      <c r="D79" s="31"/>
      <c r="E79" s="32"/>
      <c r="F79" s="33"/>
      <c r="G79" s="34"/>
      <c r="H79" s="35"/>
      <c r="I79" s="35"/>
      <c r="J79" s="35"/>
      <c r="K79" s="35"/>
      <c r="L79" s="35"/>
      <c r="M79" s="70"/>
      <c r="N79" s="36"/>
      <c r="O79" s="21"/>
      <c r="P79" s="21"/>
      <c r="Q79" s="21"/>
      <c r="R79" s="21"/>
      <c r="S79" s="4"/>
      <c r="T79" s="6"/>
      <c r="U79" s="1"/>
      <c r="V79" s="1"/>
      <c r="W79" s="1"/>
      <c r="X79" s="1"/>
      <c r="Y79" s="1"/>
      <c r="Z79" s="1"/>
    </row>
    <row r="80" spans="1:26" ht="13.5" customHeight="1" outlineLevel="1" x14ac:dyDescent="0.25">
      <c r="A80" s="29"/>
      <c r="B80" s="1"/>
      <c r="C80" s="159" t="s">
        <v>86</v>
      </c>
      <c r="D80" s="160"/>
      <c r="E80" s="160"/>
      <c r="F80" s="160"/>
      <c r="G80" s="160"/>
      <c r="H80" s="160"/>
      <c r="I80" s="160"/>
      <c r="J80" s="160"/>
      <c r="K80" s="160"/>
      <c r="L80" s="160"/>
      <c r="M80" s="160"/>
      <c r="N80" s="66">
        <f>SUM(N73:N79)</f>
        <v>0</v>
      </c>
      <c r="O80" s="37"/>
      <c r="P80" s="37"/>
      <c r="Q80" s="37"/>
      <c r="R80" s="37"/>
      <c r="S80" s="4"/>
      <c r="T80" s="6"/>
      <c r="U80" s="1"/>
      <c r="V80" s="1"/>
      <c r="W80" s="1"/>
      <c r="X80" s="1"/>
      <c r="Y80" s="1"/>
      <c r="Z80" s="1"/>
    </row>
    <row r="81" spans="1:26" ht="12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4"/>
      <c r="T81" s="6"/>
      <c r="U81" s="1"/>
      <c r="V81" s="1"/>
      <c r="W81" s="1"/>
      <c r="X81" s="1"/>
      <c r="Y81" s="1"/>
      <c r="Z81" s="1"/>
    </row>
    <row r="82" spans="1:26" ht="15" customHeight="1" x14ac:dyDescent="0.25">
      <c r="A82" s="197" t="s">
        <v>95</v>
      </c>
      <c r="B82" s="197"/>
      <c r="C82" s="197" t="s">
        <v>96</v>
      </c>
      <c r="D82" s="197"/>
      <c r="E82" s="197"/>
      <c r="F82" s="197" t="s">
        <v>97</v>
      </c>
      <c r="G82" s="197"/>
      <c r="H82" s="197"/>
      <c r="I82" s="197"/>
      <c r="J82" s="197"/>
      <c r="K82" s="197"/>
      <c r="L82" s="197"/>
      <c r="M82" s="197"/>
      <c r="N82" s="197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2" customHeight="1" x14ac:dyDescent="0.25">
      <c r="A83" s="197" t="str">
        <f>IF(A25="N/A","",A25)</f>
        <v>5.2</v>
      </c>
      <c r="B83" s="197"/>
      <c r="C83" s="198" t="s">
        <v>91</v>
      </c>
      <c r="D83" s="199" t="str">
        <f>VLOOKUP(A83,'CAPACIDAD RESIDUAL'!$A$6:$D$304,2,FALSE)</f>
        <v>INCOCAZA S.A.S.</v>
      </c>
      <c r="E83" s="200"/>
      <c r="F83" s="197" t="str">
        <f>$C$38</f>
        <v>Capacidad de Organización (CO)</v>
      </c>
      <c r="G83" s="197"/>
      <c r="H83" s="197"/>
      <c r="I83" s="58">
        <f>G96</f>
        <v>2718961235</v>
      </c>
      <c r="J83" s="203" t="s">
        <v>88</v>
      </c>
      <c r="K83" s="183">
        <f>I83*(I84+I85+I86)/100-I87</f>
        <v>3878076920.04</v>
      </c>
      <c r="L83" s="184"/>
      <c r="M83" s="184"/>
      <c r="N83" s="185"/>
      <c r="O83" s="38"/>
      <c r="P83" s="38"/>
      <c r="Q83" s="38"/>
      <c r="R83" s="38"/>
      <c r="S83" s="38"/>
      <c r="T83" s="39"/>
      <c r="U83" s="38"/>
      <c r="V83" s="38"/>
      <c r="W83" s="38"/>
      <c r="X83" s="38"/>
      <c r="Y83" s="38"/>
      <c r="Z83" s="38"/>
    </row>
    <row r="84" spans="1:26" ht="12" customHeight="1" x14ac:dyDescent="0.25">
      <c r="A84" s="197"/>
      <c r="B84" s="197"/>
      <c r="C84" s="198"/>
      <c r="D84" s="201"/>
      <c r="E84" s="202"/>
      <c r="F84" s="197" t="str">
        <f>$C$47</f>
        <v>Experiencia (E)</v>
      </c>
      <c r="G84" s="197"/>
      <c r="H84" s="197"/>
      <c r="I84" s="22">
        <f>H107</f>
        <v>120</v>
      </c>
      <c r="J84" s="204"/>
      <c r="K84" s="186"/>
      <c r="L84" s="187"/>
      <c r="M84" s="187"/>
      <c r="N84" s="188"/>
      <c r="O84" s="38"/>
      <c r="P84" s="38"/>
      <c r="Q84" s="38"/>
      <c r="R84" s="38"/>
      <c r="S84" s="38"/>
      <c r="T84" s="39"/>
      <c r="U84" s="38"/>
      <c r="V84" s="38"/>
      <c r="W84" s="38"/>
      <c r="X84" s="38"/>
      <c r="Y84" s="38"/>
      <c r="Z84" s="38"/>
    </row>
    <row r="85" spans="1:26" ht="12" customHeight="1" x14ac:dyDescent="0.25">
      <c r="A85" s="197"/>
      <c r="B85" s="197"/>
      <c r="C85" s="198" t="s">
        <v>92</v>
      </c>
      <c r="D85" s="205" t="str">
        <f>VLOOKUP(A83,'CAPACIDAD RESIDUAL'!$A$6:$D$304,3,FALSE)</f>
        <v>900.901.565-0</v>
      </c>
      <c r="E85" s="206"/>
      <c r="F85" s="197" t="str">
        <f>$C$58</f>
        <v>Capacidad Financiera (CF)</v>
      </c>
      <c r="G85" s="197"/>
      <c r="H85" s="197"/>
      <c r="I85" s="22">
        <f>H113</f>
        <v>40</v>
      </c>
      <c r="J85" s="191" t="str">
        <f>IF(K83&gt;$E$9,"CUMPLE","NO CUMPLE")</f>
        <v>CUMPLE</v>
      </c>
      <c r="K85" s="191"/>
      <c r="L85" s="191"/>
      <c r="M85" s="191"/>
      <c r="N85" s="191"/>
      <c r="O85" s="1"/>
      <c r="P85" s="1"/>
      <c r="Q85" s="1"/>
      <c r="R85" s="1"/>
      <c r="S85" s="1"/>
      <c r="T85" s="4"/>
      <c r="U85" s="1"/>
      <c r="V85" s="1"/>
      <c r="W85" s="1"/>
      <c r="X85" s="1"/>
      <c r="Y85" s="1"/>
      <c r="Z85" s="1"/>
    </row>
    <row r="86" spans="1:26" ht="12" customHeight="1" x14ac:dyDescent="0.25">
      <c r="A86" s="197"/>
      <c r="B86" s="197"/>
      <c r="C86" s="198"/>
      <c r="D86" s="207"/>
      <c r="E86" s="208"/>
      <c r="F86" s="197" t="str">
        <f>$C$65</f>
        <v>Capacidad Técnica (CT)</v>
      </c>
      <c r="G86" s="197"/>
      <c r="H86" s="197"/>
      <c r="I86" s="22">
        <f>H118</f>
        <v>20</v>
      </c>
      <c r="J86" s="191"/>
      <c r="K86" s="191"/>
      <c r="L86" s="191"/>
      <c r="M86" s="191"/>
      <c r="N86" s="191"/>
      <c r="O86" s="1"/>
      <c r="P86" s="1"/>
      <c r="Q86" s="1"/>
      <c r="R86" s="1"/>
      <c r="S86" s="1"/>
      <c r="T86" s="4"/>
      <c r="U86" s="1"/>
      <c r="V86" s="1"/>
      <c r="W86" s="1"/>
      <c r="X86" s="1"/>
      <c r="Y86" s="1"/>
      <c r="Z86" s="1"/>
    </row>
    <row r="87" spans="1:26" ht="12" customHeight="1" x14ac:dyDescent="0.25">
      <c r="A87" s="197"/>
      <c r="B87" s="197"/>
      <c r="C87" s="73" t="s">
        <v>93</v>
      </c>
      <c r="D87" s="209">
        <f>IF(A83="","",VLOOKUP(A83,'CAPACIDAD RESIDUAL'!$A$6:$D$304,4,FALSE))</f>
        <v>0.45</v>
      </c>
      <c r="E87" s="210"/>
      <c r="F87" s="211" t="str">
        <f>$C$70</f>
        <v>Saldo de los Contratos en Ejecución (SCE)</v>
      </c>
      <c r="G87" s="211"/>
      <c r="H87" s="211"/>
      <c r="I87" s="58">
        <f>N131</f>
        <v>1016053302.96</v>
      </c>
      <c r="J87" s="191"/>
      <c r="K87" s="191"/>
      <c r="L87" s="191"/>
      <c r="M87" s="191"/>
      <c r="N87" s="191"/>
      <c r="O87" s="1"/>
      <c r="P87" s="1"/>
      <c r="Q87" s="1"/>
      <c r="R87" s="1"/>
      <c r="S87" s="1"/>
      <c r="T87" s="4"/>
      <c r="U87" s="1"/>
      <c r="V87" s="1"/>
      <c r="W87" s="1"/>
      <c r="X87" s="1"/>
      <c r="Y87" s="1"/>
      <c r="Z87" s="1"/>
    </row>
    <row r="88" spans="1:26" ht="12" customHeight="1" x14ac:dyDescent="0.25">
      <c r="A88" s="14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"/>
      <c r="P88" s="1"/>
      <c r="Q88" s="1"/>
      <c r="R88" s="1"/>
      <c r="S88" s="1"/>
      <c r="T88" s="4"/>
      <c r="U88" s="1"/>
      <c r="V88" s="1"/>
      <c r="W88" s="1"/>
      <c r="X88" s="1"/>
      <c r="Y88" s="1"/>
      <c r="Z88" s="1"/>
    </row>
    <row r="89" spans="1:26" ht="12" customHeight="1" x14ac:dyDescent="0.25">
      <c r="A89" s="44"/>
      <c r="C89" s="219" t="s">
        <v>34</v>
      </c>
      <c r="D89" s="160"/>
      <c r="E89" s="160"/>
      <c r="F89" s="160"/>
      <c r="G89" s="160"/>
      <c r="H89" s="160"/>
      <c r="I89" s="220" t="s">
        <v>35</v>
      </c>
      <c r="J89" s="160"/>
      <c r="K89" s="220" t="s">
        <v>36</v>
      </c>
      <c r="L89" s="220"/>
      <c r="M89" s="160"/>
      <c r="N89" s="160"/>
      <c r="O89" s="1"/>
      <c r="P89" s="1"/>
      <c r="Q89" s="1"/>
      <c r="R89" s="1"/>
      <c r="S89" s="1"/>
      <c r="T89" s="4"/>
      <c r="U89" s="1"/>
      <c r="V89" s="1"/>
      <c r="W89" s="1"/>
      <c r="X89" s="1"/>
      <c r="Y89" s="1"/>
      <c r="Z89" s="1"/>
    </row>
    <row r="90" spans="1:26" x14ac:dyDescent="0.25">
      <c r="A90" s="17"/>
      <c r="B90" s="6"/>
      <c r="C90" s="161" t="s">
        <v>37</v>
      </c>
      <c r="D90" s="160"/>
      <c r="E90" s="160"/>
      <c r="F90" s="160"/>
      <c r="G90" s="221" t="s">
        <v>27</v>
      </c>
      <c r="H90" s="160"/>
      <c r="I90" s="214" t="s">
        <v>38</v>
      </c>
      <c r="J90" s="160"/>
      <c r="K90" s="214" t="s">
        <v>39</v>
      </c>
      <c r="L90" s="214"/>
      <c r="M90" s="160"/>
      <c r="N90" s="160"/>
    </row>
    <row r="91" spans="1:26" ht="24.75" customHeight="1" x14ac:dyDescent="0.25">
      <c r="A91" s="17"/>
      <c r="B91" s="6"/>
      <c r="C91" s="161" t="s">
        <v>40</v>
      </c>
      <c r="D91" s="160"/>
      <c r="E91" s="160"/>
      <c r="F91" s="160"/>
      <c r="G91" s="212">
        <v>2023</v>
      </c>
      <c r="H91" s="213"/>
      <c r="I91" s="214" t="s">
        <v>41</v>
      </c>
      <c r="J91" s="160"/>
      <c r="K91" s="214" t="s">
        <v>42</v>
      </c>
      <c r="L91" s="214"/>
      <c r="M91" s="160"/>
      <c r="N91" s="160"/>
    </row>
    <row r="92" spans="1:26" x14ac:dyDescent="0.25">
      <c r="A92" s="17"/>
      <c r="B92" s="6"/>
      <c r="C92" s="159" t="str">
        <f>IF(G90="","",IF(G90=$S$5,"Valor umbral Mipyme.","Total Ingresos Operacionales Acreditados"))</f>
        <v>Total Ingresos Operacionales Acreditados</v>
      </c>
      <c r="D92" s="160"/>
      <c r="E92" s="160"/>
      <c r="F92" s="160"/>
      <c r="G92" s="215">
        <v>2718961235</v>
      </c>
      <c r="H92" s="216"/>
      <c r="I92" s="214" t="s">
        <v>43</v>
      </c>
      <c r="J92" s="160"/>
      <c r="K92" s="18" t="s">
        <v>44</v>
      </c>
      <c r="L92" s="18"/>
      <c r="M92" s="217">
        <v>457297264</v>
      </c>
      <c r="N92" s="218"/>
    </row>
    <row r="93" spans="1:26" x14ac:dyDescent="0.25">
      <c r="A93" s="17"/>
      <c r="B93" s="6"/>
      <c r="C93" s="162" t="s">
        <v>45</v>
      </c>
      <c r="D93" s="160"/>
      <c r="E93" s="160"/>
      <c r="F93" s="160"/>
      <c r="G93" s="160"/>
      <c r="H93" s="160"/>
      <c r="I93" s="19"/>
      <c r="J93" s="19"/>
      <c r="K93" s="20"/>
      <c r="L93" s="20"/>
      <c r="M93" s="21"/>
      <c r="N93" s="21"/>
    </row>
    <row r="94" spans="1:26" x14ac:dyDescent="0.25">
      <c r="A94" s="17"/>
      <c r="B94" s="6"/>
      <c r="C94" s="69" t="s">
        <v>46</v>
      </c>
      <c r="D94" s="225" t="s">
        <v>196</v>
      </c>
      <c r="E94" s="160"/>
      <c r="F94" s="226" t="s">
        <v>47</v>
      </c>
      <c r="G94" s="160"/>
      <c r="H94" s="72" t="s">
        <v>87</v>
      </c>
      <c r="I94" s="19"/>
      <c r="J94" s="19"/>
      <c r="K94" s="20"/>
      <c r="L94" s="20"/>
      <c r="M94" s="21"/>
      <c r="N94" s="21"/>
    </row>
    <row r="95" spans="1:26" x14ac:dyDescent="0.25">
      <c r="A95" s="17"/>
      <c r="B95" s="6"/>
      <c r="C95" s="69" t="s">
        <v>48</v>
      </c>
      <c r="D95" s="225" t="s">
        <v>197</v>
      </c>
      <c r="E95" s="160"/>
      <c r="F95" s="226" t="s">
        <v>47</v>
      </c>
      <c r="G95" s="160"/>
      <c r="H95" s="72" t="s">
        <v>87</v>
      </c>
      <c r="I95" s="19"/>
      <c r="J95" s="19"/>
      <c r="K95" s="20"/>
      <c r="L95" s="20"/>
      <c r="M95" s="21"/>
      <c r="N95" s="21"/>
    </row>
    <row r="96" spans="1:26" x14ac:dyDescent="0.25">
      <c r="A96" s="17"/>
      <c r="B96" s="6"/>
      <c r="C96" s="69" t="s">
        <v>49</v>
      </c>
      <c r="D96" s="69"/>
      <c r="E96" s="69"/>
      <c r="F96" s="69"/>
      <c r="G96" s="227">
        <f>IF(OR(H94="SIN VIGENCIA",H94="NO APORTA",H95="SIN VIGENCIA",H95="NO APORTA"),0,IF(G90="",0,IF(G90=$S$5,M92,IF(G92&lt;M92,M92,G92))))</f>
        <v>2718961235</v>
      </c>
      <c r="H96" s="228"/>
      <c r="I96" s="5"/>
      <c r="J96" s="5"/>
      <c r="K96" s="5"/>
      <c r="L96" s="5"/>
      <c r="M96" s="5"/>
      <c r="N96" s="5"/>
    </row>
    <row r="97" spans="1:14" x14ac:dyDescent="0.25">
      <c r="A97" s="14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</row>
    <row r="98" spans="1:14" x14ac:dyDescent="0.25">
      <c r="A98" s="17"/>
      <c r="B98" s="6"/>
      <c r="C98" s="222" t="s">
        <v>26</v>
      </c>
      <c r="D98" s="160"/>
      <c r="E98" s="160"/>
      <c r="F98" s="160"/>
      <c r="G98" s="160"/>
      <c r="H98" s="160"/>
      <c r="I98" s="7" t="s">
        <v>50</v>
      </c>
      <c r="J98" s="7" t="s">
        <v>51</v>
      </c>
      <c r="K98" s="7" t="s">
        <v>52</v>
      </c>
      <c r="L98" s="6"/>
      <c r="M98" s="5"/>
      <c r="N98" s="5"/>
    </row>
    <row r="99" spans="1:14" x14ac:dyDescent="0.25">
      <c r="A99" s="17"/>
      <c r="B99" s="6"/>
      <c r="C99" s="161" t="s">
        <v>53</v>
      </c>
      <c r="D99" s="160"/>
      <c r="E99" s="160"/>
      <c r="F99" s="160"/>
      <c r="G99" s="223">
        <f>D87</f>
        <v>0.45</v>
      </c>
      <c r="H99" s="160"/>
      <c r="I99" s="70">
        <v>0</v>
      </c>
      <c r="J99" s="70">
        <v>3</v>
      </c>
      <c r="K99" s="70">
        <v>60</v>
      </c>
      <c r="L99" s="4"/>
      <c r="M99" s="5"/>
      <c r="N99" s="5"/>
    </row>
    <row r="100" spans="1:14" x14ac:dyDescent="0.25">
      <c r="A100" s="17"/>
      <c r="B100" s="6"/>
      <c r="C100" s="161" t="s">
        <v>22</v>
      </c>
      <c r="D100" s="160"/>
      <c r="E100" s="160"/>
      <c r="F100" s="160"/>
      <c r="G100" s="224">
        <f>$E$5</f>
        <v>1169500932</v>
      </c>
      <c r="H100" s="216"/>
      <c r="I100" s="70">
        <v>3</v>
      </c>
      <c r="J100" s="70">
        <v>6</v>
      </c>
      <c r="K100" s="70">
        <v>80</v>
      </c>
      <c r="L100" s="4"/>
      <c r="M100" s="5"/>
      <c r="N100" s="5"/>
    </row>
    <row r="101" spans="1:14" x14ac:dyDescent="0.25">
      <c r="A101" s="17"/>
      <c r="B101" s="6"/>
      <c r="C101" s="162" t="s">
        <v>54</v>
      </c>
      <c r="D101" s="160"/>
      <c r="E101" s="160"/>
      <c r="F101" s="160"/>
      <c r="G101" s="160"/>
      <c r="H101" s="160"/>
      <c r="I101" s="70">
        <v>6</v>
      </c>
      <c r="J101" s="70">
        <v>10</v>
      </c>
      <c r="K101" s="70">
        <v>100</v>
      </c>
      <c r="L101" s="4"/>
      <c r="M101" s="5"/>
      <c r="N101" s="5"/>
    </row>
    <row r="102" spans="1:14" x14ac:dyDescent="0.25">
      <c r="A102" s="17"/>
      <c r="B102" s="6"/>
      <c r="C102" s="161" t="s">
        <v>55</v>
      </c>
      <c r="D102" s="160"/>
      <c r="E102" s="160"/>
      <c r="F102" s="160"/>
      <c r="G102" s="166" t="s">
        <v>56</v>
      </c>
      <c r="H102" s="160"/>
      <c r="I102" s="70">
        <v>10</v>
      </c>
      <c r="J102" s="70" t="s">
        <v>57</v>
      </c>
      <c r="K102" s="70">
        <v>120</v>
      </c>
      <c r="L102" s="4"/>
      <c r="M102" s="5"/>
      <c r="N102" s="5"/>
    </row>
    <row r="103" spans="1:14" x14ac:dyDescent="0.25">
      <c r="A103" s="17"/>
      <c r="B103" s="6"/>
      <c r="C103" s="162" t="s">
        <v>58</v>
      </c>
      <c r="D103" s="160"/>
      <c r="E103" s="160"/>
      <c r="F103" s="160"/>
      <c r="G103" s="230">
        <v>14356778150</v>
      </c>
      <c r="H103" s="160"/>
      <c r="I103" s="5"/>
      <c r="J103" s="5"/>
      <c r="K103" s="5"/>
      <c r="L103" s="5"/>
      <c r="M103" s="5"/>
      <c r="N103" s="5"/>
    </row>
    <row r="104" spans="1:14" x14ac:dyDescent="0.25">
      <c r="A104" s="17"/>
      <c r="B104" s="6"/>
      <c r="C104" s="161"/>
      <c r="D104" s="160"/>
      <c r="E104" s="160"/>
      <c r="F104" s="160"/>
      <c r="G104" s="231"/>
      <c r="H104" s="160"/>
      <c r="I104" s="5"/>
      <c r="J104" s="5"/>
      <c r="K104" s="5"/>
      <c r="L104" s="5"/>
      <c r="M104" s="5"/>
      <c r="N104" s="5"/>
    </row>
    <row r="105" spans="1:14" x14ac:dyDescent="0.25">
      <c r="A105" s="17"/>
      <c r="B105" s="6"/>
      <c r="C105" s="159" t="s">
        <v>59</v>
      </c>
      <c r="D105" s="160"/>
      <c r="E105" s="160"/>
      <c r="F105" s="160"/>
      <c r="G105" s="229">
        <f>SUM(G102:H104)</f>
        <v>14356778150</v>
      </c>
      <c r="H105" s="160"/>
      <c r="I105" s="5"/>
      <c r="J105" s="5"/>
      <c r="K105" s="5"/>
      <c r="L105" s="5"/>
      <c r="M105" s="5"/>
      <c r="N105" s="5"/>
    </row>
    <row r="106" spans="1:14" x14ac:dyDescent="0.25">
      <c r="A106" s="17"/>
      <c r="B106" s="6"/>
      <c r="C106" s="159" t="s">
        <v>60</v>
      </c>
      <c r="D106" s="160"/>
      <c r="E106" s="160"/>
      <c r="F106" s="160"/>
      <c r="G106" s="160"/>
      <c r="H106" s="71">
        <f>IF(OR(G99="",G99=0,G105=0),0,G105/(G100*G99))</f>
        <v>27.279970944430545</v>
      </c>
      <c r="I106" s="5"/>
      <c r="J106" s="5"/>
      <c r="K106" s="5"/>
      <c r="L106" s="5"/>
      <c r="M106" s="5"/>
      <c r="N106" s="5"/>
    </row>
    <row r="107" spans="1:14" x14ac:dyDescent="0.25">
      <c r="A107" s="17"/>
      <c r="B107" s="6"/>
      <c r="C107" s="159" t="s">
        <v>61</v>
      </c>
      <c r="D107" s="160"/>
      <c r="E107" s="160"/>
      <c r="F107" s="160"/>
      <c r="G107" s="160"/>
      <c r="H107" s="22">
        <f>IF(H106&lt;=J99,K99,IF(H106&lt;=J100,K100,IF(H106&lt;=J101,K101,K102)))</f>
        <v>120</v>
      </c>
      <c r="I107" s="5"/>
      <c r="J107" s="23"/>
      <c r="K107" s="5"/>
      <c r="L107" s="5"/>
      <c r="M107" s="5"/>
      <c r="N107" s="5"/>
    </row>
    <row r="108" spans="1:14" x14ac:dyDescent="0.25">
      <c r="A108" s="14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</row>
    <row r="109" spans="1:14" x14ac:dyDescent="0.25">
      <c r="A109" s="17"/>
      <c r="B109" s="6"/>
      <c r="C109" s="219" t="s">
        <v>62</v>
      </c>
      <c r="D109" s="160"/>
      <c r="E109" s="160"/>
      <c r="F109" s="160"/>
      <c r="G109" s="160"/>
      <c r="H109" s="160"/>
      <c r="I109" s="7" t="s">
        <v>63</v>
      </c>
      <c r="J109" s="7" t="s">
        <v>64</v>
      </c>
      <c r="K109" s="7" t="s">
        <v>52</v>
      </c>
      <c r="L109" s="6"/>
      <c r="M109" s="5"/>
      <c r="N109" s="5"/>
    </row>
    <row r="110" spans="1:14" x14ac:dyDescent="0.25">
      <c r="A110" s="17"/>
      <c r="B110" s="6"/>
      <c r="C110" s="159" t="s">
        <v>65</v>
      </c>
      <c r="D110" s="160"/>
      <c r="E110" s="160"/>
      <c r="F110" s="160"/>
      <c r="G110" s="160"/>
      <c r="H110" s="67">
        <f>VLOOKUP(A83,'CAPACIDAD FINANCIERA'!$A$6:$AK$308,5,FALSE)</f>
        <v>1673388817</v>
      </c>
      <c r="I110" s="24">
        <v>0</v>
      </c>
      <c r="J110" s="24">
        <v>0.5</v>
      </c>
      <c r="K110" s="70">
        <v>20</v>
      </c>
      <c r="L110" s="4"/>
      <c r="M110" s="5"/>
      <c r="N110" s="5"/>
    </row>
    <row r="111" spans="1:14" x14ac:dyDescent="0.25">
      <c r="A111" s="17"/>
      <c r="B111" s="6"/>
      <c r="C111" s="159" t="s">
        <v>66</v>
      </c>
      <c r="D111" s="160"/>
      <c r="E111" s="160"/>
      <c r="F111" s="160"/>
      <c r="G111" s="160"/>
      <c r="H111" s="67">
        <f>VLOOKUP(A83,'CAPACIDAD FINANCIERA'!$A$6:$AK$308,7,FALSE)</f>
        <v>122152675</v>
      </c>
      <c r="I111" s="24">
        <v>0.5</v>
      </c>
      <c r="J111" s="24">
        <v>0.75</v>
      </c>
      <c r="K111" s="70">
        <v>25</v>
      </c>
      <c r="L111" s="4"/>
      <c r="M111" s="5"/>
      <c r="N111" s="5"/>
    </row>
    <row r="112" spans="1:14" x14ac:dyDescent="0.25">
      <c r="A112" s="17"/>
      <c r="B112" s="6"/>
      <c r="C112" s="159" t="s">
        <v>67</v>
      </c>
      <c r="D112" s="160"/>
      <c r="E112" s="160"/>
      <c r="F112" s="160"/>
      <c r="G112" s="160"/>
      <c r="H112" s="71">
        <f>ROUND(IF(H110="",0,H110/H111),2)</f>
        <v>13.7</v>
      </c>
      <c r="I112" s="24">
        <v>0.75</v>
      </c>
      <c r="J112" s="24">
        <v>1</v>
      </c>
      <c r="K112" s="70">
        <v>30</v>
      </c>
      <c r="L112" s="4"/>
      <c r="M112" s="5"/>
      <c r="N112" s="5"/>
    </row>
    <row r="113" spans="1:14" x14ac:dyDescent="0.25">
      <c r="A113" s="17"/>
      <c r="B113" s="6"/>
      <c r="C113" s="159" t="s">
        <v>68</v>
      </c>
      <c r="D113" s="160"/>
      <c r="E113" s="160"/>
      <c r="F113" s="160"/>
      <c r="G113" s="160"/>
      <c r="H113" s="22">
        <f>IF(H112="",0,IF(H112&lt;J110,K110,IF(H112&lt;J111,K111,IF(H112&lt;J112,K112,IF(H112&lt;J113,K113,K114)))))</f>
        <v>40</v>
      </c>
      <c r="I113" s="24">
        <v>1</v>
      </c>
      <c r="J113" s="24">
        <v>1.5</v>
      </c>
      <c r="K113" s="70">
        <v>35</v>
      </c>
      <c r="L113" s="4"/>
      <c r="M113" s="5"/>
      <c r="N113" s="5"/>
    </row>
    <row r="114" spans="1:14" x14ac:dyDescent="0.25">
      <c r="A114" s="17"/>
      <c r="B114" s="6"/>
      <c r="C114" s="5"/>
      <c r="D114" s="5"/>
      <c r="E114" s="5"/>
      <c r="F114" s="5"/>
      <c r="G114" s="5"/>
      <c r="H114" s="5"/>
      <c r="I114" s="24">
        <v>1.5</v>
      </c>
      <c r="J114" s="24" t="s">
        <v>57</v>
      </c>
      <c r="K114" s="70">
        <v>40</v>
      </c>
      <c r="L114" s="4"/>
      <c r="M114" s="5"/>
      <c r="N114" s="5"/>
    </row>
    <row r="115" spans="1:14" x14ac:dyDescent="0.25">
      <c r="A115" s="14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</row>
    <row r="116" spans="1:14" x14ac:dyDescent="0.25">
      <c r="A116" s="17"/>
      <c r="B116" s="6"/>
      <c r="C116" s="219" t="s">
        <v>69</v>
      </c>
      <c r="D116" s="160"/>
      <c r="E116" s="160"/>
      <c r="F116" s="160"/>
      <c r="G116" s="160"/>
      <c r="H116" s="160"/>
      <c r="I116" s="7" t="s">
        <v>70</v>
      </c>
      <c r="J116" s="7" t="s">
        <v>71</v>
      </c>
      <c r="K116" s="7" t="s">
        <v>52</v>
      </c>
      <c r="L116" s="6"/>
      <c r="M116" s="5"/>
      <c r="N116" s="5"/>
    </row>
    <row r="117" spans="1:14" x14ac:dyDescent="0.25">
      <c r="A117" s="17"/>
      <c r="B117" s="6"/>
      <c r="C117" s="159" t="s">
        <v>72</v>
      </c>
      <c r="D117" s="160"/>
      <c r="E117" s="160"/>
      <c r="F117" s="160"/>
      <c r="G117" s="160"/>
      <c r="H117" s="25">
        <v>1</v>
      </c>
      <c r="I117" s="26">
        <v>1</v>
      </c>
      <c r="J117" s="26">
        <v>5</v>
      </c>
      <c r="K117" s="70">
        <v>20</v>
      </c>
      <c r="L117" s="4"/>
      <c r="M117" s="5"/>
      <c r="N117" s="5"/>
    </row>
    <row r="118" spans="1:14" x14ac:dyDescent="0.25">
      <c r="A118" s="17"/>
      <c r="B118" s="6"/>
      <c r="C118" s="159" t="s">
        <v>73</v>
      </c>
      <c r="D118" s="160"/>
      <c r="E118" s="160"/>
      <c r="F118" s="160"/>
      <c r="G118" s="160"/>
      <c r="H118" s="22">
        <f>IF(H117&lt;I117,0,IF(H117&lt;=J117,K117,IF(H117&lt;=J118,K118,K119)))</f>
        <v>20</v>
      </c>
      <c r="I118" s="26">
        <v>6</v>
      </c>
      <c r="J118" s="26">
        <v>10</v>
      </c>
      <c r="K118" s="70">
        <v>30</v>
      </c>
      <c r="L118" s="4"/>
      <c r="M118" s="5"/>
      <c r="N118" s="5"/>
    </row>
    <row r="119" spans="1:14" x14ac:dyDescent="0.25">
      <c r="A119" s="17"/>
      <c r="B119" s="6"/>
      <c r="C119" s="5"/>
      <c r="D119" s="5"/>
      <c r="E119" s="5"/>
      <c r="F119" s="5"/>
      <c r="G119" s="5"/>
      <c r="H119" s="5"/>
      <c r="I119" s="26">
        <v>11</v>
      </c>
      <c r="J119" s="24" t="s">
        <v>57</v>
      </c>
      <c r="K119" s="70">
        <v>40</v>
      </c>
      <c r="L119" s="4"/>
      <c r="M119" s="5"/>
      <c r="N119" s="5"/>
    </row>
    <row r="120" spans="1:14" x14ac:dyDescent="0.25">
      <c r="A120" s="14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</row>
    <row r="121" spans="1:14" x14ac:dyDescent="0.25">
      <c r="A121" s="17"/>
      <c r="B121" s="6"/>
      <c r="C121" s="222" t="s">
        <v>74</v>
      </c>
      <c r="D121" s="160"/>
      <c r="E121" s="160"/>
      <c r="F121" s="160"/>
      <c r="G121" s="160"/>
      <c r="H121" s="160"/>
      <c r="I121" s="160"/>
      <c r="J121" s="160"/>
      <c r="K121" s="160"/>
      <c r="L121" s="160"/>
      <c r="M121" s="160"/>
      <c r="N121" s="160"/>
    </row>
    <row r="122" spans="1:14" x14ac:dyDescent="0.25">
      <c r="A122" s="27"/>
      <c r="B122" s="28"/>
      <c r="C122" s="162" t="s">
        <v>75</v>
      </c>
      <c r="D122" s="160"/>
      <c r="E122" s="160"/>
      <c r="F122" s="160"/>
      <c r="G122" s="160"/>
      <c r="H122" s="160"/>
      <c r="I122" s="160"/>
      <c r="J122" s="160"/>
      <c r="K122" s="160"/>
      <c r="L122" s="160"/>
      <c r="M122" s="160"/>
      <c r="N122" s="160"/>
    </row>
    <row r="123" spans="1:14" ht="48" x14ac:dyDescent="0.25">
      <c r="A123" s="29"/>
      <c r="B123" s="28"/>
      <c r="C123" s="69" t="s">
        <v>76</v>
      </c>
      <c r="D123" s="70" t="s">
        <v>77</v>
      </c>
      <c r="E123" s="70" t="s">
        <v>56</v>
      </c>
      <c r="F123" s="70" t="s">
        <v>78</v>
      </c>
      <c r="G123" s="30" t="s">
        <v>123</v>
      </c>
      <c r="H123" s="70" t="s">
        <v>80</v>
      </c>
      <c r="I123" s="70" t="s">
        <v>81</v>
      </c>
      <c r="J123" s="70" t="s">
        <v>82</v>
      </c>
      <c r="K123" s="70" t="s">
        <v>83</v>
      </c>
      <c r="L123" s="30" t="s">
        <v>204</v>
      </c>
      <c r="M123" s="30" t="s">
        <v>84</v>
      </c>
      <c r="N123" s="70" t="s">
        <v>85</v>
      </c>
    </row>
    <row r="124" spans="1:14" hidden="1" x14ac:dyDescent="0.25">
      <c r="A124" s="29"/>
      <c r="B124" s="28"/>
      <c r="C124" s="69"/>
      <c r="D124" s="70"/>
      <c r="E124" s="70"/>
      <c r="F124" s="70"/>
      <c r="G124" s="70"/>
      <c r="H124" s="70"/>
      <c r="I124" s="70"/>
      <c r="J124" s="70"/>
      <c r="K124" s="70"/>
      <c r="L124" s="70"/>
      <c r="M124" s="30"/>
      <c r="N124" s="70"/>
    </row>
    <row r="125" spans="1:14" x14ac:dyDescent="0.25">
      <c r="A125" s="29"/>
      <c r="B125" s="28"/>
      <c r="C125" s="72">
        <v>1</v>
      </c>
      <c r="D125" s="31">
        <v>1</v>
      </c>
      <c r="E125" s="57">
        <v>1411185143</v>
      </c>
      <c r="F125" s="56">
        <v>5</v>
      </c>
      <c r="G125" s="34">
        <v>45526</v>
      </c>
      <c r="H125" s="35"/>
      <c r="I125" s="35"/>
      <c r="J125" s="35"/>
      <c r="K125" s="35"/>
      <c r="L125" s="35"/>
      <c r="M125" s="24">
        <f t="shared" ref="M125:M129" si="2">IF(C125="","",IF(IF(H125&lt;&gt;"",IF(I125&lt;&gt;"",IF(J125&lt;&gt;"",IF(K125&lt;&gt;"",G125+F125*30+(I125-H125)+(K125-J125)-$E$6,G125+F125*30+(I125-H125)-J125),G125+F125*30+(I125-H125)-$E$6),G125+F125*30-H125),G125+F125*30-$E$6)&lt;0,0,IF(H125&lt;&gt;"",IF(I125&lt;&gt;"",IF(J125&lt;&gt;"",IF(K125&lt;&gt;"",G125+F125*30+(I125-H125)+(K125-J125)-$E$6,G125+F125*30+(I125-H125)-J125),G125+F125*30+(I125-H125)-$E$6),G125+F125*30-H125),G125+F125*30-$E$6)))</f>
        <v>108</v>
      </c>
      <c r="N125" s="65">
        <f t="shared" ref="N125:N129" si="3">IF(L125="",IF(C125="","",IF(M125&lt;360,D125*E125*M125/(F125*30),D125*E125*360/(F125*30))),IF(C125="","",IF(M125&lt;360,D125*L125*M125/(F125*30),D125*L125*360/(F125*30))))</f>
        <v>1016053302.96</v>
      </c>
    </row>
    <row r="126" spans="1:14" x14ac:dyDescent="0.25">
      <c r="A126" s="29"/>
      <c r="B126" s="28"/>
      <c r="C126" s="72"/>
      <c r="D126" s="31"/>
      <c r="E126" s="57"/>
      <c r="F126" s="56"/>
      <c r="G126" s="34"/>
      <c r="H126" s="35"/>
      <c r="I126" s="35"/>
      <c r="J126" s="35"/>
      <c r="K126" s="35"/>
      <c r="L126" s="35"/>
      <c r="M126" s="24" t="str">
        <f t="shared" si="2"/>
        <v/>
      </c>
      <c r="N126" s="65" t="str">
        <f t="shared" si="3"/>
        <v/>
      </c>
    </row>
    <row r="127" spans="1:14" x14ac:dyDescent="0.25">
      <c r="A127" s="29"/>
      <c r="B127" s="28"/>
      <c r="C127" s="72"/>
      <c r="D127" s="31"/>
      <c r="E127" s="57"/>
      <c r="F127" s="56"/>
      <c r="G127" s="34"/>
      <c r="H127" s="35"/>
      <c r="I127" s="35"/>
      <c r="J127" s="35"/>
      <c r="K127" s="35"/>
      <c r="L127" s="35"/>
      <c r="M127" s="24" t="str">
        <f t="shared" si="2"/>
        <v/>
      </c>
      <c r="N127" s="65" t="str">
        <f t="shared" si="3"/>
        <v/>
      </c>
    </row>
    <row r="128" spans="1:14" x14ac:dyDescent="0.25">
      <c r="A128" s="29"/>
      <c r="B128" s="28"/>
      <c r="C128" s="72"/>
      <c r="D128" s="31"/>
      <c r="E128" s="57"/>
      <c r="F128" s="56"/>
      <c r="G128" s="34"/>
      <c r="H128" s="35"/>
      <c r="I128" s="35"/>
      <c r="J128" s="35"/>
      <c r="K128" s="35"/>
      <c r="L128" s="35"/>
      <c r="M128" s="24" t="str">
        <f t="shared" si="2"/>
        <v/>
      </c>
      <c r="N128" s="65" t="str">
        <f t="shared" si="3"/>
        <v/>
      </c>
    </row>
    <row r="129" spans="1:14" x14ac:dyDescent="0.25">
      <c r="A129" s="29"/>
      <c r="B129" s="28"/>
      <c r="C129" s="72"/>
      <c r="D129" s="31"/>
      <c r="E129" s="57"/>
      <c r="F129" s="56"/>
      <c r="G129" s="34"/>
      <c r="H129" s="35"/>
      <c r="I129" s="35"/>
      <c r="J129" s="35"/>
      <c r="K129" s="35"/>
      <c r="L129" s="35"/>
      <c r="M129" s="24" t="str">
        <f t="shared" si="2"/>
        <v/>
      </c>
      <c r="N129" s="65" t="str">
        <f t="shared" si="3"/>
        <v/>
      </c>
    </row>
    <row r="130" spans="1:14" hidden="1" x14ac:dyDescent="0.25">
      <c r="A130" s="29"/>
      <c r="B130" s="28"/>
      <c r="C130" s="72"/>
      <c r="D130" s="31"/>
      <c r="E130" s="32"/>
      <c r="F130" s="33"/>
      <c r="G130" s="34"/>
      <c r="H130" s="35"/>
      <c r="I130" s="35"/>
      <c r="J130" s="35"/>
      <c r="K130" s="35"/>
      <c r="L130" s="35"/>
      <c r="M130" s="70"/>
      <c r="N130" s="65"/>
    </row>
    <row r="131" spans="1:14" x14ac:dyDescent="0.25">
      <c r="A131" s="29"/>
      <c r="B131" s="1"/>
      <c r="C131" s="159" t="s">
        <v>86</v>
      </c>
      <c r="D131" s="160"/>
      <c r="E131" s="160"/>
      <c r="F131" s="160"/>
      <c r="G131" s="160"/>
      <c r="H131" s="160"/>
      <c r="I131" s="160"/>
      <c r="J131" s="160"/>
      <c r="K131" s="160"/>
      <c r="L131" s="160"/>
      <c r="M131" s="160"/>
      <c r="N131" s="66">
        <f>SUM(N124:N130)</f>
        <v>1016053302.96</v>
      </c>
    </row>
    <row r="133" spans="1:14" x14ac:dyDescent="0.25">
      <c r="A133" s="197" t="s">
        <v>95</v>
      </c>
      <c r="B133" s="197"/>
      <c r="C133" s="197" t="s">
        <v>96</v>
      </c>
      <c r="D133" s="197"/>
      <c r="E133" s="197"/>
      <c r="F133" s="197" t="s">
        <v>97</v>
      </c>
      <c r="G133" s="197"/>
      <c r="H133" s="197"/>
      <c r="I133" s="197"/>
      <c r="J133" s="197"/>
      <c r="K133" s="197"/>
      <c r="L133" s="197"/>
      <c r="M133" s="197"/>
      <c r="N133" s="197"/>
    </row>
    <row r="134" spans="1:14" x14ac:dyDescent="0.25">
      <c r="A134" s="197" t="str">
        <f>IF(A26="N/A","",A26)</f>
        <v/>
      </c>
      <c r="B134" s="197"/>
      <c r="C134" s="198" t="s">
        <v>91</v>
      </c>
      <c r="D134" s="199" t="str">
        <f>IF(A134="","",VLOOKUP(A134,'CAPACIDAD RESIDUAL'!$A$6:$D$304,2,FALSE))</f>
        <v/>
      </c>
      <c r="E134" s="200"/>
      <c r="F134" s="197" t="str">
        <f>$C$38</f>
        <v>Capacidad de Organización (CO)</v>
      </c>
      <c r="G134" s="197"/>
      <c r="H134" s="197"/>
      <c r="I134" s="58" t="str">
        <f>IF(A134="","",G147)</f>
        <v/>
      </c>
      <c r="J134" s="203" t="s">
        <v>88</v>
      </c>
      <c r="K134" s="183" t="str">
        <f>IF(A134="","",I134*(I135+I136+I137)/100-I138)</f>
        <v/>
      </c>
      <c r="L134" s="184"/>
      <c r="M134" s="184"/>
      <c r="N134" s="185"/>
    </row>
    <row r="135" spans="1:14" x14ac:dyDescent="0.25">
      <c r="A135" s="197"/>
      <c r="B135" s="197"/>
      <c r="C135" s="198"/>
      <c r="D135" s="201"/>
      <c r="E135" s="202"/>
      <c r="F135" s="197" t="str">
        <f>$C$47</f>
        <v>Experiencia (E)</v>
      </c>
      <c r="G135" s="197"/>
      <c r="H135" s="197"/>
      <c r="I135" s="22" t="str">
        <f>IF(A134="","",H158)</f>
        <v/>
      </c>
      <c r="J135" s="204"/>
      <c r="K135" s="186"/>
      <c r="L135" s="187"/>
      <c r="M135" s="187"/>
      <c r="N135" s="188"/>
    </row>
    <row r="136" spans="1:14" x14ac:dyDescent="0.25">
      <c r="A136" s="197"/>
      <c r="B136" s="197"/>
      <c r="C136" s="198" t="s">
        <v>92</v>
      </c>
      <c r="D136" s="205" t="str">
        <f>IF(A134="","",VLOOKUP(A134,'CAPACIDAD RESIDUAL'!$A$6:$D$304,3,FALSE))</f>
        <v/>
      </c>
      <c r="E136" s="206"/>
      <c r="F136" s="197" t="str">
        <f>$C$58</f>
        <v>Capacidad Financiera (CF)</v>
      </c>
      <c r="G136" s="197"/>
      <c r="H136" s="197"/>
      <c r="I136" s="22" t="str">
        <f>IF(A134="","",H164)</f>
        <v/>
      </c>
      <c r="J136" s="191" t="str">
        <f>IF(A134="","",IF(K134&gt;$E$9,"CUMPLE","NO CUMPLE"))</f>
        <v/>
      </c>
      <c r="K136" s="191"/>
      <c r="L136" s="191"/>
      <c r="M136" s="191"/>
      <c r="N136" s="191"/>
    </row>
    <row r="137" spans="1:14" x14ac:dyDescent="0.25">
      <c r="A137" s="197"/>
      <c r="B137" s="197"/>
      <c r="C137" s="198"/>
      <c r="D137" s="207"/>
      <c r="E137" s="208"/>
      <c r="F137" s="197" t="str">
        <f>$C$65</f>
        <v>Capacidad Técnica (CT)</v>
      </c>
      <c r="G137" s="197"/>
      <c r="H137" s="197"/>
      <c r="I137" s="22" t="str">
        <f>IF(A134="","",H169)</f>
        <v/>
      </c>
      <c r="J137" s="191"/>
      <c r="K137" s="191"/>
      <c r="L137" s="191"/>
      <c r="M137" s="191"/>
      <c r="N137" s="191"/>
    </row>
    <row r="138" spans="1:14" x14ac:dyDescent="0.25">
      <c r="A138" s="197"/>
      <c r="B138" s="197"/>
      <c r="C138" s="73" t="s">
        <v>93</v>
      </c>
      <c r="D138" s="209" t="str">
        <f>IF(A134="","",VLOOKUP(A134,'CAPACIDAD RESIDUAL'!$A$6:$D$304,4,FALSE))</f>
        <v/>
      </c>
      <c r="E138" s="210"/>
      <c r="F138" s="211" t="str">
        <f>$C$70</f>
        <v>Saldo de los Contratos en Ejecución (SCE)</v>
      </c>
      <c r="G138" s="211"/>
      <c r="H138" s="211"/>
      <c r="I138" s="58" t="str">
        <f>IF(A134="","",N182)</f>
        <v/>
      </c>
      <c r="J138" s="191"/>
      <c r="K138" s="191"/>
      <c r="L138" s="191"/>
      <c r="M138" s="191"/>
      <c r="N138" s="191"/>
    </row>
    <row r="139" spans="1:14" x14ac:dyDescent="0.25">
      <c r="A139" s="14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</row>
    <row r="140" spans="1:14" x14ac:dyDescent="0.25">
      <c r="A140" s="44"/>
      <c r="C140" s="219" t="s">
        <v>34</v>
      </c>
      <c r="D140" s="160"/>
      <c r="E140" s="160"/>
      <c r="F140" s="160"/>
      <c r="G140" s="160"/>
      <c r="H140" s="160"/>
      <c r="I140" s="220" t="s">
        <v>35</v>
      </c>
      <c r="J140" s="160"/>
      <c r="K140" s="220" t="s">
        <v>36</v>
      </c>
      <c r="L140" s="220"/>
      <c r="M140" s="160"/>
      <c r="N140" s="160"/>
    </row>
    <row r="141" spans="1:14" x14ac:dyDescent="0.25">
      <c r="A141" s="17"/>
      <c r="B141" s="6"/>
      <c r="C141" s="161" t="s">
        <v>37</v>
      </c>
      <c r="D141" s="160"/>
      <c r="E141" s="160"/>
      <c r="F141" s="160"/>
      <c r="G141" s="221" t="s">
        <v>27</v>
      </c>
      <c r="H141" s="160"/>
      <c r="I141" s="214" t="s">
        <v>38</v>
      </c>
      <c r="J141" s="160"/>
      <c r="K141" s="214" t="s">
        <v>39</v>
      </c>
      <c r="L141" s="214"/>
      <c r="M141" s="160"/>
      <c r="N141" s="160"/>
    </row>
    <row r="142" spans="1:14" x14ac:dyDescent="0.25">
      <c r="A142" s="17"/>
      <c r="B142" s="6"/>
      <c r="C142" s="161" t="s">
        <v>40</v>
      </c>
      <c r="D142" s="160"/>
      <c r="E142" s="160"/>
      <c r="F142" s="160"/>
      <c r="G142" s="212">
        <v>2023</v>
      </c>
      <c r="H142" s="213"/>
      <c r="I142" s="214" t="s">
        <v>41</v>
      </c>
      <c r="J142" s="160"/>
      <c r="K142" s="214" t="s">
        <v>42</v>
      </c>
      <c r="L142" s="214"/>
      <c r="M142" s="160"/>
      <c r="N142" s="160"/>
    </row>
    <row r="143" spans="1:14" x14ac:dyDescent="0.25">
      <c r="A143" s="17"/>
      <c r="B143" s="6"/>
      <c r="C143" s="159" t="str">
        <f>IF(G141="","",IF(G141=$S$5,"Valor umbral Mipyme.","Total Ingresos Operacionales Acreditados"))</f>
        <v>Total Ingresos Operacionales Acreditados</v>
      </c>
      <c r="D143" s="160"/>
      <c r="E143" s="160"/>
      <c r="F143" s="160"/>
      <c r="G143" s="215">
        <v>2591203000</v>
      </c>
      <c r="H143" s="216"/>
      <c r="I143" s="214" t="s">
        <v>43</v>
      </c>
      <c r="J143" s="160"/>
      <c r="K143" s="18" t="s">
        <v>44</v>
      </c>
      <c r="L143" s="18"/>
      <c r="M143" s="217">
        <v>457297264</v>
      </c>
      <c r="N143" s="218"/>
    </row>
    <row r="144" spans="1:14" x14ac:dyDescent="0.25">
      <c r="A144" s="17"/>
      <c r="B144" s="6"/>
      <c r="C144" s="162" t="s">
        <v>45</v>
      </c>
      <c r="D144" s="160"/>
      <c r="E144" s="160"/>
      <c r="F144" s="160"/>
      <c r="G144" s="160"/>
      <c r="H144" s="160"/>
      <c r="I144" s="19"/>
      <c r="J144" s="19"/>
      <c r="K144" s="20"/>
      <c r="L144" s="20"/>
      <c r="M144" s="21"/>
      <c r="N144" s="21"/>
    </row>
    <row r="145" spans="1:14" x14ac:dyDescent="0.25">
      <c r="A145" s="17"/>
      <c r="B145" s="6"/>
      <c r="C145" s="69" t="s">
        <v>46</v>
      </c>
      <c r="D145" s="225" t="s">
        <v>128</v>
      </c>
      <c r="E145" s="160"/>
      <c r="F145" s="226" t="s">
        <v>47</v>
      </c>
      <c r="G145" s="160"/>
      <c r="H145" s="72" t="s">
        <v>87</v>
      </c>
      <c r="I145" s="19"/>
      <c r="J145" s="19"/>
      <c r="K145" s="20"/>
      <c r="L145" s="20"/>
      <c r="M145" s="21"/>
      <c r="N145" s="21"/>
    </row>
    <row r="146" spans="1:14" x14ac:dyDescent="0.25">
      <c r="A146" s="17"/>
      <c r="B146" s="6"/>
      <c r="C146" s="69" t="s">
        <v>48</v>
      </c>
      <c r="D146" s="225" t="s">
        <v>127</v>
      </c>
      <c r="E146" s="160"/>
      <c r="F146" s="226" t="s">
        <v>47</v>
      </c>
      <c r="G146" s="160"/>
      <c r="H146" s="72" t="s">
        <v>87</v>
      </c>
      <c r="I146" s="19"/>
      <c r="J146" s="19"/>
      <c r="K146" s="20"/>
      <c r="L146" s="20"/>
      <c r="M146" s="21"/>
      <c r="N146" s="21"/>
    </row>
    <row r="147" spans="1:14" x14ac:dyDescent="0.25">
      <c r="A147" s="17"/>
      <c r="B147" s="6"/>
      <c r="C147" s="69" t="s">
        <v>49</v>
      </c>
      <c r="D147" s="69"/>
      <c r="E147" s="69"/>
      <c r="F147" s="69"/>
      <c r="G147" s="227">
        <f>IF(OR(H145="SIN VIGENCIA",H145="NO APORTA",H146="SIN VIGENCIA",H146="NO APORTA"),0,IF(G141="",0,IF(G141=$S$5,M143,IF(G143&lt;M143,M143,G143))))</f>
        <v>2591203000</v>
      </c>
      <c r="H147" s="228"/>
      <c r="I147" s="5"/>
      <c r="J147" s="5"/>
      <c r="K147" s="5"/>
      <c r="L147" s="5"/>
      <c r="M147" s="5"/>
      <c r="N147" s="5"/>
    </row>
    <row r="148" spans="1:14" x14ac:dyDescent="0.25">
      <c r="A148" s="14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</row>
    <row r="149" spans="1:14" x14ac:dyDescent="0.25">
      <c r="A149" s="17"/>
      <c r="B149" s="6"/>
      <c r="C149" s="222" t="s">
        <v>26</v>
      </c>
      <c r="D149" s="160"/>
      <c r="E149" s="160"/>
      <c r="F149" s="160"/>
      <c r="G149" s="160"/>
      <c r="H149" s="160"/>
      <c r="I149" s="7" t="s">
        <v>50</v>
      </c>
      <c r="J149" s="7" t="s">
        <v>51</v>
      </c>
      <c r="K149" s="7" t="s">
        <v>52</v>
      </c>
      <c r="L149" s="6"/>
      <c r="M149" s="5"/>
      <c r="N149" s="5"/>
    </row>
    <row r="150" spans="1:14" x14ac:dyDescent="0.25">
      <c r="A150" s="17"/>
      <c r="B150" s="6"/>
      <c r="C150" s="161" t="s">
        <v>53</v>
      </c>
      <c r="D150" s="160"/>
      <c r="E150" s="160"/>
      <c r="F150" s="160"/>
      <c r="G150" s="223" t="str">
        <f>D138</f>
        <v/>
      </c>
      <c r="H150" s="160"/>
      <c r="I150" s="70">
        <v>0</v>
      </c>
      <c r="J150" s="70">
        <v>3</v>
      </c>
      <c r="K150" s="70">
        <v>60</v>
      </c>
      <c r="L150" s="4"/>
      <c r="M150" s="5"/>
      <c r="N150" s="5"/>
    </row>
    <row r="151" spans="1:14" x14ac:dyDescent="0.25">
      <c r="A151" s="17"/>
      <c r="B151" s="6"/>
      <c r="C151" s="161" t="s">
        <v>22</v>
      </c>
      <c r="D151" s="160"/>
      <c r="E151" s="160"/>
      <c r="F151" s="160"/>
      <c r="G151" s="224">
        <f>$E$5</f>
        <v>1169500932</v>
      </c>
      <c r="H151" s="216"/>
      <c r="I151" s="70">
        <v>3</v>
      </c>
      <c r="J151" s="70">
        <v>6</v>
      </c>
      <c r="K151" s="70">
        <v>80</v>
      </c>
      <c r="L151" s="4"/>
      <c r="M151" s="5"/>
      <c r="N151" s="5"/>
    </row>
    <row r="152" spans="1:14" x14ac:dyDescent="0.25">
      <c r="A152" s="17"/>
      <c r="B152" s="6"/>
      <c r="C152" s="162" t="s">
        <v>54</v>
      </c>
      <c r="D152" s="160"/>
      <c r="E152" s="160"/>
      <c r="F152" s="160"/>
      <c r="G152" s="160"/>
      <c r="H152" s="160"/>
      <c r="I152" s="70">
        <v>6</v>
      </c>
      <c r="J152" s="70">
        <v>10</v>
      </c>
      <c r="K152" s="70">
        <v>100</v>
      </c>
      <c r="L152" s="4"/>
      <c r="M152" s="5"/>
      <c r="N152" s="5"/>
    </row>
    <row r="153" spans="1:14" x14ac:dyDescent="0.25">
      <c r="A153" s="17"/>
      <c r="B153" s="6"/>
      <c r="C153" s="161" t="s">
        <v>55</v>
      </c>
      <c r="D153" s="160"/>
      <c r="E153" s="160"/>
      <c r="F153" s="160"/>
      <c r="G153" s="166" t="s">
        <v>56</v>
      </c>
      <c r="H153" s="160"/>
      <c r="I153" s="70">
        <v>10</v>
      </c>
      <c r="J153" s="70" t="s">
        <v>57</v>
      </c>
      <c r="K153" s="70">
        <v>120</v>
      </c>
      <c r="L153" s="4"/>
      <c r="M153" s="5"/>
      <c r="N153" s="5"/>
    </row>
    <row r="154" spans="1:14" x14ac:dyDescent="0.25">
      <c r="A154" s="17"/>
      <c r="B154" s="6"/>
      <c r="C154" s="162" t="s">
        <v>58</v>
      </c>
      <c r="D154" s="160"/>
      <c r="E154" s="160"/>
      <c r="F154" s="160"/>
      <c r="G154" s="230">
        <v>13520501800</v>
      </c>
      <c r="H154" s="160"/>
      <c r="I154" s="5"/>
      <c r="J154" s="5"/>
      <c r="K154" s="5"/>
      <c r="L154" s="5"/>
      <c r="M154" s="5"/>
      <c r="N154" s="5"/>
    </row>
    <row r="155" spans="1:14" x14ac:dyDescent="0.25">
      <c r="A155" s="17"/>
      <c r="B155" s="6"/>
      <c r="C155" s="161"/>
      <c r="D155" s="160"/>
      <c r="E155" s="160"/>
      <c r="F155" s="160"/>
      <c r="G155" s="231"/>
      <c r="H155" s="160"/>
      <c r="I155" s="5"/>
      <c r="J155" s="5"/>
      <c r="K155" s="5"/>
      <c r="L155" s="5"/>
      <c r="M155" s="5"/>
      <c r="N155" s="5"/>
    </row>
    <row r="156" spans="1:14" x14ac:dyDescent="0.25">
      <c r="A156" s="17"/>
      <c r="B156" s="6"/>
      <c r="C156" s="159" t="s">
        <v>59</v>
      </c>
      <c r="D156" s="160"/>
      <c r="E156" s="160"/>
      <c r="F156" s="160"/>
      <c r="G156" s="229">
        <f>SUM(G153:H155)</f>
        <v>13520501800</v>
      </c>
      <c r="H156" s="160"/>
      <c r="I156" s="5"/>
      <c r="J156" s="5"/>
      <c r="K156" s="5"/>
      <c r="L156" s="5"/>
      <c r="M156" s="5"/>
      <c r="N156" s="5"/>
    </row>
    <row r="157" spans="1:14" x14ac:dyDescent="0.25">
      <c r="A157" s="17"/>
      <c r="B157" s="6"/>
      <c r="C157" s="159" t="s">
        <v>60</v>
      </c>
      <c r="D157" s="160"/>
      <c r="E157" s="160"/>
      <c r="F157" s="160"/>
      <c r="G157" s="160"/>
      <c r="H157" s="71">
        <f>IF(OR(G150="",G150=0,G156=0),0,G156/(G151*G150))</f>
        <v>0</v>
      </c>
      <c r="I157" s="5"/>
      <c r="J157" s="5"/>
      <c r="K157" s="5"/>
      <c r="L157" s="5"/>
      <c r="M157" s="5"/>
      <c r="N157" s="5"/>
    </row>
    <row r="158" spans="1:14" x14ac:dyDescent="0.25">
      <c r="A158" s="17"/>
      <c r="B158" s="6"/>
      <c r="C158" s="159" t="s">
        <v>61</v>
      </c>
      <c r="D158" s="160"/>
      <c r="E158" s="160"/>
      <c r="F158" s="160"/>
      <c r="G158" s="160"/>
      <c r="H158" s="22">
        <f>IF(H157&lt;=J150,K150,IF(H157&lt;=J151,K151,IF(H157&lt;=J152,K152,K153)))</f>
        <v>60</v>
      </c>
      <c r="I158" s="5"/>
      <c r="J158" s="23"/>
      <c r="K158" s="5"/>
      <c r="L158" s="5"/>
      <c r="M158" s="5"/>
      <c r="N158" s="5"/>
    </row>
    <row r="159" spans="1:14" x14ac:dyDescent="0.25">
      <c r="A159" s="14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</row>
    <row r="160" spans="1:14" x14ac:dyDescent="0.25">
      <c r="A160" s="17"/>
      <c r="B160" s="6"/>
      <c r="C160" s="219" t="s">
        <v>62</v>
      </c>
      <c r="D160" s="160"/>
      <c r="E160" s="160"/>
      <c r="F160" s="160"/>
      <c r="G160" s="160"/>
      <c r="H160" s="160"/>
      <c r="I160" s="7" t="s">
        <v>63</v>
      </c>
      <c r="J160" s="7" t="s">
        <v>64</v>
      </c>
      <c r="K160" s="7" t="s">
        <v>52</v>
      </c>
      <c r="L160" s="6"/>
      <c r="M160" s="5"/>
      <c r="N160" s="5"/>
    </row>
    <row r="161" spans="1:14" x14ac:dyDescent="0.25">
      <c r="A161" s="17"/>
      <c r="B161" s="6"/>
      <c r="C161" s="159" t="s">
        <v>65</v>
      </c>
      <c r="D161" s="160"/>
      <c r="E161" s="160"/>
      <c r="F161" s="160"/>
      <c r="G161" s="160"/>
      <c r="H161" s="67" t="e">
        <f>VLOOKUP(A134,'CAPACIDAD FINANCIERA'!$A$6:$AK$308,5,FALSE)</f>
        <v>#N/A</v>
      </c>
      <c r="I161" s="24">
        <v>0</v>
      </c>
      <c r="J161" s="24">
        <v>0.5</v>
      </c>
      <c r="K161" s="70">
        <v>20</v>
      </c>
      <c r="L161" s="4"/>
      <c r="M161" s="5"/>
      <c r="N161" s="5"/>
    </row>
    <row r="162" spans="1:14" x14ac:dyDescent="0.25">
      <c r="A162" s="17"/>
      <c r="B162" s="6"/>
      <c r="C162" s="159" t="s">
        <v>66</v>
      </c>
      <c r="D162" s="160"/>
      <c r="E162" s="160"/>
      <c r="F162" s="160"/>
      <c r="G162" s="160"/>
      <c r="H162" s="67" t="e">
        <f>VLOOKUP(A134,'CAPACIDAD FINANCIERA'!$A$6:$AK$308,7,FALSE)</f>
        <v>#N/A</v>
      </c>
      <c r="I162" s="24">
        <v>0.5</v>
      </c>
      <c r="J162" s="24">
        <v>0.75</v>
      </c>
      <c r="K162" s="70">
        <v>25</v>
      </c>
      <c r="L162" s="4"/>
      <c r="M162" s="5"/>
      <c r="N162" s="5"/>
    </row>
    <row r="163" spans="1:14" x14ac:dyDescent="0.25">
      <c r="A163" s="17"/>
      <c r="B163" s="6"/>
      <c r="C163" s="159" t="s">
        <v>67</v>
      </c>
      <c r="D163" s="160"/>
      <c r="E163" s="160"/>
      <c r="F163" s="160"/>
      <c r="G163" s="160"/>
      <c r="H163" s="71" t="e">
        <f>ROUND(IF(H161="",0,H161/H162),2)</f>
        <v>#N/A</v>
      </c>
      <c r="I163" s="24">
        <v>0.75</v>
      </c>
      <c r="J163" s="24">
        <v>1</v>
      </c>
      <c r="K163" s="70">
        <v>30</v>
      </c>
      <c r="L163" s="4"/>
      <c r="M163" s="5"/>
      <c r="N163" s="5"/>
    </row>
    <row r="164" spans="1:14" x14ac:dyDescent="0.25">
      <c r="A164" s="17"/>
      <c r="B164" s="6"/>
      <c r="C164" s="159" t="s">
        <v>68</v>
      </c>
      <c r="D164" s="160"/>
      <c r="E164" s="160"/>
      <c r="F164" s="160"/>
      <c r="G164" s="160"/>
      <c r="H164" s="22" t="e">
        <f>IF(H163="",0,IF(H163&lt;J161,K161,IF(H163&lt;J162,K162,IF(H163&lt;J163,K163,IF(H163&lt;J164,K164,K165)))))</f>
        <v>#N/A</v>
      </c>
      <c r="I164" s="24">
        <v>1</v>
      </c>
      <c r="J164" s="24">
        <v>1.5</v>
      </c>
      <c r="K164" s="70">
        <v>35</v>
      </c>
      <c r="L164" s="4"/>
      <c r="M164" s="5"/>
      <c r="N164" s="5"/>
    </row>
    <row r="165" spans="1:14" x14ac:dyDescent="0.25">
      <c r="A165" s="17"/>
      <c r="B165" s="6"/>
      <c r="C165" s="5"/>
      <c r="D165" s="5"/>
      <c r="E165" s="5"/>
      <c r="F165" s="5"/>
      <c r="G165" s="5"/>
      <c r="H165" s="5"/>
      <c r="I165" s="24">
        <v>1.5</v>
      </c>
      <c r="J165" s="24" t="s">
        <v>57</v>
      </c>
      <c r="K165" s="70">
        <v>40</v>
      </c>
      <c r="L165" s="4"/>
      <c r="M165" s="5"/>
      <c r="N165" s="5"/>
    </row>
    <row r="166" spans="1:14" x14ac:dyDescent="0.25">
      <c r="A166" s="14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</row>
    <row r="167" spans="1:14" x14ac:dyDescent="0.25">
      <c r="A167" s="17"/>
      <c r="B167" s="6"/>
      <c r="C167" s="219" t="s">
        <v>69</v>
      </c>
      <c r="D167" s="160"/>
      <c r="E167" s="160"/>
      <c r="F167" s="160"/>
      <c r="G167" s="160"/>
      <c r="H167" s="160"/>
      <c r="I167" s="7" t="s">
        <v>70</v>
      </c>
      <c r="J167" s="7" t="s">
        <v>71</v>
      </c>
      <c r="K167" s="7" t="s">
        <v>52</v>
      </c>
      <c r="L167" s="6"/>
      <c r="M167" s="5"/>
      <c r="N167" s="5"/>
    </row>
    <row r="168" spans="1:14" x14ac:dyDescent="0.25">
      <c r="A168" s="17"/>
      <c r="B168" s="6"/>
      <c r="C168" s="159" t="s">
        <v>72</v>
      </c>
      <c r="D168" s="160"/>
      <c r="E168" s="160"/>
      <c r="F168" s="160"/>
      <c r="G168" s="160"/>
      <c r="H168" s="25">
        <v>1</v>
      </c>
      <c r="I168" s="26">
        <v>1</v>
      </c>
      <c r="J168" s="26">
        <v>5</v>
      </c>
      <c r="K168" s="70">
        <v>20</v>
      </c>
      <c r="L168" s="4"/>
      <c r="M168" s="5"/>
      <c r="N168" s="5"/>
    </row>
    <row r="169" spans="1:14" x14ac:dyDescent="0.25">
      <c r="A169" s="17"/>
      <c r="B169" s="6"/>
      <c r="C169" s="159" t="s">
        <v>73</v>
      </c>
      <c r="D169" s="160"/>
      <c r="E169" s="160"/>
      <c r="F169" s="160"/>
      <c r="G169" s="160"/>
      <c r="H169" s="22">
        <f>IF(H168&lt;I168,0,IF(H168&lt;=J168,K168,IF(H168&lt;=J169,K169,K170)))</f>
        <v>20</v>
      </c>
      <c r="I169" s="26">
        <v>6</v>
      </c>
      <c r="J169" s="26">
        <v>10</v>
      </c>
      <c r="K169" s="70">
        <v>30</v>
      </c>
      <c r="L169" s="4"/>
      <c r="M169" s="5"/>
      <c r="N169" s="5"/>
    </row>
    <row r="170" spans="1:14" x14ac:dyDescent="0.25">
      <c r="A170" s="17"/>
      <c r="B170" s="6"/>
      <c r="C170" s="5"/>
      <c r="D170" s="5"/>
      <c r="E170" s="5"/>
      <c r="F170" s="5"/>
      <c r="G170" s="5"/>
      <c r="H170" s="5"/>
      <c r="I170" s="26">
        <v>11</v>
      </c>
      <c r="J170" s="24" t="s">
        <v>57</v>
      </c>
      <c r="K170" s="70">
        <v>40</v>
      </c>
      <c r="L170" s="4"/>
      <c r="M170" s="5"/>
      <c r="N170" s="5"/>
    </row>
    <row r="171" spans="1:14" x14ac:dyDescent="0.25">
      <c r="A171" s="14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</row>
    <row r="172" spans="1:14" x14ac:dyDescent="0.25">
      <c r="A172" s="17"/>
      <c r="B172" s="6"/>
      <c r="C172" s="222" t="s">
        <v>74</v>
      </c>
      <c r="D172" s="160"/>
      <c r="E172" s="160"/>
      <c r="F172" s="160"/>
      <c r="G172" s="160"/>
      <c r="H172" s="160"/>
      <c r="I172" s="160"/>
      <c r="J172" s="160"/>
      <c r="K172" s="160"/>
      <c r="L172" s="160"/>
      <c r="M172" s="160"/>
      <c r="N172" s="160"/>
    </row>
    <row r="173" spans="1:14" x14ac:dyDescent="0.25">
      <c r="A173" s="27"/>
      <c r="B173" s="28"/>
      <c r="C173" s="162" t="s">
        <v>75</v>
      </c>
      <c r="D173" s="160"/>
      <c r="E173" s="160"/>
      <c r="F173" s="160"/>
      <c r="G173" s="160"/>
      <c r="H173" s="160"/>
      <c r="I173" s="160"/>
      <c r="J173" s="160"/>
      <c r="K173" s="160"/>
      <c r="L173" s="160"/>
      <c r="M173" s="160"/>
      <c r="N173" s="160"/>
    </row>
    <row r="174" spans="1:14" ht="36" x14ac:dyDescent="0.25">
      <c r="A174" s="29"/>
      <c r="B174" s="28"/>
      <c r="C174" s="69" t="s">
        <v>76</v>
      </c>
      <c r="D174" s="70" t="s">
        <v>77</v>
      </c>
      <c r="E174" s="70" t="s">
        <v>56</v>
      </c>
      <c r="F174" s="70" t="s">
        <v>78</v>
      </c>
      <c r="G174" s="30" t="s">
        <v>123</v>
      </c>
      <c r="H174" s="70" t="s">
        <v>80</v>
      </c>
      <c r="I174" s="70" t="s">
        <v>81</v>
      </c>
      <c r="J174" s="70" t="s">
        <v>82</v>
      </c>
      <c r="K174" s="70" t="s">
        <v>83</v>
      </c>
      <c r="L174" s="70"/>
      <c r="M174" s="30" t="s">
        <v>84</v>
      </c>
      <c r="N174" s="70" t="s">
        <v>85</v>
      </c>
    </row>
    <row r="175" spans="1:14" hidden="1" x14ac:dyDescent="0.25">
      <c r="A175" s="29"/>
      <c r="B175" s="28"/>
      <c r="C175" s="69"/>
      <c r="D175" s="70"/>
      <c r="E175" s="70"/>
      <c r="F175" s="70"/>
      <c r="G175" s="70"/>
      <c r="H175" s="70"/>
      <c r="I175" s="70"/>
      <c r="J175" s="70"/>
      <c r="K175" s="70"/>
      <c r="L175" s="70"/>
      <c r="M175" s="30"/>
      <c r="N175" s="70"/>
    </row>
    <row r="176" spans="1:14" x14ac:dyDescent="0.25">
      <c r="A176" s="29"/>
      <c r="B176" s="28"/>
      <c r="C176" s="72"/>
      <c r="D176" s="31"/>
      <c r="E176" s="57"/>
      <c r="F176" s="56"/>
      <c r="G176" s="34"/>
      <c r="H176" s="35"/>
      <c r="I176" s="35"/>
      <c r="J176" s="35"/>
      <c r="K176" s="35"/>
      <c r="L176" s="35"/>
      <c r="M176" s="24" t="str">
        <f t="shared" ref="M176:M180" si="4">IF(C176="","",IF(IF(H176&lt;&gt;"",IF(I176&lt;&gt;"",IF(J176&lt;&gt;"",IF(K176&lt;&gt;"",G176+F176*30+(I176-H176)+(K176-J176)-$E$6,G176+F176*30+(I176-H176)-J176),G176+F176*30+(I176-H176)-$E$6),G176+F176*30-H176),G176+F176*30-$E$6)&lt;0,0,IF(H176&lt;&gt;"",IF(I176&lt;&gt;"",IF(J176&lt;&gt;"",IF(K176&lt;&gt;"",G176+F176*30+(I176-H176)+(K176-J176)-$E$6,G176+F176*30+(I176-H176)-J176),G176+F176*30+(I176-H176)-$E$6),G176+F176*30-H176),G176+F176*30-$E$6)))</f>
        <v/>
      </c>
      <c r="N176" s="65" t="str">
        <f t="shared" ref="N176:N180" si="5">IF(C176="","",IF(M176&lt;360,D176*E176*M176/(F176*30),D176*E176*360/(F176*30)))</f>
        <v/>
      </c>
    </row>
    <row r="177" spans="1:14" x14ac:dyDescent="0.25">
      <c r="A177" s="29"/>
      <c r="B177" s="28"/>
      <c r="C177" s="72"/>
      <c r="D177" s="31"/>
      <c r="E177" s="57"/>
      <c r="F177" s="56"/>
      <c r="G177" s="34"/>
      <c r="H177" s="35"/>
      <c r="I177" s="35"/>
      <c r="J177" s="35"/>
      <c r="K177" s="35"/>
      <c r="L177" s="35"/>
      <c r="M177" s="24" t="str">
        <f t="shared" si="4"/>
        <v/>
      </c>
      <c r="N177" s="65" t="str">
        <f t="shared" si="5"/>
        <v/>
      </c>
    </row>
    <row r="178" spans="1:14" x14ac:dyDescent="0.25">
      <c r="A178" s="29"/>
      <c r="B178" s="28"/>
      <c r="C178" s="72"/>
      <c r="D178" s="31"/>
      <c r="E178" s="57"/>
      <c r="F178" s="56"/>
      <c r="G178" s="34"/>
      <c r="H178" s="35"/>
      <c r="I178" s="35"/>
      <c r="J178" s="35"/>
      <c r="K178" s="35"/>
      <c r="L178" s="35"/>
      <c r="M178" s="24" t="str">
        <f t="shared" si="4"/>
        <v/>
      </c>
      <c r="N178" s="65" t="str">
        <f t="shared" si="5"/>
        <v/>
      </c>
    </row>
    <row r="179" spans="1:14" x14ac:dyDescent="0.25">
      <c r="A179" s="29"/>
      <c r="B179" s="28"/>
      <c r="C179" s="72"/>
      <c r="D179" s="31"/>
      <c r="E179" s="57"/>
      <c r="F179" s="56"/>
      <c r="G179" s="34"/>
      <c r="H179" s="35"/>
      <c r="I179" s="35"/>
      <c r="J179" s="35"/>
      <c r="K179" s="35"/>
      <c r="L179" s="35"/>
      <c r="M179" s="24" t="str">
        <f t="shared" si="4"/>
        <v/>
      </c>
      <c r="N179" s="65" t="str">
        <f t="shared" si="5"/>
        <v/>
      </c>
    </row>
    <row r="180" spans="1:14" x14ac:dyDescent="0.25">
      <c r="A180" s="29"/>
      <c r="B180" s="28"/>
      <c r="C180" s="72"/>
      <c r="D180" s="31"/>
      <c r="E180" s="57"/>
      <c r="F180" s="56"/>
      <c r="G180" s="34"/>
      <c r="H180" s="35"/>
      <c r="I180" s="35"/>
      <c r="J180" s="35"/>
      <c r="K180" s="35"/>
      <c r="L180" s="35"/>
      <c r="M180" s="24" t="str">
        <f t="shared" si="4"/>
        <v/>
      </c>
      <c r="N180" s="65" t="str">
        <f t="shared" si="5"/>
        <v/>
      </c>
    </row>
    <row r="181" spans="1:14" hidden="1" x14ac:dyDescent="0.25">
      <c r="A181" s="29"/>
      <c r="B181" s="28"/>
      <c r="C181" s="72"/>
      <c r="D181" s="31"/>
      <c r="E181" s="32"/>
      <c r="F181" s="33"/>
      <c r="G181" s="34"/>
      <c r="H181" s="35"/>
      <c r="I181" s="35"/>
      <c r="J181" s="35"/>
      <c r="K181" s="35"/>
      <c r="L181" s="35"/>
      <c r="M181" s="70"/>
      <c r="N181" s="65"/>
    </row>
    <row r="182" spans="1:14" x14ac:dyDescent="0.25">
      <c r="A182" s="29"/>
      <c r="B182" s="1"/>
      <c r="C182" s="159" t="s">
        <v>86</v>
      </c>
      <c r="D182" s="160"/>
      <c r="E182" s="160"/>
      <c r="F182" s="160"/>
      <c r="G182" s="160"/>
      <c r="H182" s="160"/>
      <c r="I182" s="160"/>
      <c r="J182" s="160"/>
      <c r="K182" s="160"/>
      <c r="L182" s="160"/>
      <c r="M182" s="160"/>
      <c r="N182" s="66">
        <f>SUM(N175:N181)</f>
        <v>0</v>
      </c>
    </row>
    <row r="184" spans="1:14" x14ac:dyDescent="0.25">
      <c r="A184" s="197" t="s">
        <v>95</v>
      </c>
      <c r="B184" s="197"/>
      <c r="C184" s="197" t="s">
        <v>96</v>
      </c>
      <c r="D184" s="197"/>
      <c r="E184" s="197"/>
      <c r="F184" s="197" t="s">
        <v>97</v>
      </c>
      <c r="G184" s="197"/>
      <c r="H184" s="197"/>
      <c r="I184" s="197"/>
      <c r="J184" s="197"/>
      <c r="K184" s="197"/>
      <c r="L184" s="197"/>
      <c r="M184" s="197"/>
      <c r="N184" s="197"/>
    </row>
    <row r="185" spans="1:14" x14ac:dyDescent="0.25">
      <c r="A185" s="197" t="str">
        <f>IF(A27="N/A","",A27)</f>
        <v/>
      </c>
      <c r="B185" s="197"/>
      <c r="C185" s="198" t="s">
        <v>91</v>
      </c>
      <c r="D185" s="199" t="str">
        <f>IF(A185="","",VLOOKUP(A185,'CAPACIDAD RESIDUAL'!$A$6:$D$304,2,FALSE))</f>
        <v/>
      </c>
      <c r="E185" s="200"/>
      <c r="F185" s="197" t="str">
        <f>$C$38</f>
        <v>Capacidad de Organización (CO)</v>
      </c>
      <c r="G185" s="197"/>
      <c r="H185" s="197"/>
      <c r="I185" s="58" t="str">
        <f>IF(A185="","",G198)</f>
        <v/>
      </c>
      <c r="J185" s="203" t="s">
        <v>88</v>
      </c>
      <c r="K185" s="183" t="str">
        <f>IF(A185="","",I185*(I186+I187+I188)/100-I189)</f>
        <v/>
      </c>
      <c r="L185" s="184"/>
      <c r="M185" s="184"/>
      <c r="N185" s="185"/>
    </row>
    <row r="186" spans="1:14" x14ac:dyDescent="0.25">
      <c r="A186" s="197"/>
      <c r="B186" s="197"/>
      <c r="C186" s="198"/>
      <c r="D186" s="201"/>
      <c r="E186" s="202"/>
      <c r="F186" s="197" t="str">
        <f>$C$47</f>
        <v>Experiencia (E)</v>
      </c>
      <c r="G186" s="197"/>
      <c r="H186" s="197"/>
      <c r="I186" s="22" t="str">
        <f>IF(A185="","",H209)</f>
        <v/>
      </c>
      <c r="J186" s="204"/>
      <c r="K186" s="186"/>
      <c r="L186" s="187"/>
      <c r="M186" s="187"/>
      <c r="N186" s="188"/>
    </row>
    <row r="187" spans="1:14" x14ac:dyDescent="0.25">
      <c r="A187" s="197"/>
      <c r="B187" s="197"/>
      <c r="C187" s="198" t="s">
        <v>92</v>
      </c>
      <c r="D187" s="205" t="str">
        <f>IF(A185="","",VLOOKUP(A185,'CAPACIDAD RESIDUAL'!$A$6:$D$304,3,FALSE))</f>
        <v/>
      </c>
      <c r="E187" s="206"/>
      <c r="F187" s="197" t="str">
        <f>$C$58</f>
        <v>Capacidad Financiera (CF)</v>
      </c>
      <c r="G187" s="197"/>
      <c r="H187" s="197"/>
      <c r="I187" s="22" t="str">
        <f>IF(A185="","",H215)</f>
        <v/>
      </c>
      <c r="J187" s="191" t="str">
        <f>IF(A185="","",IF(K185&gt;$E$9,"CUMPLE","NO CUMPLE"))</f>
        <v/>
      </c>
      <c r="K187" s="191"/>
      <c r="L187" s="191"/>
      <c r="M187" s="191"/>
      <c r="N187" s="191"/>
    </row>
    <row r="188" spans="1:14" x14ac:dyDescent="0.25">
      <c r="A188" s="197"/>
      <c r="B188" s="197"/>
      <c r="C188" s="198"/>
      <c r="D188" s="207"/>
      <c r="E188" s="208"/>
      <c r="F188" s="197" t="str">
        <f>$C$65</f>
        <v>Capacidad Técnica (CT)</v>
      </c>
      <c r="G188" s="197"/>
      <c r="H188" s="197"/>
      <c r="I188" s="22" t="str">
        <f>IF(A185="","",H220)</f>
        <v/>
      </c>
      <c r="J188" s="191"/>
      <c r="K188" s="191"/>
      <c r="L188" s="191"/>
      <c r="M188" s="191"/>
      <c r="N188" s="191"/>
    </row>
    <row r="189" spans="1:14" x14ac:dyDescent="0.25">
      <c r="A189" s="197"/>
      <c r="B189" s="197"/>
      <c r="C189" s="73" t="s">
        <v>93</v>
      </c>
      <c r="D189" s="209" t="str">
        <f>IF(A185="","",VLOOKUP(A185,'CAPACIDAD RESIDUAL'!$A$6:$D$304,4,FALSE))</f>
        <v/>
      </c>
      <c r="E189" s="210"/>
      <c r="F189" s="211" t="str">
        <f>$C$70</f>
        <v>Saldo de los Contratos en Ejecución (SCE)</v>
      </c>
      <c r="G189" s="211"/>
      <c r="H189" s="211"/>
      <c r="I189" s="58" t="str">
        <f>IF(A185="","",N233)</f>
        <v/>
      </c>
      <c r="J189" s="191"/>
      <c r="K189" s="191"/>
      <c r="L189" s="191"/>
      <c r="M189" s="191"/>
      <c r="N189" s="191"/>
    </row>
    <row r="190" spans="1:14" x14ac:dyDescent="0.25">
      <c r="A190" s="14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</row>
    <row r="191" spans="1:14" x14ac:dyDescent="0.25">
      <c r="A191" s="44"/>
      <c r="C191" s="219" t="s">
        <v>34</v>
      </c>
      <c r="D191" s="160"/>
      <c r="E191" s="160"/>
      <c r="F191" s="160"/>
      <c r="G191" s="160"/>
      <c r="H191" s="160"/>
      <c r="I191" s="220" t="s">
        <v>35</v>
      </c>
      <c r="J191" s="160"/>
      <c r="K191" s="220" t="s">
        <v>36</v>
      </c>
      <c r="L191" s="220"/>
      <c r="M191" s="160"/>
      <c r="N191" s="160"/>
    </row>
    <row r="192" spans="1:14" x14ac:dyDescent="0.25">
      <c r="A192" s="17"/>
      <c r="B192" s="6"/>
      <c r="C192" s="161" t="s">
        <v>37</v>
      </c>
      <c r="D192" s="160"/>
      <c r="E192" s="160"/>
      <c r="F192" s="160"/>
      <c r="G192" s="221" t="s">
        <v>27</v>
      </c>
      <c r="H192" s="160"/>
      <c r="I192" s="214" t="s">
        <v>38</v>
      </c>
      <c r="J192" s="160"/>
      <c r="K192" s="214" t="s">
        <v>39</v>
      </c>
      <c r="L192" s="214"/>
      <c r="M192" s="160"/>
      <c r="N192" s="160"/>
    </row>
    <row r="193" spans="1:14" x14ac:dyDescent="0.25">
      <c r="A193" s="17"/>
      <c r="B193" s="6"/>
      <c r="C193" s="161" t="s">
        <v>40</v>
      </c>
      <c r="D193" s="160"/>
      <c r="E193" s="160"/>
      <c r="F193" s="160"/>
      <c r="G193" s="212"/>
      <c r="H193" s="213"/>
      <c r="I193" s="214" t="s">
        <v>41</v>
      </c>
      <c r="J193" s="160"/>
      <c r="K193" s="214" t="s">
        <v>42</v>
      </c>
      <c r="L193" s="214"/>
      <c r="M193" s="160"/>
      <c r="N193" s="160"/>
    </row>
    <row r="194" spans="1:14" x14ac:dyDescent="0.25">
      <c r="A194" s="17"/>
      <c r="B194" s="6"/>
      <c r="C194" s="159" t="str">
        <f>IF(G192="","",IF(G192=$S$5,"Valor umbral Mipyme.","Total Ingresos Operacionales Acreditados"))</f>
        <v>Total Ingresos Operacionales Acreditados</v>
      </c>
      <c r="D194" s="160"/>
      <c r="E194" s="160"/>
      <c r="F194" s="160"/>
      <c r="G194" s="215"/>
      <c r="H194" s="216"/>
      <c r="I194" s="214" t="s">
        <v>43</v>
      </c>
      <c r="J194" s="160"/>
      <c r="K194" s="18" t="s">
        <v>44</v>
      </c>
      <c r="L194" s="18"/>
      <c r="M194" s="217">
        <v>457297264</v>
      </c>
      <c r="N194" s="218"/>
    </row>
    <row r="195" spans="1:14" x14ac:dyDescent="0.25">
      <c r="A195" s="17"/>
      <c r="B195" s="6"/>
      <c r="C195" s="162" t="s">
        <v>45</v>
      </c>
      <c r="D195" s="160"/>
      <c r="E195" s="160"/>
      <c r="F195" s="160"/>
      <c r="G195" s="160"/>
      <c r="H195" s="160"/>
      <c r="I195" s="19"/>
      <c r="J195" s="19"/>
      <c r="K195" s="20"/>
      <c r="L195" s="20"/>
      <c r="M195" s="21"/>
      <c r="N195" s="21"/>
    </row>
    <row r="196" spans="1:14" x14ac:dyDescent="0.25">
      <c r="A196" s="17"/>
      <c r="B196" s="6"/>
      <c r="C196" s="69" t="s">
        <v>46</v>
      </c>
      <c r="D196" s="225"/>
      <c r="E196" s="160"/>
      <c r="F196" s="226" t="s">
        <v>47</v>
      </c>
      <c r="G196" s="160"/>
      <c r="H196" s="72" t="s">
        <v>87</v>
      </c>
      <c r="I196" s="19"/>
      <c r="J196" s="19"/>
      <c r="K196" s="20"/>
      <c r="L196" s="20"/>
      <c r="M196" s="21"/>
      <c r="N196" s="21"/>
    </row>
    <row r="197" spans="1:14" x14ac:dyDescent="0.25">
      <c r="A197" s="17"/>
      <c r="B197" s="6"/>
      <c r="C197" s="69" t="s">
        <v>48</v>
      </c>
      <c r="D197" s="225"/>
      <c r="E197" s="160"/>
      <c r="F197" s="226" t="s">
        <v>47</v>
      </c>
      <c r="G197" s="160"/>
      <c r="H197" s="72" t="s">
        <v>87</v>
      </c>
      <c r="I197" s="19"/>
      <c r="J197" s="19"/>
      <c r="K197" s="20"/>
      <c r="L197" s="20"/>
      <c r="M197" s="21"/>
      <c r="N197" s="21"/>
    </row>
    <row r="198" spans="1:14" x14ac:dyDescent="0.25">
      <c r="A198" s="17"/>
      <c r="B198" s="6"/>
      <c r="C198" s="69" t="s">
        <v>49</v>
      </c>
      <c r="D198" s="69"/>
      <c r="E198" s="69"/>
      <c r="F198" s="69"/>
      <c r="G198" s="227">
        <f>IF(OR(H196="SIN VIGENCIA",H196="NO APORTA",H197="SIN VIGENCIA",H197="NO APORTA"),0,IF(G192="",0,IF(G192=$S$5,M194,IF(G194&lt;M194,M194,G194))))</f>
        <v>457297264</v>
      </c>
      <c r="H198" s="228"/>
      <c r="I198" s="5"/>
      <c r="J198" s="5"/>
      <c r="K198" s="5"/>
      <c r="L198" s="5"/>
      <c r="M198" s="5"/>
      <c r="N198" s="5"/>
    </row>
    <row r="199" spans="1:14" x14ac:dyDescent="0.25">
      <c r="A199" s="14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</row>
    <row r="200" spans="1:14" x14ac:dyDescent="0.25">
      <c r="A200" s="17"/>
      <c r="B200" s="6"/>
      <c r="C200" s="222" t="s">
        <v>26</v>
      </c>
      <c r="D200" s="160"/>
      <c r="E200" s="160"/>
      <c r="F200" s="160"/>
      <c r="G200" s="160"/>
      <c r="H200" s="160"/>
      <c r="I200" s="7" t="s">
        <v>50</v>
      </c>
      <c r="J200" s="7" t="s">
        <v>51</v>
      </c>
      <c r="K200" s="7" t="s">
        <v>52</v>
      </c>
      <c r="L200" s="6"/>
      <c r="M200" s="5"/>
      <c r="N200" s="5"/>
    </row>
    <row r="201" spans="1:14" x14ac:dyDescent="0.25">
      <c r="A201" s="17"/>
      <c r="B201" s="6"/>
      <c r="C201" s="161" t="s">
        <v>53</v>
      </c>
      <c r="D201" s="160"/>
      <c r="E201" s="160"/>
      <c r="F201" s="160"/>
      <c r="G201" s="223" t="str">
        <f>D189</f>
        <v/>
      </c>
      <c r="H201" s="160"/>
      <c r="I201" s="70">
        <v>0</v>
      </c>
      <c r="J201" s="70">
        <v>3</v>
      </c>
      <c r="K201" s="70">
        <v>60</v>
      </c>
      <c r="L201" s="4"/>
      <c r="M201" s="5"/>
      <c r="N201" s="5"/>
    </row>
    <row r="202" spans="1:14" x14ac:dyDescent="0.25">
      <c r="A202" s="17"/>
      <c r="B202" s="6"/>
      <c r="C202" s="161" t="s">
        <v>22</v>
      </c>
      <c r="D202" s="160"/>
      <c r="E202" s="160"/>
      <c r="F202" s="160"/>
      <c r="G202" s="224">
        <f>$E$5</f>
        <v>1169500932</v>
      </c>
      <c r="H202" s="216"/>
      <c r="I202" s="70">
        <v>3</v>
      </c>
      <c r="J202" s="70">
        <v>6</v>
      </c>
      <c r="K202" s="70">
        <v>80</v>
      </c>
      <c r="L202" s="4"/>
      <c r="M202" s="5"/>
      <c r="N202" s="5"/>
    </row>
    <row r="203" spans="1:14" x14ac:dyDescent="0.25">
      <c r="A203" s="17"/>
      <c r="B203" s="6"/>
      <c r="C203" s="162" t="s">
        <v>54</v>
      </c>
      <c r="D203" s="160"/>
      <c r="E203" s="160"/>
      <c r="F203" s="160"/>
      <c r="G203" s="160"/>
      <c r="H203" s="160"/>
      <c r="I203" s="70">
        <v>6</v>
      </c>
      <c r="J203" s="70">
        <v>10</v>
      </c>
      <c r="K203" s="70">
        <v>100</v>
      </c>
      <c r="L203" s="4"/>
      <c r="M203" s="5"/>
      <c r="N203" s="5"/>
    </row>
    <row r="204" spans="1:14" x14ac:dyDescent="0.25">
      <c r="A204" s="17"/>
      <c r="B204" s="6"/>
      <c r="C204" s="161" t="s">
        <v>55</v>
      </c>
      <c r="D204" s="160"/>
      <c r="E204" s="160"/>
      <c r="F204" s="160"/>
      <c r="G204" s="166" t="s">
        <v>56</v>
      </c>
      <c r="H204" s="160"/>
      <c r="I204" s="70">
        <v>10</v>
      </c>
      <c r="J204" s="70" t="s">
        <v>57</v>
      </c>
      <c r="K204" s="70">
        <v>120</v>
      </c>
      <c r="L204" s="4"/>
      <c r="M204" s="5"/>
      <c r="N204" s="5"/>
    </row>
    <row r="205" spans="1:14" x14ac:dyDescent="0.25">
      <c r="A205" s="17"/>
      <c r="B205" s="6"/>
      <c r="C205" s="162" t="s">
        <v>58</v>
      </c>
      <c r="D205" s="160"/>
      <c r="E205" s="160"/>
      <c r="F205" s="160"/>
      <c r="G205" s="230"/>
      <c r="H205" s="160"/>
      <c r="I205" s="5"/>
      <c r="J205" s="5"/>
      <c r="K205" s="5"/>
      <c r="L205" s="5"/>
      <c r="M205" s="5"/>
      <c r="N205" s="5"/>
    </row>
    <row r="206" spans="1:14" x14ac:dyDescent="0.25">
      <c r="A206" s="17"/>
      <c r="B206" s="6"/>
      <c r="C206" s="161"/>
      <c r="D206" s="160"/>
      <c r="E206" s="160"/>
      <c r="F206" s="160"/>
      <c r="G206" s="231"/>
      <c r="H206" s="160"/>
      <c r="I206" s="5"/>
      <c r="J206" s="5"/>
      <c r="K206" s="5"/>
      <c r="L206" s="5"/>
      <c r="M206" s="5"/>
      <c r="N206" s="5"/>
    </row>
    <row r="207" spans="1:14" x14ac:dyDescent="0.25">
      <c r="A207" s="17"/>
      <c r="B207" s="6"/>
      <c r="C207" s="159" t="s">
        <v>59</v>
      </c>
      <c r="D207" s="160"/>
      <c r="E207" s="160"/>
      <c r="F207" s="160"/>
      <c r="G207" s="229">
        <f>SUM(G204:H206)</f>
        <v>0</v>
      </c>
      <c r="H207" s="160"/>
      <c r="I207" s="5"/>
      <c r="J207" s="5"/>
      <c r="K207" s="5"/>
      <c r="L207" s="5"/>
      <c r="M207" s="5"/>
      <c r="N207" s="5"/>
    </row>
    <row r="208" spans="1:14" x14ac:dyDescent="0.25">
      <c r="A208" s="17"/>
      <c r="B208" s="6"/>
      <c r="C208" s="159" t="s">
        <v>60</v>
      </c>
      <c r="D208" s="160"/>
      <c r="E208" s="160"/>
      <c r="F208" s="160"/>
      <c r="G208" s="160"/>
      <c r="H208" s="71">
        <f>IF(OR(G201="",G201=0,G207=0),0,G207/(G202*G201))</f>
        <v>0</v>
      </c>
      <c r="I208" s="5"/>
      <c r="J208" s="5"/>
      <c r="K208" s="5"/>
      <c r="L208" s="5"/>
      <c r="M208" s="5"/>
      <c r="N208" s="5"/>
    </row>
    <row r="209" spans="1:14" x14ac:dyDescent="0.25">
      <c r="A209" s="17"/>
      <c r="B209" s="6"/>
      <c r="C209" s="159" t="s">
        <v>61</v>
      </c>
      <c r="D209" s="160"/>
      <c r="E209" s="160"/>
      <c r="F209" s="160"/>
      <c r="G209" s="160"/>
      <c r="H209" s="22">
        <f>IF(H208&lt;=J201,K201,IF(H208&lt;=J202,K202,IF(H208&lt;=J203,K203,K204)))</f>
        <v>60</v>
      </c>
      <c r="I209" s="5"/>
      <c r="J209" s="23"/>
      <c r="K209" s="5"/>
      <c r="L209" s="5"/>
      <c r="M209" s="5"/>
      <c r="N209" s="5"/>
    </row>
    <row r="210" spans="1:14" x14ac:dyDescent="0.25">
      <c r="A210" s="14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</row>
    <row r="211" spans="1:14" x14ac:dyDescent="0.25">
      <c r="A211" s="17"/>
      <c r="B211" s="6"/>
      <c r="C211" s="219" t="s">
        <v>62</v>
      </c>
      <c r="D211" s="160"/>
      <c r="E211" s="160"/>
      <c r="F211" s="160"/>
      <c r="G211" s="160"/>
      <c r="H211" s="160"/>
      <c r="I211" s="7" t="s">
        <v>63</v>
      </c>
      <c r="J211" s="7" t="s">
        <v>64</v>
      </c>
      <c r="K211" s="7" t="s">
        <v>52</v>
      </c>
      <c r="L211" s="6"/>
      <c r="M211" s="5"/>
      <c r="N211" s="5"/>
    </row>
    <row r="212" spans="1:14" x14ac:dyDescent="0.25">
      <c r="A212" s="17"/>
      <c r="B212" s="6"/>
      <c r="C212" s="159" t="s">
        <v>65</v>
      </c>
      <c r="D212" s="160"/>
      <c r="E212" s="160"/>
      <c r="F212" s="160"/>
      <c r="G212" s="160"/>
      <c r="H212" s="67" t="e">
        <f>VLOOKUP(A185,'CAPACIDAD FINANCIERA'!$A$6:$AK$308,5,FALSE)</f>
        <v>#N/A</v>
      </c>
      <c r="I212" s="24">
        <v>0</v>
      </c>
      <c r="J212" s="24">
        <v>0.5</v>
      </c>
      <c r="K212" s="70">
        <v>20</v>
      </c>
      <c r="L212" s="4"/>
      <c r="M212" s="5"/>
      <c r="N212" s="5"/>
    </row>
    <row r="213" spans="1:14" x14ac:dyDescent="0.25">
      <c r="A213" s="17"/>
      <c r="B213" s="6"/>
      <c r="C213" s="159" t="s">
        <v>66</v>
      </c>
      <c r="D213" s="160"/>
      <c r="E213" s="160"/>
      <c r="F213" s="160"/>
      <c r="G213" s="160"/>
      <c r="H213" s="67" t="e">
        <f>VLOOKUP(A185,'CAPACIDAD FINANCIERA'!$A$6:$AK$308,7,FALSE)</f>
        <v>#N/A</v>
      </c>
      <c r="I213" s="24">
        <v>0.5</v>
      </c>
      <c r="J213" s="24">
        <v>0.75</v>
      </c>
      <c r="K213" s="70">
        <v>25</v>
      </c>
      <c r="L213" s="4"/>
      <c r="M213" s="5"/>
      <c r="N213" s="5"/>
    </row>
    <row r="214" spans="1:14" x14ac:dyDescent="0.25">
      <c r="A214" s="17"/>
      <c r="B214" s="6"/>
      <c r="C214" s="159" t="s">
        <v>67</v>
      </c>
      <c r="D214" s="160"/>
      <c r="E214" s="160"/>
      <c r="F214" s="160"/>
      <c r="G214" s="160"/>
      <c r="H214" s="71" t="e">
        <f>ROUND(IF(H212="",0,H212/H213),2)</f>
        <v>#N/A</v>
      </c>
      <c r="I214" s="24">
        <v>0.75</v>
      </c>
      <c r="J214" s="24">
        <v>1</v>
      </c>
      <c r="K214" s="70">
        <v>30</v>
      </c>
      <c r="L214" s="4"/>
      <c r="M214" s="5"/>
      <c r="N214" s="5"/>
    </row>
    <row r="215" spans="1:14" x14ac:dyDescent="0.25">
      <c r="A215" s="17"/>
      <c r="B215" s="6"/>
      <c r="C215" s="159" t="s">
        <v>68</v>
      </c>
      <c r="D215" s="160"/>
      <c r="E215" s="160"/>
      <c r="F215" s="160"/>
      <c r="G215" s="160"/>
      <c r="H215" s="22" t="e">
        <f>IF(H214="",0,IF(H214&lt;J212,K212,IF(H214&lt;J213,K213,IF(H214&lt;J214,K214,IF(H214&lt;J215,K215,K216)))))</f>
        <v>#N/A</v>
      </c>
      <c r="I215" s="24">
        <v>1</v>
      </c>
      <c r="J215" s="24">
        <v>1.5</v>
      </c>
      <c r="K215" s="70">
        <v>35</v>
      </c>
      <c r="L215" s="4"/>
      <c r="M215" s="5"/>
      <c r="N215" s="5"/>
    </row>
    <row r="216" spans="1:14" x14ac:dyDescent="0.25">
      <c r="A216" s="17"/>
      <c r="B216" s="6"/>
      <c r="C216" s="5"/>
      <c r="D216" s="5"/>
      <c r="E216" s="5"/>
      <c r="F216" s="5"/>
      <c r="G216" s="5"/>
      <c r="H216" s="5"/>
      <c r="I216" s="24">
        <v>1.5</v>
      </c>
      <c r="J216" s="24" t="s">
        <v>57</v>
      </c>
      <c r="K216" s="70">
        <v>40</v>
      </c>
      <c r="L216" s="4"/>
      <c r="M216" s="5"/>
      <c r="N216" s="5"/>
    </row>
    <row r="217" spans="1:14" x14ac:dyDescent="0.25">
      <c r="A217" s="14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</row>
    <row r="218" spans="1:14" x14ac:dyDescent="0.25">
      <c r="A218" s="17"/>
      <c r="B218" s="6"/>
      <c r="C218" s="219" t="s">
        <v>69</v>
      </c>
      <c r="D218" s="160"/>
      <c r="E218" s="160"/>
      <c r="F218" s="160"/>
      <c r="G218" s="160"/>
      <c r="H218" s="160"/>
      <c r="I218" s="7" t="s">
        <v>70</v>
      </c>
      <c r="J218" s="7" t="s">
        <v>71</v>
      </c>
      <c r="K218" s="7" t="s">
        <v>52</v>
      </c>
      <c r="L218" s="6"/>
      <c r="M218" s="5"/>
      <c r="N218" s="5"/>
    </row>
    <row r="219" spans="1:14" x14ac:dyDescent="0.25">
      <c r="A219" s="17"/>
      <c r="B219" s="6"/>
      <c r="C219" s="159" t="s">
        <v>72</v>
      </c>
      <c r="D219" s="160"/>
      <c r="E219" s="160"/>
      <c r="F219" s="160"/>
      <c r="G219" s="160"/>
      <c r="H219" s="25"/>
      <c r="I219" s="26">
        <v>1</v>
      </c>
      <c r="J219" s="26">
        <v>5</v>
      </c>
      <c r="K219" s="70">
        <v>20</v>
      </c>
      <c r="L219" s="4"/>
      <c r="M219" s="5"/>
      <c r="N219" s="5"/>
    </row>
    <row r="220" spans="1:14" x14ac:dyDescent="0.25">
      <c r="A220" s="17"/>
      <c r="B220" s="6"/>
      <c r="C220" s="159" t="s">
        <v>73</v>
      </c>
      <c r="D220" s="160"/>
      <c r="E220" s="160"/>
      <c r="F220" s="160"/>
      <c r="G220" s="160"/>
      <c r="H220" s="22">
        <f>IF(H219&lt;I219,0,IF(H219&lt;=J219,K219,IF(H219&lt;=J220,K220,K221)))</f>
        <v>0</v>
      </c>
      <c r="I220" s="26">
        <v>6</v>
      </c>
      <c r="J220" s="26">
        <v>10</v>
      </c>
      <c r="K220" s="70">
        <v>30</v>
      </c>
      <c r="L220" s="4"/>
      <c r="M220" s="5"/>
      <c r="N220" s="5"/>
    </row>
    <row r="221" spans="1:14" x14ac:dyDescent="0.25">
      <c r="A221" s="17"/>
      <c r="B221" s="6"/>
      <c r="C221" s="5"/>
      <c r="D221" s="5"/>
      <c r="E221" s="5"/>
      <c r="F221" s="5"/>
      <c r="G221" s="5"/>
      <c r="H221" s="5"/>
      <c r="I221" s="26">
        <v>11</v>
      </c>
      <c r="J221" s="24" t="s">
        <v>57</v>
      </c>
      <c r="K221" s="70">
        <v>40</v>
      </c>
      <c r="L221" s="4"/>
      <c r="M221" s="5"/>
      <c r="N221" s="5"/>
    </row>
    <row r="222" spans="1:14" x14ac:dyDescent="0.25">
      <c r="A222" s="14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</row>
    <row r="223" spans="1:14" x14ac:dyDescent="0.25">
      <c r="A223" s="17"/>
      <c r="B223" s="6"/>
      <c r="C223" s="222" t="s">
        <v>74</v>
      </c>
      <c r="D223" s="160"/>
      <c r="E223" s="160"/>
      <c r="F223" s="160"/>
      <c r="G223" s="160"/>
      <c r="H223" s="160"/>
      <c r="I223" s="160"/>
      <c r="J223" s="160"/>
      <c r="K223" s="160"/>
      <c r="L223" s="160"/>
      <c r="M223" s="160"/>
      <c r="N223" s="160"/>
    </row>
    <row r="224" spans="1:14" x14ac:dyDescent="0.25">
      <c r="A224" s="27"/>
      <c r="B224" s="28"/>
      <c r="C224" s="162" t="s">
        <v>75</v>
      </c>
      <c r="D224" s="160"/>
      <c r="E224" s="160"/>
      <c r="F224" s="160"/>
      <c r="G224" s="160"/>
      <c r="H224" s="160"/>
      <c r="I224" s="160"/>
      <c r="J224" s="160"/>
      <c r="K224" s="160"/>
      <c r="L224" s="160"/>
      <c r="M224" s="160"/>
      <c r="N224" s="160"/>
    </row>
    <row r="225" spans="1:14" ht="36" x14ac:dyDescent="0.25">
      <c r="A225" s="29"/>
      <c r="B225" s="28"/>
      <c r="C225" s="69" t="s">
        <v>76</v>
      </c>
      <c r="D225" s="70" t="s">
        <v>77</v>
      </c>
      <c r="E225" s="70" t="s">
        <v>56</v>
      </c>
      <c r="F225" s="70" t="s">
        <v>78</v>
      </c>
      <c r="G225" s="30" t="s">
        <v>123</v>
      </c>
      <c r="H225" s="70" t="s">
        <v>80</v>
      </c>
      <c r="I225" s="70" t="s">
        <v>81</v>
      </c>
      <c r="J225" s="70" t="s">
        <v>82</v>
      </c>
      <c r="K225" s="70" t="s">
        <v>83</v>
      </c>
      <c r="L225" s="70"/>
      <c r="M225" s="30" t="s">
        <v>84</v>
      </c>
      <c r="N225" s="70" t="s">
        <v>85</v>
      </c>
    </row>
    <row r="226" spans="1:14" hidden="1" x14ac:dyDescent="0.25">
      <c r="A226" s="29"/>
      <c r="B226" s="28"/>
      <c r="C226" s="69"/>
      <c r="D226" s="70"/>
      <c r="E226" s="70"/>
      <c r="F226" s="70"/>
      <c r="G226" s="70"/>
      <c r="H226" s="70"/>
      <c r="I226" s="70"/>
      <c r="J226" s="70"/>
      <c r="K226" s="70"/>
      <c r="L226" s="70"/>
      <c r="M226" s="30"/>
      <c r="N226" s="70"/>
    </row>
    <row r="227" spans="1:14" x14ac:dyDescent="0.25">
      <c r="A227" s="29"/>
      <c r="B227" s="28"/>
      <c r="C227" s="72"/>
      <c r="D227" s="31"/>
      <c r="E227" s="57"/>
      <c r="F227" s="56"/>
      <c r="G227" s="34"/>
      <c r="H227" s="35"/>
      <c r="I227" s="35"/>
      <c r="J227" s="35"/>
      <c r="K227" s="35"/>
      <c r="L227" s="35"/>
      <c r="M227" s="24" t="str">
        <f t="shared" ref="M227:M231" si="6">IF(C227="","",IF(IF(H227&lt;&gt;"",IF(I227&lt;&gt;"",IF(J227&lt;&gt;"",IF(K227&lt;&gt;"",G227+F227*30+(I227-H227)+(K227-J227)-$E$6,G227+F227*30+(I227-H227)-J227),G227+F227*30+(I227-H227)-$E$6),G227+F227*30-H227),G227+F227*30-$E$6)&lt;0,0,IF(H227&lt;&gt;"",IF(I227&lt;&gt;"",IF(J227&lt;&gt;"",IF(K227&lt;&gt;"",G227+F227*30+(I227-H227)+(K227-J227)-$E$6,G227+F227*30+(I227-H227)-J227),G227+F227*30+(I227-H227)-$E$6),G227+F227*30-H227),G227+F227*30-$E$6)))</f>
        <v/>
      </c>
      <c r="N227" s="65" t="str">
        <f t="shared" ref="N227:N231" si="7">IF(C227="","",IF(M227&lt;360,D227*E227*M227/(F227*30),D227*E227*360/(F227*30)))</f>
        <v/>
      </c>
    </row>
    <row r="228" spans="1:14" x14ac:dyDescent="0.25">
      <c r="A228" s="29"/>
      <c r="B228" s="28"/>
      <c r="C228" s="72"/>
      <c r="D228" s="31"/>
      <c r="E228" s="57"/>
      <c r="F228" s="56"/>
      <c r="G228" s="34"/>
      <c r="H228" s="35"/>
      <c r="I228" s="35"/>
      <c r="J228" s="35"/>
      <c r="K228" s="35"/>
      <c r="L228" s="35"/>
      <c r="M228" s="24" t="str">
        <f t="shared" si="6"/>
        <v/>
      </c>
      <c r="N228" s="65" t="str">
        <f t="shared" si="7"/>
        <v/>
      </c>
    </row>
    <row r="229" spans="1:14" x14ac:dyDescent="0.25">
      <c r="A229" s="29"/>
      <c r="B229" s="28"/>
      <c r="C229" s="72"/>
      <c r="D229" s="31"/>
      <c r="E229" s="57"/>
      <c r="F229" s="56"/>
      <c r="G229" s="34"/>
      <c r="H229" s="35"/>
      <c r="I229" s="35"/>
      <c r="J229" s="35"/>
      <c r="K229" s="35"/>
      <c r="L229" s="35"/>
      <c r="M229" s="24" t="str">
        <f t="shared" si="6"/>
        <v/>
      </c>
      <c r="N229" s="65" t="str">
        <f t="shared" si="7"/>
        <v/>
      </c>
    </row>
    <row r="230" spans="1:14" x14ac:dyDescent="0.25">
      <c r="A230" s="29"/>
      <c r="B230" s="28"/>
      <c r="C230" s="72"/>
      <c r="D230" s="31"/>
      <c r="E230" s="57"/>
      <c r="F230" s="56"/>
      <c r="G230" s="34"/>
      <c r="H230" s="35"/>
      <c r="I230" s="35"/>
      <c r="J230" s="35"/>
      <c r="K230" s="35"/>
      <c r="L230" s="35"/>
      <c r="M230" s="24" t="str">
        <f t="shared" si="6"/>
        <v/>
      </c>
      <c r="N230" s="65" t="str">
        <f t="shared" si="7"/>
        <v/>
      </c>
    </row>
    <row r="231" spans="1:14" x14ac:dyDescent="0.25">
      <c r="A231" s="29"/>
      <c r="B231" s="28"/>
      <c r="C231" s="72"/>
      <c r="D231" s="31"/>
      <c r="E231" s="57"/>
      <c r="F231" s="56"/>
      <c r="G231" s="34"/>
      <c r="H231" s="35"/>
      <c r="I231" s="35"/>
      <c r="J231" s="35"/>
      <c r="K231" s="35"/>
      <c r="L231" s="35"/>
      <c r="M231" s="24" t="str">
        <f t="shared" si="6"/>
        <v/>
      </c>
      <c r="N231" s="65" t="str">
        <f t="shared" si="7"/>
        <v/>
      </c>
    </row>
    <row r="232" spans="1:14" hidden="1" x14ac:dyDescent="0.25">
      <c r="A232" s="29"/>
      <c r="B232" s="28"/>
      <c r="C232" s="72"/>
      <c r="D232" s="31"/>
      <c r="E232" s="32"/>
      <c r="F232" s="33"/>
      <c r="G232" s="34"/>
      <c r="H232" s="35"/>
      <c r="I232" s="35"/>
      <c r="J232" s="35"/>
      <c r="K232" s="35"/>
      <c r="L232" s="35"/>
      <c r="M232" s="70"/>
      <c r="N232" s="65"/>
    </row>
    <row r="233" spans="1:14" x14ac:dyDescent="0.25">
      <c r="A233" s="29"/>
      <c r="B233" s="1"/>
      <c r="C233" s="159" t="s">
        <v>86</v>
      </c>
      <c r="D233" s="160"/>
      <c r="E233" s="160"/>
      <c r="F233" s="160"/>
      <c r="G233" s="160"/>
      <c r="H233" s="160"/>
      <c r="I233" s="160"/>
      <c r="J233" s="160"/>
      <c r="K233" s="160"/>
      <c r="L233" s="160"/>
      <c r="M233" s="160"/>
      <c r="N233" s="66">
        <f>SUM(N226:N232)</f>
        <v>0</v>
      </c>
    </row>
    <row r="235" spans="1:14" x14ac:dyDescent="0.25">
      <c r="A235" s="197" t="s">
        <v>95</v>
      </c>
      <c r="B235" s="197"/>
      <c r="C235" s="197" t="s">
        <v>96</v>
      </c>
      <c r="D235" s="197"/>
      <c r="E235" s="197"/>
      <c r="F235" s="197" t="s">
        <v>97</v>
      </c>
      <c r="G235" s="197"/>
      <c r="H235" s="197"/>
      <c r="I235" s="197"/>
      <c r="J235" s="197"/>
      <c r="K235" s="197"/>
      <c r="L235" s="197"/>
      <c r="M235" s="197"/>
      <c r="N235" s="197"/>
    </row>
    <row r="236" spans="1:14" x14ac:dyDescent="0.25">
      <c r="A236" s="197" t="str">
        <f>IF(A28="N/A","",A28)</f>
        <v/>
      </c>
      <c r="B236" s="197"/>
      <c r="C236" s="198" t="s">
        <v>91</v>
      </c>
      <c r="D236" s="199" t="str">
        <f>IF(A236="","",VLOOKUP(A236,'CAPACIDAD RESIDUAL'!$A$6:$D$304,2,FALSE))</f>
        <v/>
      </c>
      <c r="E236" s="200"/>
      <c r="F236" s="197" t="str">
        <f>$C$38</f>
        <v>Capacidad de Organización (CO)</v>
      </c>
      <c r="G236" s="197"/>
      <c r="H236" s="197"/>
      <c r="I236" s="58" t="str">
        <f>IF(A236="","",G249)</f>
        <v/>
      </c>
      <c r="J236" s="203" t="s">
        <v>88</v>
      </c>
      <c r="K236" s="183" t="str">
        <f>IF(A236="","",I236*(I237+I238+I239)/100-I240)</f>
        <v/>
      </c>
      <c r="L236" s="184"/>
      <c r="M236" s="184"/>
      <c r="N236" s="185"/>
    </row>
    <row r="237" spans="1:14" x14ac:dyDescent="0.25">
      <c r="A237" s="197"/>
      <c r="B237" s="197"/>
      <c r="C237" s="198"/>
      <c r="D237" s="201"/>
      <c r="E237" s="202"/>
      <c r="F237" s="197" t="str">
        <f>$C$47</f>
        <v>Experiencia (E)</v>
      </c>
      <c r="G237" s="197"/>
      <c r="H237" s="197"/>
      <c r="I237" s="22" t="str">
        <f>IF(A236="","",H260)</f>
        <v/>
      </c>
      <c r="J237" s="204"/>
      <c r="K237" s="186"/>
      <c r="L237" s="187"/>
      <c r="M237" s="187"/>
      <c r="N237" s="188"/>
    </row>
    <row r="238" spans="1:14" x14ac:dyDescent="0.25">
      <c r="A238" s="197"/>
      <c r="B238" s="197"/>
      <c r="C238" s="198" t="s">
        <v>92</v>
      </c>
      <c r="D238" s="205" t="str">
        <f>IF(A236="","",VLOOKUP(A236,'CAPACIDAD RESIDUAL'!$A$6:$D$304,3,FALSE))</f>
        <v/>
      </c>
      <c r="E238" s="206"/>
      <c r="F238" s="197" t="str">
        <f>$C$58</f>
        <v>Capacidad Financiera (CF)</v>
      </c>
      <c r="G238" s="197"/>
      <c r="H238" s="197"/>
      <c r="I238" s="22" t="str">
        <f>IF(A236="","",H266)</f>
        <v/>
      </c>
      <c r="J238" s="191" t="str">
        <f>IF(A236="","",IF(K236&gt;$E$9,"CUMPLE","NO CUMPLE"))</f>
        <v/>
      </c>
      <c r="K238" s="191"/>
      <c r="L238" s="191"/>
      <c r="M238" s="191"/>
      <c r="N238" s="191"/>
    </row>
    <row r="239" spans="1:14" x14ac:dyDescent="0.25">
      <c r="A239" s="197"/>
      <c r="B239" s="197"/>
      <c r="C239" s="198"/>
      <c r="D239" s="207"/>
      <c r="E239" s="208"/>
      <c r="F239" s="197" t="str">
        <f>$C$65</f>
        <v>Capacidad Técnica (CT)</v>
      </c>
      <c r="G239" s="197"/>
      <c r="H239" s="197"/>
      <c r="I239" s="22" t="str">
        <f>IF(A236="","",H271)</f>
        <v/>
      </c>
      <c r="J239" s="191"/>
      <c r="K239" s="191"/>
      <c r="L239" s="191"/>
      <c r="M239" s="191"/>
      <c r="N239" s="191"/>
    </row>
    <row r="240" spans="1:14" x14ac:dyDescent="0.25">
      <c r="A240" s="197"/>
      <c r="B240" s="197"/>
      <c r="C240" s="73" t="s">
        <v>93</v>
      </c>
      <c r="D240" s="209" t="str">
        <f>IF(A236="","",VLOOKUP(A236,'CAPACIDAD RESIDUAL'!$A$6:$D$304,4,FALSE))</f>
        <v/>
      </c>
      <c r="E240" s="210"/>
      <c r="F240" s="211" t="str">
        <f>$C$70</f>
        <v>Saldo de los Contratos en Ejecución (SCE)</v>
      </c>
      <c r="G240" s="211"/>
      <c r="H240" s="211"/>
      <c r="I240" s="58" t="str">
        <f>IF(A236="","",N284)</f>
        <v/>
      </c>
      <c r="J240" s="191"/>
      <c r="K240" s="191"/>
      <c r="L240" s="191"/>
      <c r="M240" s="191"/>
      <c r="N240" s="191"/>
    </row>
    <row r="241" spans="1:14" x14ac:dyDescent="0.25">
      <c r="A241" s="14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</row>
    <row r="242" spans="1:14" x14ac:dyDescent="0.25">
      <c r="A242" s="44"/>
      <c r="C242" s="219" t="s">
        <v>34</v>
      </c>
      <c r="D242" s="160"/>
      <c r="E242" s="160"/>
      <c r="F242" s="160"/>
      <c r="G242" s="160"/>
      <c r="H242" s="160"/>
      <c r="I242" s="220" t="s">
        <v>35</v>
      </c>
      <c r="J242" s="160"/>
      <c r="K242" s="220" t="s">
        <v>36</v>
      </c>
      <c r="L242" s="220"/>
      <c r="M242" s="160"/>
      <c r="N242" s="160"/>
    </row>
    <row r="243" spans="1:14" x14ac:dyDescent="0.25">
      <c r="A243" s="17"/>
      <c r="B243" s="6"/>
      <c r="C243" s="161" t="s">
        <v>37</v>
      </c>
      <c r="D243" s="160"/>
      <c r="E243" s="160"/>
      <c r="F243" s="160"/>
      <c r="G243" s="221" t="s">
        <v>27</v>
      </c>
      <c r="H243" s="160"/>
      <c r="I243" s="214" t="s">
        <v>38</v>
      </c>
      <c r="J243" s="160"/>
      <c r="K243" s="214" t="s">
        <v>39</v>
      </c>
      <c r="L243" s="214"/>
      <c r="M243" s="160"/>
      <c r="N243" s="160"/>
    </row>
    <row r="244" spans="1:14" x14ac:dyDescent="0.25">
      <c r="A244" s="17"/>
      <c r="B244" s="6"/>
      <c r="C244" s="161" t="s">
        <v>40</v>
      </c>
      <c r="D244" s="160"/>
      <c r="E244" s="160"/>
      <c r="F244" s="160"/>
      <c r="G244" s="212"/>
      <c r="H244" s="213"/>
      <c r="I244" s="214" t="s">
        <v>41</v>
      </c>
      <c r="J244" s="160"/>
      <c r="K244" s="214" t="s">
        <v>42</v>
      </c>
      <c r="L244" s="214"/>
      <c r="M244" s="160"/>
      <c r="N244" s="160"/>
    </row>
    <row r="245" spans="1:14" x14ac:dyDescent="0.25">
      <c r="A245" s="17"/>
      <c r="B245" s="6"/>
      <c r="C245" s="159" t="str">
        <f>IF(G243="","",IF(G243=$S$5,"Valor umbral Mipyme.","Total Ingresos Operacionales Acreditados"))</f>
        <v>Total Ingresos Operacionales Acreditados</v>
      </c>
      <c r="D245" s="160"/>
      <c r="E245" s="160"/>
      <c r="F245" s="160"/>
      <c r="G245" s="215"/>
      <c r="H245" s="216"/>
      <c r="I245" s="214" t="s">
        <v>43</v>
      </c>
      <c r="J245" s="160"/>
      <c r="K245" s="18" t="s">
        <v>44</v>
      </c>
      <c r="L245" s="18"/>
      <c r="M245" s="217">
        <v>457297264</v>
      </c>
      <c r="N245" s="218"/>
    </row>
    <row r="246" spans="1:14" x14ac:dyDescent="0.25">
      <c r="A246" s="17"/>
      <c r="B246" s="6"/>
      <c r="C246" s="162" t="s">
        <v>45</v>
      </c>
      <c r="D246" s="160"/>
      <c r="E246" s="160"/>
      <c r="F246" s="160"/>
      <c r="G246" s="160"/>
      <c r="H246" s="160"/>
      <c r="I246" s="19"/>
      <c r="J246" s="19"/>
      <c r="K246" s="20"/>
      <c r="L246" s="20"/>
      <c r="M246" s="21"/>
      <c r="N246" s="21"/>
    </row>
    <row r="247" spans="1:14" x14ac:dyDescent="0.25">
      <c r="A247" s="17"/>
      <c r="B247" s="6"/>
      <c r="C247" s="69" t="s">
        <v>46</v>
      </c>
      <c r="D247" s="225"/>
      <c r="E247" s="160"/>
      <c r="F247" s="226" t="s">
        <v>47</v>
      </c>
      <c r="G247" s="160"/>
      <c r="H247" s="72" t="s">
        <v>87</v>
      </c>
      <c r="I247" s="19"/>
      <c r="J247" s="19"/>
      <c r="K247" s="20"/>
      <c r="L247" s="20"/>
      <c r="M247" s="21"/>
      <c r="N247" s="21"/>
    </row>
    <row r="248" spans="1:14" x14ac:dyDescent="0.25">
      <c r="A248" s="17"/>
      <c r="B248" s="6"/>
      <c r="C248" s="69" t="s">
        <v>48</v>
      </c>
      <c r="D248" s="225"/>
      <c r="E248" s="160"/>
      <c r="F248" s="226" t="s">
        <v>47</v>
      </c>
      <c r="G248" s="160"/>
      <c r="H248" s="72" t="s">
        <v>87</v>
      </c>
      <c r="I248" s="19"/>
      <c r="J248" s="19"/>
      <c r="K248" s="20"/>
      <c r="L248" s="20"/>
      <c r="M248" s="21"/>
      <c r="N248" s="21"/>
    </row>
    <row r="249" spans="1:14" x14ac:dyDescent="0.25">
      <c r="A249" s="17"/>
      <c r="B249" s="6"/>
      <c r="C249" s="69" t="s">
        <v>49</v>
      </c>
      <c r="D249" s="69"/>
      <c r="E249" s="69"/>
      <c r="F249" s="69"/>
      <c r="G249" s="227">
        <f>IF(OR(H247="SIN VIGENCIA",H247="NO APORTA",H248="SIN VIGENCIA",H248="NO APORTA"),0,IF(G243="",0,IF(G243=$S$5,M245,IF(G245&lt;M245,M245,G245))))</f>
        <v>457297264</v>
      </c>
      <c r="H249" s="228"/>
      <c r="I249" s="5"/>
      <c r="J249" s="5"/>
      <c r="K249" s="5"/>
      <c r="L249" s="5"/>
      <c r="M249" s="5"/>
      <c r="N249" s="5"/>
    </row>
    <row r="250" spans="1:14" x14ac:dyDescent="0.25">
      <c r="A250" s="14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</row>
    <row r="251" spans="1:14" x14ac:dyDescent="0.25">
      <c r="A251" s="17"/>
      <c r="B251" s="6"/>
      <c r="C251" s="222" t="s">
        <v>26</v>
      </c>
      <c r="D251" s="160"/>
      <c r="E251" s="160"/>
      <c r="F251" s="160"/>
      <c r="G251" s="160"/>
      <c r="H251" s="160"/>
      <c r="I251" s="7" t="s">
        <v>50</v>
      </c>
      <c r="J251" s="7" t="s">
        <v>51</v>
      </c>
      <c r="K251" s="7" t="s">
        <v>52</v>
      </c>
      <c r="L251" s="6"/>
      <c r="M251" s="5"/>
      <c r="N251" s="5"/>
    </row>
    <row r="252" spans="1:14" x14ac:dyDescent="0.25">
      <c r="A252" s="17"/>
      <c r="B252" s="6"/>
      <c r="C252" s="161" t="s">
        <v>53</v>
      </c>
      <c r="D252" s="160"/>
      <c r="E252" s="160"/>
      <c r="F252" s="160"/>
      <c r="G252" s="223" t="str">
        <f>D240</f>
        <v/>
      </c>
      <c r="H252" s="160"/>
      <c r="I252" s="70">
        <v>0</v>
      </c>
      <c r="J252" s="70">
        <v>3</v>
      </c>
      <c r="K252" s="70">
        <v>60</v>
      </c>
      <c r="L252" s="4"/>
      <c r="M252" s="5"/>
      <c r="N252" s="5"/>
    </row>
    <row r="253" spans="1:14" x14ac:dyDescent="0.25">
      <c r="A253" s="17"/>
      <c r="B253" s="6"/>
      <c r="C253" s="161" t="s">
        <v>22</v>
      </c>
      <c r="D253" s="160"/>
      <c r="E253" s="160"/>
      <c r="F253" s="160"/>
      <c r="G253" s="224">
        <f>$E$5</f>
        <v>1169500932</v>
      </c>
      <c r="H253" s="216"/>
      <c r="I253" s="70">
        <v>3</v>
      </c>
      <c r="J253" s="70">
        <v>6</v>
      </c>
      <c r="K253" s="70">
        <v>80</v>
      </c>
      <c r="L253" s="4"/>
      <c r="M253" s="5"/>
      <c r="N253" s="5"/>
    </row>
    <row r="254" spans="1:14" x14ac:dyDescent="0.25">
      <c r="A254" s="17"/>
      <c r="B254" s="6"/>
      <c r="C254" s="162" t="s">
        <v>54</v>
      </c>
      <c r="D254" s="160"/>
      <c r="E254" s="160"/>
      <c r="F254" s="160"/>
      <c r="G254" s="160"/>
      <c r="H254" s="160"/>
      <c r="I254" s="70">
        <v>6</v>
      </c>
      <c r="J254" s="70">
        <v>10</v>
      </c>
      <c r="K254" s="70">
        <v>100</v>
      </c>
      <c r="L254" s="4"/>
      <c r="M254" s="5"/>
      <c r="N254" s="5"/>
    </row>
    <row r="255" spans="1:14" x14ac:dyDescent="0.25">
      <c r="A255" s="17"/>
      <c r="B255" s="6"/>
      <c r="C255" s="161" t="s">
        <v>55</v>
      </c>
      <c r="D255" s="160"/>
      <c r="E255" s="160"/>
      <c r="F255" s="160"/>
      <c r="G255" s="166" t="s">
        <v>56</v>
      </c>
      <c r="H255" s="160"/>
      <c r="I255" s="70">
        <v>10</v>
      </c>
      <c r="J255" s="70" t="s">
        <v>57</v>
      </c>
      <c r="K255" s="70">
        <v>120</v>
      </c>
      <c r="L255" s="4"/>
      <c r="M255" s="5"/>
      <c r="N255" s="5"/>
    </row>
    <row r="256" spans="1:14" x14ac:dyDescent="0.25">
      <c r="A256" s="17"/>
      <c r="B256" s="6"/>
      <c r="C256" s="162" t="s">
        <v>58</v>
      </c>
      <c r="D256" s="160"/>
      <c r="E256" s="160"/>
      <c r="F256" s="160"/>
      <c r="G256" s="230"/>
      <c r="H256" s="160"/>
      <c r="I256" s="5"/>
      <c r="J256" s="5"/>
      <c r="K256" s="5"/>
      <c r="L256" s="5"/>
      <c r="M256" s="5"/>
      <c r="N256" s="5"/>
    </row>
    <row r="257" spans="1:14" x14ac:dyDescent="0.25">
      <c r="A257" s="17"/>
      <c r="B257" s="6"/>
      <c r="C257" s="161"/>
      <c r="D257" s="160"/>
      <c r="E257" s="160"/>
      <c r="F257" s="160"/>
      <c r="G257" s="231"/>
      <c r="H257" s="160"/>
      <c r="I257" s="5"/>
      <c r="J257" s="5"/>
      <c r="K257" s="5"/>
      <c r="L257" s="5"/>
      <c r="M257" s="5"/>
      <c r="N257" s="5"/>
    </row>
    <row r="258" spans="1:14" x14ac:dyDescent="0.25">
      <c r="A258" s="17"/>
      <c r="B258" s="6"/>
      <c r="C258" s="159" t="s">
        <v>59</v>
      </c>
      <c r="D258" s="160"/>
      <c r="E258" s="160"/>
      <c r="F258" s="160"/>
      <c r="G258" s="229">
        <f>SUM(G255:H257)</f>
        <v>0</v>
      </c>
      <c r="H258" s="160"/>
      <c r="I258" s="5"/>
      <c r="J258" s="5"/>
      <c r="K258" s="5"/>
      <c r="L258" s="5"/>
      <c r="M258" s="5"/>
      <c r="N258" s="5"/>
    </row>
    <row r="259" spans="1:14" x14ac:dyDescent="0.25">
      <c r="A259" s="17"/>
      <c r="B259" s="6"/>
      <c r="C259" s="159" t="s">
        <v>60</v>
      </c>
      <c r="D259" s="160"/>
      <c r="E259" s="160"/>
      <c r="F259" s="160"/>
      <c r="G259" s="160"/>
      <c r="H259" s="71">
        <f>IF(OR(G252="",G252=0,G258=0),0,G258/(G253*G252))</f>
        <v>0</v>
      </c>
      <c r="I259" s="5"/>
      <c r="J259" s="5"/>
      <c r="K259" s="5"/>
      <c r="L259" s="5"/>
      <c r="M259" s="5"/>
      <c r="N259" s="5"/>
    </row>
    <row r="260" spans="1:14" x14ac:dyDescent="0.25">
      <c r="A260" s="17"/>
      <c r="B260" s="6"/>
      <c r="C260" s="159" t="s">
        <v>61</v>
      </c>
      <c r="D260" s="160"/>
      <c r="E260" s="160"/>
      <c r="F260" s="160"/>
      <c r="G260" s="160"/>
      <c r="H260" s="22">
        <f>IF(H259&lt;=J252,K252,IF(H259&lt;=J253,K253,IF(H259&lt;=J254,K254,K255)))</f>
        <v>60</v>
      </c>
      <c r="I260" s="5"/>
      <c r="J260" s="23"/>
      <c r="K260" s="5"/>
      <c r="L260" s="5"/>
      <c r="M260" s="5"/>
      <c r="N260" s="5"/>
    </row>
    <row r="261" spans="1:14" x14ac:dyDescent="0.25">
      <c r="A261" s="14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</row>
    <row r="262" spans="1:14" x14ac:dyDescent="0.25">
      <c r="A262" s="17"/>
      <c r="B262" s="6"/>
      <c r="C262" s="219" t="s">
        <v>62</v>
      </c>
      <c r="D262" s="160"/>
      <c r="E262" s="160"/>
      <c r="F262" s="160"/>
      <c r="G262" s="160"/>
      <c r="H262" s="160"/>
      <c r="I262" s="7" t="s">
        <v>63</v>
      </c>
      <c r="J262" s="7" t="s">
        <v>64</v>
      </c>
      <c r="K262" s="7" t="s">
        <v>52</v>
      </c>
      <c r="L262" s="6"/>
      <c r="M262" s="5"/>
      <c r="N262" s="5"/>
    </row>
    <row r="263" spans="1:14" x14ac:dyDescent="0.25">
      <c r="A263" s="17"/>
      <c r="B263" s="6"/>
      <c r="C263" s="159" t="s">
        <v>65</v>
      </c>
      <c r="D263" s="160"/>
      <c r="E263" s="160"/>
      <c r="F263" s="160"/>
      <c r="G263" s="160"/>
      <c r="H263" s="67" t="e">
        <f>VLOOKUP(A236,'CAPACIDAD FINANCIERA'!$A$6:$AK$308,5,FALSE)</f>
        <v>#N/A</v>
      </c>
      <c r="I263" s="24">
        <v>0</v>
      </c>
      <c r="J263" s="24">
        <v>0.5</v>
      </c>
      <c r="K263" s="70">
        <v>20</v>
      </c>
      <c r="L263" s="4"/>
      <c r="M263" s="5"/>
      <c r="N263" s="5"/>
    </row>
    <row r="264" spans="1:14" x14ac:dyDescent="0.25">
      <c r="A264" s="17"/>
      <c r="B264" s="6"/>
      <c r="C264" s="159" t="s">
        <v>66</v>
      </c>
      <c r="D264" s="160"/>
      <c r="E264" s="160"/>
      <c r="F264" s="160"/>
      <c r="G264" s="160"/>
      <c r="H264" s="67" t="e">
        <f>VLOOKUP(A236,'CAPACIDAD FINANCIERA'!$A$6:$AK$308,7,FALSE)</f>
        <v>#N/A</v>
      </c>
      <c r="I264" s="24">
        <v>0.5</v>
      </c>
      <c r="J264" s="24">
        <v>0.75</v>
      </c>
      <c r="K264" s="70">
        <v>25</v>
      </c>
      <c r="L264" s="4"/>
      <c r="M264" s="5"/>
      <c r="N264" s="5"/>
    </row>
    <row r="265" spans="1:14" x14ac:dyDescent="0.25">
      <c r="A265" s="17"/>
      <c r="B265" s="6"/>
      <c r="C265" s="159" t="s">
        <v>67</v>
      </c>
      <c r="D265" s="160"/>
      <c r="E265" s="160"/>
      <c r="F265" s="160"/>
      <c r="G265" s="160"/>
      <c r="H265" s="71" t="e">
        <f>ROUND(IF(H263="",0,H263/H264),2)</f>
        <v>#N/A</v>
      </c>
      <c r="I265" s="24">
        <v>0.75</v>
      </c>
      <c r="J265" s="24">
        <v>1</v>
      </c>
      <c r="K265" s="70">
        <v>30</v>
      </c>
      <c r="L265" s="4"/>
      <c r="M265" s="5"/>
      <c r="N265" s="5"/>
    </row>
    <row r="266" spans="1:14" x14ac:dyDescent="0.25">
      <c r="A266" s="17"/>
      <c r="B266" s="6"/>
      <c r="C266" s="159" t="s">
        <v>68</v>
      </c>
      <c r="D266" s="160"/>
      <c r="E266" s="160"/>
      <c r="F266" s="160"/>
      <c r="G266" s="160"/>
      <c r="H266" s="22" t="e">
        <f>IF(H265="",0,IF(H265&lt;J263,K263,IF(H265&lt;J264,K264,IF(H265&lt;J265,K265,IF(H265&lt;J266,K266,K267)))))</f>
        <v>#N/A</v>
      </c>
      <c r="I266" s="24">
        <v>1</v>
      </c>
      <c r="J266" s="24">
        <v>1.5</v>
      </c>
      <c r="K266" s="70">
        <v>35</v>
      </c>
      <c r="L266" s="4"/>
      <c r="M266" s="5"/>
      <c r="N266" s="5"/>
    </row>
    <row r="267" spans="1:14" x14ac:dyDescent="0.25">
      <c r="A267" s="17"/>
      <c r="B267" s="6"/>
      <c r="C267" s="5"/>
      <c r="D267" s="5"/>
      <c r="E267" s="5"/>
      <c r="F267" s="5"/>
      <c r="G267" s="5"/>
      <c r="H267" s="5"/>
      <c r="I267" s="24">
        <v>1.5</v>
      </c>
      <c r="J267" s="24" t="s">
        <v>57</v>
      </c>
      <c r="K267" s="70">
        <v>40</v>
      </c>
      <c r="L267" s="4"/>
      <c r="M267" s="5"/>
      <c r="N267" s="5"/>
    </row>
    <row r="268" spans="1:14" x14ac:dyDescent="0.25">
      <c r="A268" s="14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</row>
    <row r="269" spans="1:14" x14ac:dyDescent="0.25">
      <c r="A269" s="17"/>
      <c r="B269" s="6"/>
      <c r="C269" s="219" t="s">
        <v>69</v>
      </c>
      <c r="D269" s="160"/>
      <c r="E269" s="160"/>
      <c r="F269" s="160"/>
      <c r="G269" s="160"/>
      <c r="H269" s="160"/>
      <c r="I269" s="7" t="s">
        <v>70</v>
      </c>
      <c r="J269" s="7" t="s">
        <v>71</v>
      </c>
      <c r="K269" s="7" t="s">
        <v>52</v>
      </c>
      <c r="L269" s="6"/>
      <c r="M269" s="5"/>
      <c r="N269" s="5"/>
    </row>
    <row r="270" spans="1:14" x14ac:dyDescent="0.25">
      <c r="A270" s="17"/>
      <c r="B270" s="6"/>
      <c r="C270" s="159" t="s">
        <v>72</v>
      </c>
      <c r="D270" s="160"/>
      <c r="E270" s="160"/>
      <c r="F270" s="160"/>
      <c r="G270" s="160"/>
      <c r="H270" s="25"/>
      <c r="I270" s="26">
        <v>1</v>
      </c>
      <c r="J270" s="26">
        <v>5</v>
      </c>
      <c r="K270" s="70">
        <v>20</v>
      </c>
      <c r="L270" s="4"/>
      <c r="M270" s="5"/>
      <c r="N270" s="5"/>
    </row>
    <row r="271" spans="1:14" x14ac:dyDescent="0.25">
      <c r="A271" s="17"/>
      <c r="B271" s="6"/>
      <c r="C271" s="159" t="s">
        <v>73</v>
      </c>
      <c r="D271" s="160"/>
      <c r="E271" s="160"/>
      <c r="F271" s="160"/>
      <c r="G271" s="160"/>
      <c r="H271" s="22">
        <f>IF(H270&lt;I270,0,IF(H270&lt;=J270,K270,IF(H270&lt;=J271,K271,K272)))</f>
        <v>0</v>
      </c>
      <c r="I271" s="26">
        <v>6</v>
      </c>
      <c r="J271" s="26">
        <v>10</v>
      </c>
      <c r="K271" s="70">
        <v>30</v>
      </c>
      <c r="L271" s="4"/>
      <c r="M271" s="5"/>
      <c r="N271" s="5"/>
    </row>
    <row r="272" spans="1:14" x14ac:dyDescent="0.25">
      <c r="A272" s="17"/>
      <c r="B272" s="6"/>
      <c r="C272" s="5"/>
      <c r="D272" s="5"/>
      <c r="E272" s="5"/>
      <c r="F272" s="5"/>
      <c r="G272" s="5"/>
      <c r="H272" s="5"/>
      <c r="I272" s="26">
        <v>11</v>
      </c>
      <c r="J272" s="24" t="s">
        <v>57</v>
      </c>
      <c r="K272" s="70">
        <v>40</v>
      </c>
      <c r="L272" s="4"/>
      <c r="M272" s="5"/>
      <c r="N272" s="5"/>
    </row>
    <row r="273" spans="1:14" x14ac:dyDescent="0.25">
      <c r="A273" s="14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</row>
    <row r="274" spans="1:14" x14ac:dyDescent="0.25">
      <c r="A274" s="17"/>
      <c r="B274" s="6"/>
      <c r="C274" s="222" t="s">
        <v>74</v>
      </c>
      <c r="D274" s="160"/>
      <c r="E274" s="160"/>
      <c r="F274" s="160"/>
      <c r="G274" s="160"/>
      <c r="H274" s="160"/>
      <c r="I274" s="160"/>
      <c r="J274" s="160"/>
      <c r="K274" s="160"/>
      <c r="L274" s="160"/>
      <c r="M274" s="160"/>
      <c r="N274" s="160"/>
    </row>
    <row r="275" spans="1:14" x14ac:dyDescent="0.25">
      <c r="A275" s="27"/>
      <c r="B275" s="28"/>
      <c r="C275" s="162" t="s">
        <v>75</v>
      </c>
      <c r="D275" s="160"/>
      <c r="E275" s="160"/>
      <c r="F275" s="160"/>
      <c r="G275" s="160"/>
      <c r="H275" s="160"/>
      <c r="I275" s="160"/>
      <c r="J275" s="160"/>
      <c r="K275" s="160"/>
      <c r="L275" s="160"/>
      <c r="M275" s="160"/>
      <c r="N275" s="160"/>
    </row>
    <row r="276" spans="1:14" ht="36" x14ac:dyDescent="0.25">
      <c r="A276" s="29"/>
      <c r="B276" s="28"/>
      <c r="C276" s="69" t="s">
        <v>76</v>
      </c>
      <c r="D276" s="70" t="s">
        <v>77</v>
      </c>
      <c r="E276" s="70" t="s">
        <v>56</v>
      </c>
      <c r="F276" s="70" t="s">
        <v>78</v>
      </c>
      <c r="G276" s="30" t="s">
        <v>123</v>
      </c>
      <c r="H276" s="70" t="s">
        <v>80</v>
      </c>
      <c r="I276" s="70" t="s">
        <v>81</v>
      </c>
      <c r="J276" s="70" t="s">
        <v>82</v>
      </c>
      <c r="K276" s="70" t="s">
        <v>83</v>
      </c>
      <c r="L276" s="70"/>
      <c r="M276" s="30" t="s">
        <v>84</v>
      </c>
      <c r="N276" s="70" t="s">
        <v>85</v>
      </c>
    </row>
    <row r="277" spans="1:14" hidden="1" x14ac:dyDescent="0.25">
      <c r="A277" s="29"/>
      <c r="B277" s="28"/>
      <c r="C277" s="69"/>
      <c r="D277" s="70"/>
      <c r="E277" s="70"/>
      <c r="F277" s="70"/>
      <c r="G277" s="70"/>
      <c r="H277" s="70"/>
      <c r="I277" s="70"/>
      <c r="J277" s="70"/>
      <c r="K277" s="70"/>
      <c r="L277" s="70"/>
      <c r="M277" s="30"/>
      <c r="N277" s="70"/>
    </row>
    <row r="278" spans="1:14" x14ac:dyDescent="0.25">
      <c r="A278" s="29"/>
      <c r="B278" s="28"/>
      <c r="C278" s="72"/>
      <c r="D278" s="31"/>
      <c r="E278" s="57"/>
      <c r="F278" s="56"/>
      <c r="G278" s="34"/>
      <c r="H278" s="35"/>
      <c r="I278" s="35"/>
      <c r="J278" s="35"/>
      <c r="K278" s="35"/>
      <c r="L278" s="35"/>
      <c r="M278" s="24" t="str">
        <f t="shared" ref="M278:M282" si="8">IF(C278="","",IF(IF(H278&lt;&gt;"",IF(I278&lt;&gt;"",IF(J278&lt;&gt;"",IF(K278&lt;&gt;"",G278+F278*30+(I278-H278)+(K278-J278)-$E$6,G278+F278*30+(I278-H278)-J278),G278+F278*30+(I278-H278)-$E$6),G278+F278*30-H278),G278+F278*30-$E$6)&lt;0,0,IF(H278&lt;&gt;"",IF(I278&lt;&gt;"",IF(J278&lt;&gt;"",IF(K278&lt;&gt;"",G278+F278*30+(I278-H278)+(K278-J278)-$E$6,G278+F278*30+(I278-H278)-J278),G278+F278*30+(I278-H278)-$E$6),G278+F278*30-H278),G278+F278*30-$E$6)))</f>
        <v/>
      </c>
      <c r="N278" s="65" t="str">
        <f t="shared" ref="N278:N282" si="9">IF(C278="","",IF(M278&lt;360,D278*E278*M278/(F278*30),D278*E278*360/(F278*30)))</f>
        <v/>
      </c>
    </row>
    <row r="279" spans="1:14" x14ac:dyDescent="0.25">
      <c r="A279" s="29"/>
      <c r="B279" s="28"/>
      <c r="C279" s="72"/>
      <c r="D279" s="31"/>
      <c r="E279" s="57"/>
      <c r="F279" s="56"/>
      <c r="G279" s="34"/>
      <c r="H279" s="35"/>
      <c r="I279" s="35"/>
      <c r="J279" s="35"/>
      <c r="K279" s="35"/>
      <c r="L279" s="35"/>
      <c r="M279" s="24" t="str">
        <f t="shared" si="8"/>
        <v/>
      </c>
      <c r="N279" s="65" t="str">
        <f t="shared" si="9"/>
        <v/>
      </c>
    </row>
    <row r="280" spans="1:14" x14ac:dyDescent="0.25">
      <c r="A280" s="29"/>
      <c r="B280" s="28"/>
      <c r="C280" s="72"/>
      <c r="D280" s="31"/>
      <c r="E280" s="57"/>
      <c r="F280" s="56"/>
      <c r="G280" s="34"/>
      <c r="H280" s="35"/>
      <c r="I280" s="35"/>
      <c r="J280" s="35"/>
      <c r="K280" s="35"/>
      <c r="L280" s="35"/>
      <c r="M280" s="24" t="str">
        <f t="shared" si="8"/>
        <v/>
      </c>
      <c r="N280" s="65" t="str">
        <f t="shared" si="9"/>
        <v/>
      </c>
    </row>
    <row r="281" spans="1:14" x14ac:dyDescent="0.25">
      <c r="A281" s="29"/>
      <c r="B281" s="28"/>
      <c r="C281" s="72"/>
      <c r="D281" s="31"/>
      <c r="E281" s="57"/>
      <c r="F281" s="56"/>
      <c r="G281" s="34"/>
      <c r="H281" s="35"/>
      <c r="I281" s="35"/>
      <c r="J281" s="35"/>
      <c r="K281" s="35"/>
      <c r="L281" s="35"/>
      <c r="M281" s="24" t="str">
        <f t="shared" si="8"/>
        <v/>
      </c>
      <c r="N281" s="65" t="str">
        <f t="shared" si="9"/>
        <v/>
      </c>
    </row>
    <row r="282" spans="1:14" x14ac:dyDescent="0.25">
      <c r="A282" s="29"/>
      <c r="B282" s="28"/>
      <c r="C282" s="72"/>
      <c r="D282" s="31"/>
      <c r="E282" s="57"/>
      <c r="F282" s="56"/>
      <c r="G282" s="34"/>
      <c r="H282" s="35"/>
      <c r="I282" s="35"/>
      <c r="J282" s="35"/>
      <c r="K282" s="35"/>
      <c r="L282" s="35"/>
      <c r="M282" s="24" t="str">
        <f t="shared" si="8"/>
        <v/>
      </c>
      <c r="N282" s="65" t="str">
        <f t="shared" si="9"/>
        <v/>
      </c>
    </row>
    <row r="283" spans="1:14" hidden="1" x14ac:dyDescent="0.25">
      <c r="A283" s="29"/>
      <c r="B283" s="28"/>
      <c r="C283" s="72"/>
      <c r="D283" s="31"/>
      <c r="E283" s="32"/>
      <c r="F283" s="33"/>
      <c r="G283" s="34"/>
      <c r="H283" s="35"/>
      <c r="I283" s="35"/>
      <c r="J283" s="35"/>
      <c r="K283" s="35"/>
      <c r="L283" s="35"/>
      <c r="M283" s="70"/>
      <c r="N283" s="65"/>
    </row>
    <row r="284" spans="1:14" x14ac:dyDescent="0.25">
      <c r="A284" s="29"/>
      <c r="B284" s="1"/>
      <c r="C284" s="159" t="s">
        <v>86</v>
      </c>
      <c r="D284" s="160"/>
      <c r="E284" s="160"/>
      <c r="F284" s="160"/>
      <c r="G284" s="160"/>
      <c r="H284" s="160"/>
      <c r="I284" s="160"/>
      <c r="J284" s="160"/>
      <c r="K284" s="160"/>
      <c r="L284" s="160"/>
      <c r="M284" s="160"/>
      <c r="N284" s="66">
        <f>SUM(N277:N283)</f>
        <v>0</v>
      </c>
    </row>
  </sheetData>
  <mergeCells count="381">
    <mergeCell ref="A7:D7"/>
    <mergeCell ref="K7:M7"/>
    <mergeCell ref="A8:D8"/>
    <mergeCell ref="K8:M8"/>
    <mergeCell ref="A9:D9"/>
    <mergeCell ref="K9:M9"/>
    <mergeCell ref="A1:N1"/>
    <mergeCell ref="A2:N2"/>
    <mergeCell ref="A3:N3"/>
    <mergeCell ref="A4:N4"/>
    <mergeCell ref="A5:D5"/>
    <mergeCell ref="F5:G9"/>
    <mergeCell ref="H5:J9"/>
    <mergeCell ref="K5:M5"/>
    <mergeCell ref="A6:D6"/>
    <mergeCell ref="K6:M6"/>
    <mergeCell ref="A11:C11"/>
    <mergeCell ref="A13:N14"/>
    <mergeCell ref="A15:B15"/>
    <mergeCell ref="C15:E15"/>
    <mergeCell ref="F15:N15"/>
    <mergeCell ref="A16:B20"/>
    <mergeCell ref="C16:C17"/>
    <mergeCell ref="D16:E17"/>
    <mergeCell ref="F16:H16"/>
    <mergeCell ref="J16:J17"/>
    <mergeCell ref="A22:N22"/>
    <mergeCell ref="A23:B23"/>
    <mergeCell ref="C23:D23"/>
    <mergeCell ref="K23:M23"/>
    <mergeCell ref="A24:B24"/>
    <mergeCell ref="C24:D24"/>
    <mergeCell ref="K24:M24"/>
    <mergeCell ref="K16:N17"/>
    <mergeCell ref="F17:H17"/>
    <mergeCell ref="C18:C19"/>
    <mergeCell ref="D18:E19"/>
    <mergeCell ref="F18:H18"/>
    <mergeCell ref="J18:N20"/>
    <mergeCell ref="F19:H19"/>
    <mergeCell ref="D20:E20"/>
    <mergeCell ref="F20:H20"/>
    <mergeCell ref="A27:B27"/>
    <mergeCell ref="C27:D27"/>
    <mergeCell ref="K27:M27"/>
    <mergeCell ref="A28:B28"/>
    <mergeCell ref="C28:D28"/>
    <mergeCell ref="K28:M28"/>
    <mergeCell ref="A25:B25"/>
    <mergeCell ref="C25:D25"/>
    <mergeCell ref="K25:M25"/>
    <mergeCell ref="A26:B26"/>
    <mergeCell ref="C26:D26"/>
    <mergeCell ref="K26:M26"/>
    <mergeCell ref="A29:E29"/>
    <mergeCell ref="K29:M29"/>
    <mergeCell ref="A31:B31"/>
    <mergeCell ref="C31:E31"/>
    <mergeCell ref="F31:N31"/>
    <mergeCell ref="A32:B36"/>
    <mergeCell ref="C32:C33"/>
    <mergeCell ref="D32:E33"/>
    <mergeCell ref="F32:H32"/>
    <mergeCell ref="J32:J33"/>
    <mergeCell ref="K32:N33"/>
    <mergeCell ref="F33:H33"/>
    <mergeCell ref="C34:C35"/>
    <mergeCell ref="D34:E35"/>
    <mergeCell ref="F34:H34"/>
    <mergeCell ref="J34:N36"/>
    <mergeCell ref="F35:H35"/>
    <mergeCell ref="D36:E36"/>
    <mergeCell ref="F36:H36"/>
    <mergeCell ref="C40:F40"/>
    <mergeCell ref="G40:H40"/>
    <mergeCell ref="I40:J40"/>
    <mergeCell ref="K40:N40"/>
    <mergeCell ref="C41:F41"/>
    <mergeCell ref="G41:H41"/>
    <mergeCell ref="I41:J41"/>
    <mergeCell ref="M41:N41"/>
    <mergeCell ref="C38:H38"/>
    <mergeCell ref="I38:J38"/>
    <mergeCell ref="K38:N38"/>
    <mergeCell ref="C39:F39"/>
    <mergeCell ref="G39:H39"/>
    <mergeCell ref="I39:J39"/>
    <mergeCell ref="K39:N39"/>
    <mergeCell ref="C47:H47"/>
    <mergeCell ref="C48:F48"/>
    <mergeCell ref="G48:H48"/>
    <mergeCell ref="C49:F49"/>
    <mergeCell ref="G49:H49"/>
    <mergeCell ref="C50:H50"/>
    <mergeCell ref="C42:H42"/>
    <mergeCell ref="D43:E43"/>
    <mergeCell ref="F43:G43"/>
    <mergeCell ref="D44:E44"/>
    <mergeCell ref="F44:G44"/>
    <mergeCell ref="G45:H45"/>
    <mergeCell ref="C54:F54"/>
    <mergeCell ref="G54:H54"/>
    <mergeCell ref="C55:G55"/>
    <mergeCell ref="C56:G56"/>
    <mergeCell ref="C58:H58"/>
    <mergeCell ref="C59:G59"/>
    <mergeCell ref="C51:F51"/>
    <mergeCell ref="G51:H51"/>
    <mergeCell ref="C52:F52"/>
    <mergeCell ref="G52:H52"/>
    <mergeCell ref="C53:F53"/>
    <mergeCell ref="G53:H53"/>
    <mergeCell ref="C70:N70"/>
    <mergeCell ref="C71:N71"/>
    <mergeCell ref="C80:M80"/>
    <mergeCell ref="A82:B82"/>
    <mergeCell ref="C82:E82"/>
    <mergeCell ref="F82:N82"/>
    <mergeCell ref="C60:G60"/>
    <mergeCell ref="C61:G61"/>
    <mergeCell ref="C62:G62"/>
    <mergeCell ref="C65:H65"/>
    <mergeCell ref="C66:G66"/>
    <mergeCell ref="C67:G67"/>
    <mergeCell ref="J85:N87"/>
    <mergeCell ref="F86:H86"/>
    <mergeCell ref="D87:E87"/>
    <mergeCell ref="F87:H87"/>
    <mergeCell ref="C89:H89"/>
    <mergeCell ref="I89:J89"/>
    <mergeCell ref="K89:N89"/>
    <mergeCell ref="A83:B87"/>
    <mergeCell ref="C83:C84"/>
    <mergeCell ref="D83:E84"/>
    <mergeCell ref="F83:H83"/>
    <mergeCell ref="J83:J84"/>
    <mergeCell ref="K83:N84"/>
    <mergeCell ref="F84:H84"/>
    <mergeCell ref="C85:C86"/>
    <mergeCell ref="D85:E86"/>
    <mergeCell ref="F85:H85"/>
    <mergeCell ref="M92:N92"/>
    <mergeCell ref="C93:H93"/>
    <mergeCell ref="D94:E94"/>
    <mergeCell ref="F94:G94"/>
    <mergeCell ref="C90:F90"/>
    <mergeCell ref="G90:H90"/>
    <mergeCell ref="I90:J90"/>
    <mergeCell ref="K90:N90"/>
    <mergeCell ref="C91:F91"/>
    <mergeCell ref="G91:H91"/>
    <mergeCell ref="I91:J91"/>
    <mergeCell ref="K91:N91"/>
    <mergeCell ref="D95:E95"/>
    <mergeCell ref="F95:G95"/>
    <mergeCell ref="G96:H96"/>
    <mergeCell ref="C98:H98"/>
    <mergeCell ref="C99:F99"/>
    <mergeCell ref="G99:H99"/>
    <mergeCell ref="C92:F92"/>
    <mergeCell ref="G92:H92"/>
    <mergeCell ref="I92:J92"/>
    <mergeCell ref="C104:F104"/>
    <mergeCell ref="G104:H104"/>
    <mergeCell ref="C105:F105"/>
    <mergeCell ref="G105:H105"/>
    <mergeCell ref="C106:G106"/>
    <mergeCell ref="C107:G107"/>
    <mergeCell ref="C100:F100"/>
    <mergeCell ref="G100:H100"/>
    <mergeCell ref="C101:H101"/>
    <mergeCell ref="C102:F102"/>
    <mergeCell ref="G102:H102"/>
    <mergeCell ref="C103:F103"/>
    <mergeCell ref="G103:H103"/>
    <mergeCell ref="C117:G117"/>
    <mergeCell ref="C118:G118"/>
    <mergeCell ref="C121:N121"/>
    <mergeCell ref="C122:N122"/>
    <mergeCell ref="C131:M131"/>
    <mergeCell ref="A133:B133"/>
    <mergeCell ref="C133:E133"/>
    <mergeCell ref="F133:N133"/>
    <mergeCell ref="C109:H109"/>
    <mergeCell ref="C110:G110"/>
    <mergeCell ref="C111:G111"/>
    <mergeCell ref="C112:G112"/>
    <mergeCell ref="C113:G113"/>
    <mergeCell ref="C116:H116"/>
    <mergeCell ref="J136:N138"/>
    <mergeCell ref="F137:H137"/>
    <mergeCell ref="D138:E138"/>
    <mergeCell ref="F138:H138"/>
    <mergeCell ref="C140:H140"/>
    <mergeCell ref="I140:J140"/>
    <mergeCell ref="K140:N140"/>
    <mergeCell ref="A134:B138"/>
    <mergeCell ref="C134:C135"/>
    <mergeCell ref="D134:E135"/>
    <mergeCell ref="F134:H134"/>
    <mergeCell ref="J134:J135"/>
    <mergeCell ref="K134:N135"/>
    <mergeCell ref="F135:H135"/>
    <mergeCell ref="C136:C137"/>
    <mergeCell ref="D136:E137"/>
    <mergeCell ref="F136:H136"/>
    <mergeCell ref="M143:N143"/>
    <mergeCell ref="C144:H144"/>
    <mergeCell ref="D145:E145"/>
    <mergeCell ref="F145:G145"/>
    <mergeCell ref="C141:F141"/>
    <mergeCell ref="G141:H141"/>
    <mergeCell ref="I141:J141"/>
    <mergeCell ref="K141:N141"/>
    <mergeCell ref="C142:F142"/>
    <mergeCell ref="G142:H142"/>
    <mergeCell ref="I142:J142"/>
    <mergeCell ref="K142:N142"/>
    <mergeCell ref="D146:E146"/>
    <mergeCell ref="F146:G146"/>
    <mergeCell ref="G147:H147"/>
    <mergeCell ref="C149:H149"/>
    <mergeCell ref="C150:F150"/>
    <mergeCell ref="G150:H150"/>
    <mergeCell ref="C143:F143"/>
    <mergeCell ref="G143:H143"/>
    <mergeCell ref="I143:J143"/>
    <mergeCell ref="C155:F155"/>
    <mergeCell ref="G155:H155"/>
    <mergeCell ref="C156:F156"/>
    <mergeCell ref="G156:H156"/>
    <mergeCell ref="C157:G157"/>
    <mergeCell ref="C158:G158"/>
    <mergeCell ref="C151:F151"/>
    <mergeCell ref="G151:H151"/>
    <mergeCell ref="C152:H152"/>
    <mergeCell ref="C153:F153"/>
    <mergeCell ref="G153:H153"/>
    <mergeCell ref="C154:F154"/>
    <mergeCell ref="G154:H154"/>
    <mergeCell ref="C168:G168"/>
    <mergeCell ref="C169:G169"/>
    <mergeCell ref="C172:N172"/>
    <mergeCell ref="C173:N173"/>
    <mergeCell ref="C182:M182"/>
    <mergeCell ref="A184:B184"/>
    <mergeCell ref="C184:E184"/>
    <mergeCell ref="F184:N184"/>
    <mergeCell ref="C160:H160"/>
    <mergeCell ref="C161:G161"/>
    <mergeCell ref="C162:G162"/>
    <mergeCell ref="C163:G163"/>
    <mergeCell ref="C164:G164"/>
    <mergeCell ref="C167:H167"/>
    <mergeCell ref="J187:N189"/>
    <mergeCell ref="F188:H188"/>
    <mergeCell ref="D189:E189"/>
    <mergeCell ref="F189:H189"/>
    <mergeCell ref="C191:H191"/>
    <mergeCell ref="I191:J191"/>
    <mergeCell ref="K191:N191"/>
    <mergeCell ref="A185:B189"/>
    <mergeCell ref="C185:C186"/>
    <mergeCell ref="D185:E186"/>
    <mergeCell ref="F185:H185"/>
    <mergeCell ref="J185:J186"/>
    <mergeCell ref="K185:N186"/>
    <mergeCell ref="F186:H186"/>
    <mergeCell ref="C187:C188"/>
    <mergeCell ref="D187:E188"/>
    <mergeCell ref="F187:H187"/>
    <mergeCell ref="M194:N194"/>
    <mergeCell ref="C195:H195"/>
    <mergeCell ref="D196:E196"/>
    <mergeCell ref="F196:G196"/>
    <mergeCell ref="C192:F192"/>
    <mergeCell ref="G192:H192"/>
    <mergeCell ref="I192:J192"/>
    <mergeCell ref="K192:N192"/>
    <mergeCell ref="C193:F193"/>
    <mergeCell ref="G193:H193"/>
    <mergeCell ref="I193:J193"/>
    <mergeCell ref="K193:N193"/>
    <mergeCell ref="D197:E197"/>
    <mergeCell ref="F197:G197"/>
    <mergeCell ref="G198:H198"/>
    <mergeCell ref="C200:H200"/>
    <mergeCell ref="C201:F201"/>
    <mergeCell ref="G201:H201"/>
    <mergeCell ref="C194:F194"/>
    <mergeCell ref="G194:H194"/>
    <mergeCell ref="I194:J194"/>
    <mergeCell ref="C206:F206"/>
    <mergeCell ref="G206:H206"/>
    <mergeCell ref="C207:F207"/>
    <mergeCell ref="G207:H207"/>
    <mergeCell ref="C208:G208"/>
    <mergeCell ref="C209:G209"/>
    <mergeCell ref="C202:F202"/>
    <mergeCell ref="G202:H202"/>
    <mergeCell ref="C203:H203"/>
    <mergeCell ref="C204:F204"/>
    <mergeCell ref="G204:H204"/>
    <mergeCell ref="C205:F205"/>
    <mergeCell ref="G205:H205"/>
    <mergeCell ref="C219:G219"/>
    <mergeCell ref="C220:G220"/>
    <mergeCell ref="C223:N223"/>
    <mergeCell ref="C224:N224"/>
    <mergeCell ref="C233:M233"/>
    <mergeCell ref="A235:B235"/>
    <mergeCell ref="C235:E235"/>
    <mergeCell ref="F235:N235"/>
    <mergeCell ref="C211:H211"/>
    <mergeCell ref="C212:G212"/>
    <mergeCell ref="C213:G213"/>
    <mergeCell ref="C214:G214"/>
    <mergeCell ref="C215:G215"/>
    <mergeCell ref="C218:H218"/>
    <mergeCell ref="J238:N240"/>
    <mergeCell ref="F239:H239"/>
    <mergeCell ref="D240:E240"/>
    <mergeCell ref="F240:H240"/>
    <mergeCell ref="C242:H242"/>
    <mergeCell ref="I242:J242"/>
    <mergeCell ref="K242:N242"/>
    <mergeCell ref="A236:B240"/>
    <mergeCell ref="C236:C237"/>
    <mergeCell ref="D236:E237"/>
    <mergeCell ref="F236:H236"/>
    <mergeCell ref="J236:J237"/>
    <mergeCell ref="K236:N237"/>
    <mergeCell ref="F237:H237"/>
    <mergeCell ref="C238:C239"/>
    <mergeCell ref="D238:E239"/>
    <mergeCell ref="F238:H238"/>
    <mergeCell ref="M245:N245"/>
    <mergeCell ref="C246:H246"/>
    <mergeCell ref="D247:E247"/>
    <mergeCell ref="F247:G247"/>
    <mergeCell ref="C243:F243"/>
    <mergeCell ref="G243:H243"/>
    <mergeCell ref="I243:J243"/>
    <mergeCell ref="K243:N243"/>
    <mergeCell ref="C244:F244"/>
    <mergeCell ref="G244:H244"/>
    <mergeCell ref="I244:J244"/>
    <mergeCell ref="K244:N244"/>
    <mergeCell ref="D248:E248"/>
    <mergeCell ref="F248:G248"/>
    <mergeCell ref="G249:H249"/>
    <mergeCell ref="C251:H251"/>
    <mergeCell ref="C252:F252"/>
    <mergeCell ref="G252:H252"/>
    <mergeCell ref="C245:F245"/>
    <mergeCell ref="G245:H245"/>
    <mergeCell ref="I245:J245"/>
    <mergeCell ref="C257:F257"/>
    <mergeCell ref="G257:H257"/>
    <mergeCell ref="C258:F258"/>
    <mergeCell ref="G258:H258"/>
    <mergeCell ref="C259:G259"/>
    <mergeCell ref="C260:G260"/>
    <mergeCell ref="C253:F253"/>
    <mergeCell ref="G253:H253"/>
    <mergeCell ref="C254:H254"/>
    <mergeCell ref="C255:F255"/>
    <mergeCell ref="G255:H255"/>
    <mergeCell ref="C256:F256"/>
    <mergeCell ref="G256:H256"/>
    <mergeCell ref="C270:G270"/>
    <mergeCell ref="C271:G271"/>
    <mergeCell ref="C274:N274"/>
    <mergeCell ref="C275:N275"/>
    <mergeCell ref="C284:M284"/>
    <mergeCell ref="C262:H262"/>
    <mergeCell ref="C263:G263"/>
    <mergeCell ref="C264:G264"/>
    <mergeCell ref="C265:G265"/>
    <mergeCell ref="C266:G266"/>
    <mergeCell ref="C269:H269"/>
  </mergeCells>
  <conditionalFormatting sqref="G40:H40">
    <cfRule type="cellIs" dxfId="10" priority="11" operator="equal">
      <formula>""</formula>
    </cfRule>
  </conditionalFormatting>
  <conditionalFormatting sqref="G91:H91">
    <cfRule type="cellIs" dxfId="9" priority="8" operator="equal">
      <formula>""</formula>
    </cfRule>
  </conditionalFormatting>
  <conditionalFormatting sqref="G142:H142">
    <cfRule type="cellIs" dxfId="8" priority="6" operator="equal">
      <formula>""</formula>
    </cfRule>
  </conditionalFormatting>
  <conditionalFormatting sqref="G193:H193">
    <cfRule type="cellIs" dxfId="7" priority="4" operator="equal">
      <formula>""</formula>
    </cfRule>
  </conditionalFormatting>
  <conditionalFormatting sqref="G244:H244">
    <cfRule type="cellIs" dxfId="6" priority="2" operator="equal">
      <formula>""</formula>
    </cfRule>
  </conditionalFormatting>
  <conditionalFormatting sqref="J18">
    <cfRule type="cellIs" dxfId="5" priority="9" operator="equal">
      <formula>"CUMPLE"</formula>
    </cfRule>
  </conditionalFormatting>
  <conditionalFormatting sqref="J85">
    <cfRule type="cellIs" dxfId="4" priority="7" operator="equal">
      <formula>"CUMPLE"</formula>
    </cfRule>
  </conditionalFormatting>
  <conditionalFormatting sqref="J136">
    <cfRule type="cellIs" dxfId="3" priority="5" operator="equal">
      <formula>"CUMPLE"</formula>
    </cfRule>
  </conditionalFormatting>
  <conditionalFormatting sqref="J187">
    <cfRule type="cellIs" dxfId="2" priority="3" operator="equal">
      <formula>"CUMPLE"</formula>
    </cfRule>
  </conditionalFormatting>
  <conditionalFormatting sqref="J238">
    <cfRule type="cellIs" dxfId="1" priority="1" operator="equal">
      <formula>"CUMPLE"</formula>
    </cfRule>
  </conditionalFormatting>
  <conditionalFormatting sqref="O32:R36 J34">
    <cfRule type="cellIs" dxfId="0" priority="10" operator="equal">
      <formula>"CUMPLE"</formula>
    </cfRule>
  </conditionalFormatting>
  <dataValidations disablePrompts="1" count="4">
    <dataValidation type="list" allowBlank="1" showErrorMessage="1" sqref="H44 H95 H146 H197 H248" xr:uid="{00000000-0002-0000-0700-000000000000}">
      <formula1>"VIGENTE,SIN VIGENCIA,NO APORTA,N/A"</formula1>
    </dataValidation>
    <dataValidation type="decimal" operator="greaterThan" allowBlank="1" showErrorMessage="1" sqref="G40 G91 G142 G193 G244" xr:uid="{00000000-0002-0000-0700-000001000000}">
      <formula1>0</formula1>
    </dataValidation>
    <dataValidation type="list" allowBlank="1" showErrorMessage="1" sqref="H43 H94 H145 H196 H247" xr:uid="{00000000-0002-0000-0700-000002000000}">
      <formula1>"VIGENTE,SIN VIGENCIA,NO APORTA"</formula1>
    </dataValidation>
    <dataValidation type="list" allowBlank="1" showErrorMessage="1" sqref="G39 G243 G192 G141 G90" xr:uid="{00000000-0002-0000-0700-000003000000}">
      <formula1>$S$5:$S$6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DATOS INICIALES</vt:lpstr>
      <vt:lpstr>CAPACIDAD FINANCIERA</vt:lpstr>
      <vt:lpstr>CAPACIDAD RESIDUAL</vt:lpstr>
      <vt:lpstr>1</vt:lpstr>
      <vt:lpstr>2</vt:lpstr>
      <vt:lpstr>3</vt:lpstr>
      <vt:lpstr>4</vt:lpstr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ASPIRE</dc:creator>
  <cp:lastModifiedBy>WINDOWS</cp:lastModifiedBy>
  <dcterms:created xsi:type="dcterms:W3CDTF">2024-09-20T21:14:46Z</dcterms:created>
  <dcterms:modified xsi:type="dcterms:W3CDTF">2024-10-29T03:00:22Z</dcterms:modified>
</cp:coreProperties>
</file>