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DIRECCIÓN DE RECURSOS NATURALES\CONTRATOS JURIDICOS\PARA RADICAR A SGEN\OBRA NEUTA 5 NOV\"/>
    </mc:Choice>
  </mc:AlternateContent>
  <xr:revisionPtr revIDLastSave="0" documentId="13_ncr:1_{0856CA20-3B66-47F7-A6F0-2AFF882A3280}" xr6:coauthVersionLast="47" xr6:coauthVersionMax="47" xr10:uidLastSave="{00000000-0000-0000-0000-000000000000}"/>
  <bookViews>
    <workbookView xWindow="-120" yWindow="-120" windowWidth="29040" windowHeight="15720" firstSheet="5" activeTab="9" xr2:uid="{00000000-000D-0000-FFFF-FFFF00000000}"/>
  </bookViews>
  <sheets>
    <sheet name="CALCULO INICIAL 2" sheetId="19" r:id="rId1"/>
    <sheet name="Hoja2" sheetId="20" state="hidden" r:id="rId2"/>
    <sheet name="RESUMEN FINAL" sheetId="8" r:id="rId3"/>
    <sheet name="LIQUIDEZ" sheetId="11" r:id="rId4"/>
    <sheet name="NIVEL ENDEUDAMIENTO" sheetId="12" r:id="rId5"/>
    <sheet name="RAZON COBERTURA INTERESES" sheetId="13" r:id="rId6"/>
    <sheet name="CAPITAL DE TRABAJO" sheetId="21" r:id="rId7"/>
    <sheet name="RENTABILIDAD PATRIMONIO" sheetId="14" r:id="rId8"/>
    <sheet name="RENTABILIDAD ACTIVO" sheetId="15" r:id="rId9"/>
    <sheet name="INDICES" sheetId="7" r:id="rId10"/>
  </sheets>
  <definedNames>
    <definedName name="_xlnm._FilterDatabase" localSheetId="0" hidden="1">'CALCULO INICIAL 2'!$A$34:$E$59</definedName>
    <definedName name="_xlnm._FilterDatabase" localSheetId="6" hidden="1">'CAPITAL DE TRABAJO'!#REF!</definedName>
    <definedName name="_xlnm._FilterDatabase" localSheetId="3" hidden="1">LIQUIDEZ!$G$1:$G$25</definedName>
    <definedName name="_xlnm._FilterDatabase" localSheetId="4" hidden="1">'NIVEL ENDEUDAMIENTO'!$G$1:$G$24</definedName>
    <definedName name="_xlnm._FilterDatabase" localSheetId="5" hidden="1">'RAZON COBERTURA INTERESES'!$G$1:$G$24</definedName>
    <definedName name="_xlnm._FilterDatabase" localSheetId="8" hidden="1">'RENTABILIDAD ACTIVO'!$G$1:$G$26</definedName>
    <definedName name="_xlnm._FilterDatabase" localSheetId="7" hidden="1">'RENTABILIDAD PATRIMONIO'!$G$1:$G$27</definedName>
    <definedName name="_xlnm._FilterDatabase" localSheetId="2" hidden="1">'RESUMEN FINAL'!$A$1:$M$20</definedName>
    <definedName name="_xlnm.Print_Titles" localSheetId="0">'CALCULO INICIAL 2'!$1:$1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19" l="1"/>
  <c r="D3" i="21"/>
  <c r="D4" i="21"/>
  <c r="D5" i="21"/>
  <c r="D6" i="21"/>
  <c r="D7" i="21"/>
  <c r="D8" i="21"/>
  <c r="D9" i="21"/>
  <c r="D10" i="21"/>
  <c r="D11" i="21"/>
  <c r="D12" i="21"/>
  <c r="D13" i="21"/>
  <c r="D14" i="21"/>
  <c r="D15" i="21"/>
  <c r="D16" i="21"/>
  <c r="D17" i="21"/>
  <c r="D18" i="21"/>
  <c r="E18" i="21" s="1"/>
  <c r="D19" i="21"/>
  <c r="D20" i="21"/>
  <c r="D21" i="21"/>
  <c r="D22" i="21"/>
  <c r="D23" i="21"/>
  <c r="D24" i="21"/>
  <c r="D25" i="21"/>
  <c r="D26" i="21"/>
  <c r="D2" i="21"/>
  <c r="C3" i="21"/>
  <c r="C4" i="21"/>
  <c r="C5" i="21"/>
  <c r="C6" i="21"/>
  <c r="C7" i="21"/>
  <c r="C8" i="21"/>
  <c r="C9" i="21"/>
  <c r="C10" i="21"/>
  <c r="C11" i="21"/>
  <c r="E11" i="21" s="1"/>
  <c r="C12" i="21"/>
  <c r="C13" i="21"/>
  <c r="C14" i="21"/>
  <c r="C15" i="21"/>
  <c r="C16" i="21"/>
  <c r="C17" i="21"/>
  <c r="C18" i="21"/>
  <c r="C19" i="21"/>
  <c r="E19" i="21" s="1"/>
  <c r="C20" i="21"/>
  <c r="C21" i="21"/>
  <c r="C22" i="21"/>
  <c r="C23" i="21"/>
  <c r="C24" i="21"/>
  <c r="C25" i="21"/>
  <c r="C26" i="21"/>
  <c r="C2" i="21"/>
  <c r="E2" i="21" s="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7" i="21"/>
  <c r="B6" i="21"/>
  <c r="B5" i="21"/>
  <c r="B4" i="21"/>
  <c r="B3" i="21"/>
  <c r="B2" i="21"/>
  <c r="J11" i="15"/>
  <c r="J2" i="15"/>
  <c r="P13" i="14"/>
  <c r="P12" i="14"/>
  <c r="P11" i="14"/>
  <c r="P14" i="14" s="1"/>
  <c r="E18" i="7" s="1"/>
  <c r="P7" i="14"/>
  <c r="P6" i="14"/>
  <c r="P5" i="14"/>
  <c r="P4" i="14"/>
  <c r="D18" i="7" s="1"/>
  <c r="P3" i="14"/>
  <c r="P2" i="14"/>
  <c r="M13" i="14"/>
  <c r="M12" i="14"/>
  <c r="M11" i="14"/>
  <c r="M7" i="14"/>
  <c r="M6" i="14"/>
  <c r="M5" i="14"/>
  <c r="M4" i="14"/>
  <c r="M3" i="14"/>
  <c r="M2" i="14"/>
  <c r="J11" i="13"/>
  <c r="D3" i="13"/>
  <c r="D4" i="13"/>
  <c r="D5" i="13"/>
  <c r="D6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C3" i="13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D3" i="12"/>
  <c r="D4" i="12"/>
  <c r="D5" i="12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C3" i="12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AE13" i="11"/>
  <c r="AE12" i="11"/>
  <c r="AE11" i="11"/>
  <c r="AE7" i="11"/>
  <c r="AE6" i="11"/>
  <c r="AE5" i="11"/>
  <c r="AE4" i="11"/>
  <c r="D12" i="7" s="1"/>
  <c r="AE3" i="11"/>
  <c r="AE2" i="11"/>
  <c r="AB13" i="11"/>
  <c r="AB12" i="11"/>
  <c r="AB11" i="11"/>
  <c r="AB7" i="11"/>
  <c r="AB6" i="11"/>
  <c r="AB5" i="11"/>
  <c r="AB4" i="11"/>
  <c r="AB3" i="11"/>
  <c r="AB2" i="11"/>
  <c r="Y13" i="11"/>
  <c r="Y12" i="11"/>
  <c r="Y11" i="11"/>
  <c r="Y7" i="11"/>
  <c r="Y6" i="11"/>
  <c r="Y5" i="11"/>
  <c r="Y4" i="11"/>
  <c r="Y3" i="11"/>
  <c r="Y2" i="11"/>
  <c r="V13" i="11"/>
  <c r="V12" i="11"/>
  <c r="V11" i="11"/>
  <c r="V7" i="11"/>
  <c r="V6" i="11"/>
  <c r="V5" i="11"/>
  <c r="V4" i="11"/>
  <c r="V3" i="11"/>
  <c r="V2" i="11"/>
  <c r="J5" i="11"/>
  <c r="D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C3" i="15"/>
  <c r="C4" i="15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D3" i="14"/>
  <c r="D4" i="14"/>
  <c r="D5" i="14"/>
  <c r="D6" i="14"/>
  <c r="D7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C3" i="14"/>
  <c r="C4" i="14"/>
  <c r="C5" i="14"/>
  <c r="C6" i="14"/>
  <c r="C7" i="14"/>
  <c r="C8" i="14"/>
  <c r="C9" i="14"/>
  <c r="C10" i="14"/>
  <c r="C11" i="14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D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C3" i="11"/>
  <c r="C4" i="11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B3" i="1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E23" i="12" l="1"/>
  <c r="E15" i="12"/>
  <c r="E7" i="12"/>
  <c r="E23" i="21"/>
  <c r="E15" i="21"/>
  <c r="E7" i="21"/>
  <c r="E22" i="12"/>
  <c r="E14" i="12"/>
  <c r="E6" i="12"/>
  <c r="E22" i="21"/>
  <c r="E14" i="21"/>
  <c r="E6" i="21"/>
  <c r="E21" i="12"/>
  <c r="E13" i="12"/>
  <c r="E5" i="12"/>
  <c r="E20" i="12"/>
  <c r="E12" i="12"/>
  <c r="E4" i="12"/>
  <c r="E19" i="12"/>
  <c r="E11" i="12"/>
  <c r="E3" i="12"/>
  <c r="E3" i="21"/>
  <c r="E26" i="12"/>
  <c r="E18" i="12"/>
  <c r="E10" i="12"/>
  <c r="E26" i="21"/>
  <c r="E10" i="21"/>
  <c r="Y8" i="11"/>
  <c r="Y10" i="11" s="1"/>
  <c r="E25" i="12"/>
  <c r="E17" i="12"/>
  <c r="E9" i="12"/>
  <c r="P15" i="14"/>
  <c r="F18" i="7" s="1"/>
  <c r="E24" i="12"/>
  <c r="E16" i="12"/>
  <c r="E8" i="12"/>
  <c r="E24" i="21"/>
  <c r="E20" i="21"/>
  <c r="E16" i="21"/>
  <c r="E12" i="21"/>
  <c r="E8" i="21"/>
  <c r="E4" i="21"/>
  <c r="E25" i="21"/>
  <c r="E21" i="21"/>
  <c r="E17" i="21"/>
  <c r="E13" i="21"/>
  <c r="E9" i="21"/>
  <c r="E5" i="21"/>
  <c r="AE8" i="11"/>
  <c r="AE9" i="11" s="1"/>
  <c r="AB8" i="11"/>
  <c r="AB9" i="11" s="1"/>
  <c r="Y9" i="11"/>
  <c r="V8" i="11"/>
  <c r="V9" i="11" s="1"/>
  <c r="V10" i="11"/>
  <c r="C15" i="7"/>
  <c r="AJ3" i="20"/>
  <c r="AJ4" i="20"/>
  <c r="AJ5" i="20"/>
  <c r="AJ6" i="20"/>
  <c r="AJ7" i="20"/>
  <c r="AJ8" i="20"/>
  <c r="AJ9" i="20"/>
  <c r="AJ10" i="20"/>
  <c r="AJ11" i="20"/>
  <c r="AJ12" i="20"/>
  <c r="AJ13" i="20"/>
  <c r="AJ14" i="20"/>
  <c r="AJ15" i="20"/>
  <c r="AJ16" i="20"/>
  <c r="AJ17" i="20"/>
  <c r="AJ18" i="20"/>
  <c r="AJ19" i="20"/>
  <c r="AJ20" i="20"/>
  <c r="AJ21" i="20"/>
  <c r="AJ22" i="20"/>
  <c r="AJ23" i="20"/>
  <c r="AJ24" i="20"/>
  <c r="AJ25" i="20"/>
  <c r="AJ26" i="20"/>
  <c r="AJ2" i="20"/>
  <c r="M7" i="13"/>
  <c r="AE10" i="11" l="1"/>
  <c r="AB10" i="11"/>
  <c r="AH3" i="19"/>
  <c r="AH4" i="19"/>
  <c r="AH5" i="19"/>
  <c r="AH6" i="19"/>
  <c r="AH7" i="19"/>
  <c r="AH8" i="1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" i="19"/>
  <c r="AG3" i="19"/>
  <c r="AG4" i="19"/>
  <c r="AG5" i="19"/>
  <c r="AG6" i="19"/>
  <c r="AG7" i="19"/>
  <c r="AG8" i="19"/>
  <c r="AG9" i="19"/>
  <c r="AG10" i="19"/>
  <c r="AG11" i="19"/>
  <c r="AG12" i="19"/>
  <c r="AG13" i="19"/>
  <c r="AG14" i="19"/>
  <c r="AG15" i="19"/>
  <c r="AG16" i="19"/>
  <c r="AG17" i="19"/>
  <c r="AG18" i="19"/>
  <c r="AG19" i="19"/>
  <c r="AG20" i="19"/>
  <c r="AG21" i="19"/>
  <c r="AG22" i="19"/>
  <c r="AG23" i="19"/>
  <c r="AG24" i="19"/>
  <c r="AG25" i="19"/>
  <c r="AG2" i="19"/>
  <c r="AF3" i="19"/>
  <c r="AF4" i="19"/>
  <c r="AF5" i="19"/>
  <c r="AF6" i="19"/>
  <c r="AF7" i="19"/>
  <c r="AF8" i="19"/>
  <c r="AF9" i="19"/>
  <c r="AF10" i="19"/>
  <c r="AF11" i="19"/>
  <c r="AF12" i="19"/>
  <c r="AF13" i="19"/>
  <c r="AF14" i="19"/>
  <c r="AF15" i="19"/>
  <c r="AF16" i="19"/>
  <c r="AF17" i="19"/>
  <c r="AF18" i="19"/>
  <c r="AF19" i="19"/>
  <c r="AF20" i="19"/>
  <c r="AF21" i="19"/>
  <c r="AF22" i="19"/>
  <c r="AF23" i="19"/>
  <c r="AF24" i="19"/>
  <c r="AF25" i="19"/>
  <c r="AF2" i="19"/>
  <c r="AE3" i="19"/>
  <c r="AE4" i="19"/>
  <c r="AE5" i="19"/>
  <c r="AE6" i="19"/>
  <c r="AE7" i="19"/>
  <c r="AE8" i="19"/>
  <c r="AE9" i="19"/>
  <c r="AE10" i="19"/>
  <c r="AE11" i="19"/>
  <c r="AE12" i="19"/>
  <c r="AE13" i="19"/>
  <c r="AE14" i="19"/>
  <c r="AE15" i="19"/>
  <c r="AE16" i="19"/>
  <c r="AE17" i="19"/>
  <c r="AE18" i="19"/>
  <c r="AE19" i="19"/>
  <c r="AE20" i="19"/>
  <c r="AE21" i="19"/>
  <c r="AE22" i="19"/>
  <c r="AE23" i="19"/>
  <c r="AE24" i="19"/>
  <c r="AE25" i="19"/>
  <c r="AE2" i="19"/>
  <c r="AD3" i="19"/>
  <c r="AD4" i="19"/>
  <c r="AD5" i="19"/>
  <c r="AD6" i="19"/>
  <c r="AD7" i="19"/>
  <c r="AD8" i="19"/>
  <c r="AD9" i="19"/>
  <c r="AD10" i="19"/>
  <c r="AD11" i="19"/>
  <c r="AD12" i="19"/>
  <c r="AD13" i="19"/>
  <c r="AD14" i="19"/>
  <c r="AD15" i="19"/>
  <c r="AD16" i="19"/>
  <c r="AD17" i="19"/>
  <c r="AD18" i="19"/>
  <c r="AD19" i="19"/>
  <c r="AD20" i="19"/>
  <c r="AD21" i="19"/>
  <c r="AD22" i="19"/>
  <c r="AD23" i="19"/>
  <c r="AD24" i="19"/>
  <c r="AD25" i="19"/>
  <c r="AD2" i="19"/>
  <c r="Z3" i="19"/>
  <c r="Z4" i="19"/>
  <c r="Z5" i="19"/>
  <c r="Z6" i="19"/>
  <c r="Z7" i="19"/>
  <c r="Z8" i="1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3" i="19"/>
  <c r="Z24" i="19"/>
  <c r="Z25" i="19"/>
  <c r="Z2" i="19"/>
  <c r="S3" i="19"/>
  <c r="T3" i="19" s="1"/>
  <c r="S4" i="19"/>
  <c r="T4" i="19" s="1"/>
  <c r="S5" i="19"/>
  <c r="S6" i="19"/>
  <c r="R6" i="19" s="1"/>
  <c r="S7" i="19"/>
  <c r="R7" i="19" s="1"/>
  <c r="S8" i="19"/>
  <c r="R8" i="19" s="1"/>
  <c r="S9" i="19"/>
  <c r="R9" i="19" s="1"/>
  <c r="S10" i="19"/>
  <c r="R10" i="19" s="1"/>
  <c r="S11" i="19"/>
  <c r="R11" i="19" s="1"/>
  <c r="S12" i="19"/>
  <c r="R12" i="19" s="1"/>
  <c r="S13" i="19"/>
  <c r="R13" i="19" s="1"/>
  <c r="S14" i="19"/>
  <c r="R14" i="19" s="1"/>
  <c r="S15" i="19"/>
  <c r="S16" i="19"/>
  <c r="S17" i="19"/>
  <c r="R17" i="19" s="1"/>
  <c r="S18" i="19"/>
  <c r="R18" i="19" s="1"/>
  <c r="S19" i="19"/>
  <c r="R19" i="19" s="1"/>
  <c r="S20" i="19"/>
  <c r="T20" i="19" s="1"/>
  <c r="S21" i="19"/>
  <c r="R21" i="19" s="1"/>
  <c r="S22" i="19"/>
  <c r="R22" i="19" s="1"/>
  <c r="S23" i="19"/>
  <c r="S24" i="19"/>
  <c r="T24" i="19" s="1"/>
  <c r="S2" i="19"/>
  <c r="T2" i="19" s="1"/>
  <c r="R23" i="19"/>
  <c r="R16" i="19"/>
  <c r="R15" i="19"/>
  <c r="R5" i="19"/>
  <c r="R2" i="19"/>
  <c r="X3" i="19"/>
  <c r="Y3" i="19"/>
  <c r="X4" i="19"/>
  <c r="Y4" i="19"/>
  <c r="X5" i="19"/>
  <c r="Y5" i="19"/>
  <c r="X6" i="19"/>
  <c r="Y6" i="19"/>
  <c r="X7" i="19"/>
  <c r="Y7" i="19"/>
  <c r="X8" i="19"/>
  <c r="Y8" i="19"/>
  <c r="X9" i="19"/>
  <c r="Y9" i="19"/>
  <c r="X10" i="19"/>
  <c r="Y10" i="19"/>
  <c r="X11" i="19"/>
  <c r="Y11" i="19"/>
  <c r="X12" i="19"/>
  <c r="Y12" i="19"/>
  <c r="X14" i="19"/>
  <c r="Y14" i="19"/>
  <c r="X15" i="19"/>
  <c r="Y15" i="19"/>
  <c r="X16" i="19"/>
  <c r="Y16" i="19"/>
  <c r="X17" i="19"/>
  <c r="Y17" i="19"/>
  <c r="S25" i="19"/>
  <c r="R25" i="19" s="1"/>
  <c r="Z26" i="19"/>
  <c r="AD26" i="19"/>
  <c r="AE26" i="19"/>
  <c r="AF26" i="19"/>
  <c r="AG26" i="19"/>
  <c r="AH26" i="19"/>
  <c r="T19" i="19" l="1"/>
  <c r="T25" i="19"/>
  <c r="R4" i="19"/>
  <c r="R3" i="19"/>
  <c r="R24" i="19"/>
  <c r="R20" i="19"/>
  <c r="J4" i="15" l="1"/>
  <c r="D19" i="7" s="1"/>
  <c r="M2" i="13"/>
  <c r="M3" i="13"/>
  <c r="M4" i="13"/>
  <c r="D14" i="7" s="1"/>
  <c r="M5" i="13"/>
  <c r="M6" i="13"/>
  <c r="M11" i="13"/>
  <c r="M12" i="13"/>
  <c r="M13" i="13"/>
  <c r="J13" i="15"/>
  <c r="B3" i="15" l="1"/>
  <c r="E3" i="15"/>
  <c r="B5" i="15"/>
  <c r="E5" i="15"/>
  <c r="J12" i="15"/>
  <c r="J7" i="15"/>
  <c r="J6" i="15"/>
  <c r="J5" i="15"/>
  <c r="J3" i="15"/>
  <c r="B24" i="15"/>
  <c r="B25" i="15"/>
  <c r="B26" i="15"/>
  <c r="J13" i="14"/>
  <c r="J12" i="14"/>
  <c r="J11" i="14"/>
  <c r="J7" i="14"/>
  <c r="J6" i="14"/>
  <c r="J5" i="14"/>
  <c r="J4" i="14"/>
  <c r="J3" i="14"/>
  <c r="J2" i="14"/>
  <c r="B24" i="14"/>
  <c r="E24" i="14"/>
  <c r="B25" i="14"/>
  <c r="E25" i="14"/>
  <c r="B26" i="14"/>
  <c r="J13" i="13"/>
  <c r="J12" i="13"/>
  <c r="J7" i="13"/>
  <c r="J6" i="13"/>
  <c r="J5" i="13"/>
  <c r="J4" i="13"/>
  <c r="J3" i="13"/>
  <c r="J2" i="13"/>
  <c r="B26" i="13"/>
  <c r="M13" i="12"/>
  <c r="M12" i="12"/>
  <c r="M11" i="12"/>
  <c r="M7" i="12"/>
  <c r="M6" i="12"/>
  <c r="M5" i="12"/>
  <c r="M4" i="12"/>
  <c r="M3" i="12"/>
  <c r="M2" i="12"/>
  <c r="J13" i="12"/>
  <c r="J12" i="12"/>
  <c r="J11" i="12"/>
  <c r="J7" i="12"/>
  <c r="J6" i="12"/>
  <c r="J5" i="12"/>
  <c r="J4" i="12"/>
  <c r="J3" i="12"/>
  <c r="J2" i="12"/>
  <c r="B26" i="12"/>
  <c r="S13" i="11"/>
  <c r="S12" i="11"/>
  <c r="S11" i="11"/>
  <c r="S7" i="11"/>
  <c r="S6" i="11"/>
  <c r="S5" i="11"/>
  <c r="S4" i="11"/>
  <c r="S3" i="11"/>
  <c r="S2" i="11"/>
  <c r="P13" i="11"/>
  <c r="P12" i="11"/>
  <c r="P11" i="11"/>
  <c r="P7" i="11"/>
  <c r="P6" i="11"/>
  <c r="P5" i="11"/>
  <c r="P4" i="11"/>
  <c r="P3" i="11"/>
  <c r="P2" i="11"/>
  <c r="M13" i="11"/>
  <c r="M12" i="11"/>
  <c r="M7" i="11"/>
  <c r="M6" i="11"/>
  <c r="M5" i="11"/>
  <c r="M4" i="11"/>
  <c r="M3" i="11"/>
  <c r="M2" i="11"/>
  <c r="J13" i="11"/>
  <c r="J12" i="11"/>
  <c r="J11" i="11"/>
  <c r="J7" i="11"/>
  <c r="J6" i="11"/>
  <c r="J4" i="11"/>
  <c r="J3" i="11"/>
  <c r="J2" i="11"/>
  <c r="E26" i="11"/>
  <c r="B2" i="13"/>
  <c r="C2" i="13"/>
  <c r="D2" i="13"/>
  <c r="B2" i="12"/>
  <c r="C2" i="12"/>
  <c r="E2" i="12" s="1"/>
  <c r="D2" i="12"/>
  <c r="B24" i="13"/>
  <c r="B25" i="13"/>
  <c r="B25" i="12"/>
  <c r="B24" i="12"/>
  <c r="E24" i="11" l="1"/>
  <c r="E26" i="14"/>
  <c r="E24" i="15"/>
  <c r="E26" i="15"/>
  <c r="E25" i="15"/>
  <c r="E26" i="13"/>
  <c r="E2" i="13"/>
  <c r="E24" i="13"/>
  <c r="E25" i="11"/>
  <c r="M14" i="12"/>
  <c r="M8" i="13"/>
  <c r="M9" i="13" s="1"/>
  <c r="M8" i="12"/>
  <c r="M9" i="12" s="1"/>
  <c r="P8" i="11"/>
  <c r="P9" i="11" s="1"/>
  <c r="M8" i="11"/>
  <c r="M9" i="11" s="1"/>
  <c r="E25" i="13"/>
  <c r="F9" i="7"/>
  <c r="B23" i="15"/>
  <c r="D7" i="7"/>
  <c r="B23" i="14"/>
  <c r="D5" i="7"/>
  <c r="B23" i="13"/>
  <c r="B22" i="13"/>
  <c r="B23" i="12"/>
  <c r="D3" i="7"/>
  <c r="D4" i="7" l="1"/>
  <c r="D13" i="7"/>
  <c r="M10" i="13"/>
  <c r="P10" i="11"/>
  <c r="M10" i="11"/>
  <c r="E23" i="13"/>
  <c r="M10" i="12"/>
  <c r="E23" i="11"/>
  <c r="D8" i="7"/>
  <c r="J8" i="15"/>
  <c r="E23" i="15"/>
  <c r="S8" i="11"/>
  <c r="J8" i="12"/>
  <c r="J8" i="13"/>
  <c r="E23" i="14"/>
  <c r="J8" i="14"/>
  <c r="M8" i="14"/>
  <c r="P8" i="14"/>
  <c r="J8" i="11"/>
  <c r="J9" i="11" l="1"/>
  <c r="J9" i="15"/>
  <c r="J10" i="15"/>
  <c r="J10" i="11"/>
  <c r="P9" i="14"/>
  <c r="P10" i="14"/>
  <c r="M9" i="14"/>
  <c r="M10" i="14"/>
  <c r="J9" i="14"/>
  <c r="J10" i="14"/>
  <c r="J10" i="13"/>
  <c r="J9" i="13"/>
  <c r="J9" i="12"/>
  <c r="J10" i="12"/>
  <c r="S9" i="11"/>
  <c r="S10" i="11"/>
  <c r="M11" i="11" l="1"/>
  <c r="D2" i="15"/>
  <c r="C2" i="15"/>
  <c r="B2" i="15"/>
  <c r="B4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D2" i="14"/>
  <c r="C2" i="14"/>
  <c r="B2" i="14"/>
  <c r="B3" i="14"/>
  <c r="B4" i="14"/>
  <c r="B5" i="14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3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3" i="12"/>
  <c r="B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D2" i="11"/>
  <c r="C2" i="11"/>
  <c r="B2" i="11"/>
  <c r="E18" i="11" l="1"/>
  <c r="E15" i="13"/>
  <c r="E8" i="13"/>
  <c r="E22" i="13"/>
  <c r="E7" i="13"/>
  <c r="E12" i="13"/>
  <c r="E11" i="13"/>
  <c r="E10" i="13"/>
  <c r="E9" i="13"/>
  <c r="E13" i="13"/>
  <c r="E14" i="13"/>
  <c r="E21" i="13"/>
  <c r="E6" i="13"/>
  <c r="E20" i="13"/>
  <c r="E5" i="13"/>
  <c r="E19" i="13"/>
  <c r="E4" i="13"/>
  <c r="E17" i="13"/>
  <c r="E3" i="13"/>
  <c r="E18" i="13"/>
  <c r="E16" i="13"/>
  <c r="E2" i="15"/>
  <c r="E4" i="15"/>
  <c r="E6" i="15"/>
  <c r="E7" i="15"/>
  <c r="E8" i="15"/>
  <c r="E9" i="15"/>
  <c r="E10" i="15"/>
  <c r="E11" i="15"/>
  <c r="E13" i="15"/>
  <c r="E14" i="15"/>
  <c r="E15" i="15"/>
  <c r="E16" i="15"/>
  <c r="E17" i="15"/>
  <c r="E18" i="15"/>
  <c r="E19" i="15"/>
  <c r="E20" i="15"/>
  <c r="E21" i="15"/>
  <c r="E22" i="15"/>
  <c r="E2" i="14"/>
  <c r="E3" i="14"/>
  <c r="E4" i="14"/>
  <c r="E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" i="11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9" i="11"/>
  <c r="E20" i="11"/>
  <c r="E21" i="11"/>
  <c r="E22" i="11"/>
  <c r="C19" i="7"/>
  <c r="C18" i="7"/>
  <c r="C14" i="7"/>
  <c r="C13" i="7"/>
  <c r="C12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Angela Paola Castiblanco Rodriguez</author>
  </authors>
  <commentList>
    <comment ref="V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Angela Paola Castiblanco Rodriguez: Se toma la inofrmacion de ingresos de la pagina 4 de 4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<sst xmlns="http://schemas.openxmlformats.org/spreadsheetml/2006/main" count="1105" uniqueCount="116">
  <si>
    <t xml:space="preserve">No </t>
  </si>
  <si>
    <t xml:space="preserve">PROVEEDOR </t>
  </si>
  <si>
    <t>NIT</t>
  </si>
  <si>
    <t xml:space="preserve">OBSERVACION </t>
  </si>
  <si>
    <t>ACTIVO CORRIENTE</t>
  </si>
  <si>
    <t>PASIVO CORRIENTE</t>
  </si>
  <si>
    <t>ACTIVO TOTAL</t>
  </si>
  <si>
    <t>PASIVO TOTAL</t>
  </si>
  <si>
    <t>PATRIMONIO TOTAL</t>
  </si>
  <si>
    <t>UTILIDAD OPERACIONAL</t>
  </si>
  <si>
    <t>GASTOS DE INTERESES</t>
  </si>
  <si>
    <t>INGRESOS ACTIVIDADES ORDINARIAS</t>
  </si>
  <si>
    <t>CODIGO UNSPSC</t>
  </si>
  <si>
    <t xml:space="preserve">FILTRO.   SECTOR </t>
  </si>
  <si>
    <t>FUENTE DE INFORMACION</t>
  </si>
  <si>
    <t>CORTE INFORMAC. FINANCIERA</t>
  </si>
  <si>
    <t>ACTIVIDAD 
RESOLUCION 2225-2019</t>
  </si>
  <si>
    <t>MIPYMES</t>
  </si>
  <si>
    <t>RANGO MIPYME INGRESOS 2022 $
EN (UVT )</t>
  </si>
  <si>
    <t>CLASIFICACION DECRETO 957 DE 2019</t>
  </si>
  <si>
    <t>CLASIFICACION RUP</t>
  </si>
  <si>
    <t>CERTIFICADO DE EXISTENCIA Y REP LEGAL</t>
  </si>
  <si>
    <t>ACTIVO TOTAL MENOS PATRIMONIO = PASIVO TOTAL</t>
  </si>
  <si>
    <t>CAPITAL DE TRABAJO  =ACTIVO CTE - PASIVO CTE PASIVO TOTAL</t>
  </si>
  <si>
    <t>PATRIMONIO = ACTIVO TOTAL MENOS PASIVO TOTAL</t>
  </si>
  <si>
    <t>PASIVO TOTAL RUES</t>
  </si>
  <si>
    <t>RUES R. PATRIMONIO</t>
  </si>
  <si>
    <t>LIQUIDEZ</t>
  </si>
  <si>
    <t>ENDEUDAMIENTO</t>
  </si>
  <si>
    <t>COBERTURA DE INTERESES</t>
  </si>
  <si>
    <t>RENTABILIDAD PATRIMONIO</t>
  </si>
  <si>
    <t>RENTABILIDAD ACTIVO</t>
  </si>
  <si>
    <t>AITEC S.A.S</t>
  </si>
  <si>
    <t>SI RUP</t>
  </si>
  <si>
    <t>EVALUACIÓN IMPACTO AMBIENTAL</t>
  </si>
  <si>
    <t>RUES</t>
  </si>
  <si>
    <t>SI</t>
  </si>
  <si>
    <t>MEDIANA EMPRESA</t>
  </si>
  <si>
    <t>GRAN EMPRESA</t>
  </si>
  <si>
    <t>PLANEACIÓN AMBIENTAL</t>
  </si>
  <si>
    <t>RSS</t>
  </si>
  <si>
    <t>ANDEAN GEOLOGICAL SERVICES LIMITADA A.G.S.</t>
  </si>
  <si>
    <t>MICROEMPRESA</t>
  </si>
  <si>
    <t>MONTAJES Y CONSTRUCCIONES FERMAR S.A.S</t>
  </si>
  <si>
    <t>SOFORESTA S.A.S.</t>
  </si>
  <si>
    <t>AZUL URBANO LIMITADA</t>
  </si>
  <si>
    <t>PEQUEÑA EMPRESA</t>
  </si>
  <si>
    <t>C.I. HIDRO GEO S.A.S.</t>
  </si>
  <si>
    <t>INGENIERÍA CIVIL</t>
  </si>
  <si>
    <t>CRATOS SOLUCIONES INTEGRALES SAS</t>
  </si>
  <si>
    <t>DESARROLLAMOS INGENIERIA S.A.S.</t>
  </si>
  <si>
    <t>ETEL LTDA EN REORGANIZACION</t>
  </si>
  <si>
    <t xml:space="preserve">PEQUEÑA EMPRESA </t>
  </si>
  <si>
    <t>G63 INFRAESTRUCTURA Y SERVICIOS S.A.S</t>
  </si>
  <si>
    <t>HIDRODUCTOS S.A.S</t>
  </si>
  <si>
    <t>INGENIERIA JOULES M. E. C. S.A.S.</t>
  </si>
  <si>
    <t>CONSTRUCCIONES AL DIA SAS</t>
  </si>
  <si>
    <t>GRUCON S.A.S.</t>
  </si>
  <si>
    <t>HYMAC INGENIERIA SAS</t>
  </si>
  <si>
    <t>NO</t>
  </si>
  <si>
    <t>INGENIERÍA Y CONSTRUCCIÓN PALACIO BAENA S.A.S.</t>
  </si>
  <si>
    <t>INGENIERIA Y GESTION DE LA INFORMACION LIMITADA INGFOCOL</t>
  </si>
  <si>
    <t>JAM INGENIERIA Y MEDIO AMBIENTE SAS</t>
  </si>
  <si>
    <t>NEW GAS AND OIL S.A.S</t>
  </si>
  <si>
    <t>O R INGENIERIA S A S</t>
  </si>
  <si>
    <t>RM INGENIEROS S.A.S</t>
  </si>
  <si>
    <t>PROYECTAR INGENIERIA S.A.S.</t>
  </si>
  <si>
    <t>VALOR UVT2023</t>
  </si>
  <si>
    <t>N</t>
  </si>
  <si>
    <t xml:space="preserve">Valor mínimo </t>
  </si>
  <si>
    <t>Q1</t>
  </si>
  <si>
    <t>Q2</t>
  </si>
  <si>
    <t>Q3</t>
  </si>
  <si>
    <t xml:space="preserve">Valor máximo </t>
  </si>
  <si>
    <t>RC</t>
  </si>
  <si>
    <t>Limite inferior</t>
  </si>
  <si>
    <t>Limite Superior</t>
  </si>
  <si>
    <t>MEDIANA</t>
  </si>
  <si>
    <t>PROMEDIO</t>
  </si>
  <si>
    <t xml:space="preserve">DESVIACION ESTANDAR </t>
  </si>
  <si>
    <t>INDICE DE ENDEUDAMIENTO</t>
  </si>
  <si>
    <t>COBERTURA DE INTERES</t>
  </si>
  <si>
    <t>RENTABILIDAD DEL PATRIMONIO</t>
  </si>
  <si>
    <t>RENTABILIDAD DEL ACTIVO</t>
  </si>
  <si>
    <t>INDICADOR</t>
  </si>
  <si>
    <t>FORMULA</t>
  </si>
  <si>
    <t>MARGEN SOLICITADO</t>
  </si>
  <si>
    <t>Liquidez</t>
  </si>
  <si>
    <t>Activo corriente / Pasivo corriente.</t>
  </si>
  <si>
    <t>Nivel de endeudamiento</t>
  </si>
  <si>
    <t>Pasivo total / Activo total.</t>
  </si>
  <si>
    <t>Razón de Cobertura de intereses</t>
  </si>
  <si>
    <t>Utilidad Operacional / Gasto de intereses.</t>
  </si>
  <si>
    <t>Rentabilidad del Patrimonio</t>
  </si>
  <si>
    <t>Utilidad Operacional / Patrimonio.</t>
  </si>
  <si>
    <t>Rentabilidad del Activo</t>
  </si>
  <si>
    <t>Utilidad Operacional / Activo Total.</t>
  </si>
  <si>
    <t>Mayor o igual a 6%</t>
  </si>
  <si>
    <t>INGENIERIA CIVIL Y GEODESIA SAS INCIGE SAS</t>
  </si>
  <si>
    <t>ECODES INGENIERIA SAS</t>
  </si>
  <si>
    <t>Mayor o igual a 4.80</t>
  </si>
  <si>
    <t>CAPITAL DE TRABAJO</t>
  </si>
  <si>
    <t>Capital de Trabajo</t>
  </si>
  <si>
    <t>Activo Corriente / Pasivo Corriente</t>
  </si>
  <si>
    <t>Mayor o igual al 10% presupuesto oficial</t>
  </si>
  <si>
    <t>INDETERMINADO</t>
  </si>
  <si>
    <t>MEDIANA - DESVIACION</t>
  </si>
  <si>
    <t>PROMEDIO - DESVIACION</t>
  </si>
  <si>
    <t>COMO ESTABAN</t>
  </si>
  <si>
    <t>AJUSTADOS</t>
  </si>
  <si>
    <t>CAMBIA</t>
  </si>
  <si>
    <t>RUP</t>
  </si>
  <si>
    <t>PARTICIPACIÓN</t>
  </si>
  <si>
    <t>Mayor o igual a 3,27</t>
  </si>
  <si>
    <t>Menor o igual a 48%</t>
  </si>
  <si>
    <t>Mayor o igual a 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</si>
</sst>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#,##0.0"/>
    <numFmt numFmtId="166" formatCode="0.0"/>
    <numFmt numFmtId="167" formatCode="0.0%"/>
    <numFmt numFmtId="168" formatCode="_-* #,##0\ _€_-;\-* #,##0\ _€_-;_-* &quot;-&quot;??\ _€_-;_-@_-"/>
    <numFmt numFmtId="169" formatCode="_-[$$-240A]\ * #,##0.00_-;\-[$$-240A]\ * #,##0.00_-;_-[$$-240A]\ * &quot;-&quot;??_-;_-@_-"/>
  </numFmts>
  <fonts count="14" x14ac:knownFonts="1"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9"/>
      <color theme="1"/>
      <name val="Calibri"/>
      <family val="2"/>
      <scheme val="minor"/>
    </font>
    <font>
      <sz val="8"/>
      <name val="Arial Narrow"/>
      <family val="2"/>
    </font>
    <font>
      <b/>
      <sz val="9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theme="1"/>
      <name val="Arial Narrow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3">
    <xf numFmtId="0" fontId="0" fillId="0" borderId="0"/>
    <xf numFmtId="9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92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0" applyNumberFormat="1" applyFont="1" applyFill="1" applyBorder="1" applyAlignment="1">
      <alignment horizontal="center" vertical="center" wrapText="1"/>
    </xf>
    <xf numFmtId="167" fontId="5" fillId="0" borderId="0" xfId="0" applyNumberFormat="1" applyFont="1"/>
    <xf numFmtId="9" fontId="5" fillId="0" borderId="0" xfId="0" applyNumberFormat="1" applyFont="1"/>
    <xf numFmtId="164" fontId="9" fillId="2" borderId="3" xfId="0" applyNumberFormat="1" applyFont="1" applyFill="1" applyBorder="1" applyAlignment="1">
      <alignment horizontal="center" vertical="center" wrapText="1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0" fillId="2" borderId="5" xfId="0" applyNumberFormat="1" applyFont="1" applyFill="1" applyBorder="1" applyAlignment="1">
      <alignment horizontal="center" vertical="center" wrapText="1"/>
    </xf>
    <xf numFmtId="164" fontId="10" fillId="2" borderId="6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wrapText="1"/>
    </xf>
    <xf numFmtId="164" fontId="10" fillId="4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0" xfId="0" applyFont="1"/>
    <xf numFmtId="16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9" fontId="7" fillId="0" borderId="1" xfId="1" applyFont="1" applyFill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167" fontId="7" fillId="0" borderId="1" xfId="1" applyNumberFormat="1" applyFont="1" applyFill="1" applyBorder="1" applyAlignment="1">
      <alignment horizontal="center" vertical="center"/>
    </xf>
    <xf numFmtId="0" fontId="7" fillId="0" borderId="1" xfId="0" applyFont="1" applyBorder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166" fontId="5" fillId="0" borderId="0" xfId="0" applyNumberFormat="1" applyFont="1"/>
    <xf numFmtId="0" fontId="5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/>
    </xf>
    <xf numFmtId="167" fontId="7" fillId="0" borderId="0" xfId="1" applyNumberFormat="1" applyFont="1" applyFill="1" applyBorder="1" applyAlignment="1">
      <alignment horizontal="center" vertical="center"/>
    </xf>
    <xf numFmtId="10" fontId="5" fillId="0" borderId="0" xfId="1" applyNumberFormat="1" applyFont="1"/>
    <xf numFmtId="0" fontId="7" fillId="0" borderId="1" xfId="0" applyFont="1" applyBorder="1" applyAlignment="1">
      <alignment horizontal="center" vertical="center"/>
    </xf>
    <xf numFmtId="167" fontId="5" fillId="0" borderId="0" xfId="0" applyNumberFormat="1" applyFont="1" applyAlignment="1">
      <alignment vertical="center"/>
    </xf>
    <xf numFmtId="9" fontId="5" fillId="0" borderId="0" xfId="0" applyNumberFormat="1" applyFont="1" applyAlignment="1">
      <alignment vertical="center"/>
    </xf>
    <xf numFmtId="0" fontId="7" fillId="5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3" fontId="9" fillId="2" borderId="1" xfId="4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/>
    </xf>
    <xf numFmtId="168" fontId="5" fillId="0" borderId="1" xfId="4" applyNumberFormat="1" applyFont="1" applyBorder="1" applyAlignment="1">
      <alignment horizontal="right"/>
    </xf>
    <xf numFmtId="41" fontId="7" fillId="5" borderId="0" xfId="2" applyFont="1" applyFill="1" applyBorder="1" applyAlignment="1">
      <alignment vertical="center" wrapText="1"/>
    </xf>
    <xf numFmtId="41" fontId="7" fillId="5" borderId="0" xfId="2" applyFont="1" applyFill="1" applyBorder="1" applyAlignment="1">
      <alignment horizontal="center" vertical="center" wrapText="1"/>
    </xf>
    <xf numFmtId="4" fontId="5" fillId="0" borderId="0" xfId="0" applyNumberFormat="1" applyFont="1"/>
    <xf numFmtId="0" fontId="5" fillId="5" borderId="0" xfId="0" applyFont="1" applyFill="1"/>
    <xf numFmtId="168" fontId="7" fillId="0" borderId="1" xfId="4" applyNumberFormat="1" applyFont="1" applyFill="1" applyBorder="1" applyAlignment="1">
      <alignment vertical="center" wrapText="1"/>
    </xf>
    <xf numFmtId="41" fontId="5" fillId="0" borderId="1" xfId="3" applyFont="1" applyFill="1" applyBorder="1" applyAlignment="1">
      <alignment horizontal="center" vertical="center"/>
    </xf>
    <xf numFmtId="41" fontId="7" fillId="0" borderId="1" xfId="3" applyFont="1" applyFill="1" applyBorder="1" applyAlignment="1">
      <alignment vertical="center"/>
    </xf>
    <xf numFmtId="0" fontId="6" fillId="0" borderId="0" xfId="0" applyFont="1" applyAlignment="1">
      <alignment horizontal="center"/>
    </xf>
    <xf numFmtId="41" fontId="7" fillId="5" borderId="0" xfId="3" applyFont="1" applyFill="1" applyBorder="1" applyAlignment="1">
      <alignment horizontal="center" vertical="center"/>
    </xf>
    <xf numFmtId="41" fontId="5" fillId="5" borderId="0" xfId="2" applyFont="1" applyFill="1" applyBorder="1" applyAlignment="1">
      <alignment horizontal="left" vertical="center" wrapText="1"/>
    </xf>
    <xf numFmtId="3" fontId="1" fillId="5" borderId="0" xfId="0" applyNumberFormat="1" applyFont="1" applyFill="1" applyAlignment="1">
      <alignment horizontal="center" vertical="center"/>
    </xf>
    <xf numFmtId="43" fontId="10" fillId="0" borderId="0" xfId="4" applyFont="1" applyFill="1" applyBorder="1" applyAlignment="1">
      <alignment vertical="center"/>
    </xf>
    <xf numFmtId="2" fontId="7" fillId="0" borderId="0" xfId="0" applyNumberFormat="1" applyFont="1" applyAlignment="1">
      <alignment horizontal="center" vertical="center"/>
    </xf>
    <xf numFmtId="9" fontId="7" fillId="0" borderId="0" xfId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1" fontId="7" fillId="0" borderId="1" xfId="2" applyFont="1" applyFill="1" applyBorder="1" applyAlignment="1">
      <alignment vertical="center" wrapText="1"/>
    </xf>
    <xf numFmtId="41" fontId="7" fillId="0" borderId="1" xfId="2" applyFont="1" applyFill="1" applyBorder="1" applyAlignment="1">
      <alignment horizontal="center" vertical="center" wrapText="1"/>
    </xf>
    <xf numFmtId="1" fontId="7" fillId="0" borderId="1" xfId="2" applyNumberFormat="1" applyFont="1" applyFill="1" applyBorder="1" applyAlignment="1">
      <alignment horizontal="center" vertical="center" wrapText="1"/>
    </xf>
    <xf numFmtId="41" fontId="7" fillId="0" borderId="1" xfId="2" applyFont="1" applyFill="1" applyBorder="1" applyAlignment="1">
      <alignment horizontal="left" vertical="center" wrapText="1"/>
    </xf>
    <xf numFmtId="3" fontId="7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vertical="center"/>
    </xf>
    <xf numFmtId="0" fontId="7" fillId="0" borderId="1" xfId="2" applyNumberFormat="1" applyFont="1" applyFill="1" applyBorder="1" applyAlignment="1">
      <alignment horizontal="center" vertical="center" wrapText="1"/>
    </xf>
    <xf numFmtId="41" fontId="7" fillId="0" borderId="0" xfId="2" applyFont="1" applyFill="1" applyBorder="1" applyAlignment="1">
      <alignment vertical="center" wrapText="1"/>
    </xf>
    <xf numFmtId="2" fontId="5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0" xfId="0" applyFont="1" applyFill="1"/>
    <xf numFmtId="3" fontId="7" fillId="4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wrapText="1"/>
    </xf>
    <xf numFmtId="0" fontId="7" fillId="5" borderId="8" xfId="0" applyFont="1" applyFill="1" applyBorder="1"/>
    <xf numFmtId="0" fontId="7" fillId="5" borderId="0" xfId="0" applyFont="1" applyFill="1"/>
    <xf numFmtId="41" fontId="5" fillId="0" borderId="1" xfId="2" applyFont="1" applyFill="1" applyBorder="1" applyAlignment="1">
      <alignment horizontal="center" vertical="center"/>
    </xf>
    <xf numFmtId="10" fontId="5" fillId="0" borderId="0" xfId="0" applyNumberFormat="1" applyFont="1"/>
    <xf numFmtId="41" fontId="5" fillId="0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164" fontId="7" fillId="5" borderId="2" xfId="0" applyNumberFormat="1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43" fontId="7" fillId="0" borderId="1" xfId="4" applyFont="1" applyFill="1" applyBorder="1" applyAlignment="1">
      <alignment vertical="center"/>
    </xf>
    <xf numFmtId="3" fontId="7" fillId="0" borderId="9" xfId="0" applyNumberFormat="1" applyFont="1" applyBorder="1" applyAlignment="1">
      <alignment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9" fontId="7" fillId="0" borderId="1" xfId="0" applyNumberFormat="1" applyFont="1" applyBorder="1" applyAlignment="1">
      <alignment horizontal="center" vertical="center"/>
    </xf>
    <xf numFmtId="2" fontId="5" fillId="8" borderId="1" xfId="0" applyNumberFormat="1" applyFont="1" applyFill="1" applyBorder="1"/>
    <xf numFmtId="0" fontId="5" fillId="0" borderId="1" xfId="0" applyFont="1" applyBorder="1"/>
    <xf numFmtId="2" fontId="5" fillId="9" borderId="1" xfId="0" applyNumberFormat="1" applyFont="1" applyFill="1" applyBorder="1"/>
    <xf numFmtId="2" fontId="5" fillId="0" borderId="1" xfId="0" applyNumberFormat="1" applyFont="1" applyBorder="1"/>
    <xf numFmtId="0" fontId="5" fillId="7" borderId="1" xfId="0" applyFont="1" applyFill="1" applyBorder="1"/>
    <xf numFmtId="4" fontId="5" fillId="0" borderId="1" xfId="0" applyNumberFormat="1" applyFont="1" applyBorder="1"/>
    <xf numFmtId="2" fontId="5" fillId="0" borderId="0" xfId="0" applyNumberFormat="1" applyFont="1"/>
    <xf numFmtId="9" fontId="5" fillId="0" borderId="1" xfId="1" applyFont="1" applyBorder="1"/>
    <xf numFmtId="0" fontId="13" fillId="0" borderId="1" xfId="0" applyFont="1" applyBorder="1"/>
    <xf numFmtId="9" fontId="13" fillId="0" borderId="1" xfId="1" applyFont="1" applyBorder="1"/>
    <xf numFmtId="9" fontId="13" fillId="0" borderId="1" xfId="1" applyFont="1" applyFill="1" applyBorder="1"/>
    <xf numFmtId="9" fontId="5" fillId="0" borderId="0" xfId="1" applyFont="1" applyFill="1" applyBorder="1"/>
    <xf numFmtId="10" fontId="5" fillId="0" borderId="0" xfId="1" applyNumberFormat="1" applyFont="1" applyFill="1" applyBorder="1"/>
    <xf numFmtId="164" fontId="7" fillId="5" borderId="2" xfId="0" applyNumberFormat="1" applyFont="1" applyFill="1" applyBorder="1" applyAlignment="1">
      <alignment horizontal="left" vertical="center" wrapText="1"/>
    </xf>
    <xf numFmtId="14" fontId="7" fillId="0" borderId="1" xfId="2" applyNumberFormat="1" applyFont="1" applyFill="1" applyBorder="1" applyAlignment="1">
      <alignment horizontal="center" vertical="center" wrapText="1"/>
    </xf>
    <xf numFmtId="41" fontId="7" fillId="0" borderId="1" xfId="2" applyFont="1" applyFill="1" applyBorder="1" applyAlignment="1">
      <alignment horizontal="right" vertical="center" wrapText="1"/>
    </xf>
    <xf numFmtId="2" fontId="5" fillId="10" borderId="1" xfId="0" applyNumberFormat="1" applyFont="1" applyFill="1" applyBorder="1"/>
    <xf numFmtId="4" fontId="5" fillId="8" borderId="1" xfId="0" applyNumberFormat="1" applyFont="1" applyFill="1" applyBorder="1" applyAlignment="1">
      <alignment horizontal="center" vertical="center"/>
    </xf>
    <xf numFmtId="4" fontId="5" fillId="11" borderId="1" xfId="0" applyNumberFormat="1" applyFont="1" applyFill="1" applyBorder="1" applyAlignment="1">
      <alignment horizontal="center" vertical="center"/>
    </xf>
    <xf numFmtId="2" fontId="5" fillId="12" borderId="1" xfId="0" applyNumberFormat="1" applyFont="1" applyFill="1" applyBorder="1"/>
    <xf numFmtId="2" fontId="5" fillId="13" borderId="1" xfId="0" applyNumberFormat="1" applyFont="1" applyFill="1" applyBorder="1"/>
    <xf numFmtId="4" fontId="7" fillId="8" borderId="1" xfId="0" applyNumberFormat="1" applyFont="1" applyFill="1" applyBorder="1" applyAlignment="1">
      <alignment horizontal="center" vertical="center"/>
    </xf>
    <xf numFmtId="168" fontId="7" fillId="0" borderId="1" xfId="4" applyNumberFormat="1" applyFont="1" applyFill="1" applyBorder="1" applyAlignment="1">
      <alignment horizontal="right" vertical="center" wrapText="1"/>
    </xf>
    <xf numFmtId="41" fontId="7" fillId="0" borderId="1" xfId="3" applyFont="1" applyFill="1" applyBorder="1" applyAlignment="1">
      <alignment horizontal="right" vertical="center"/>
    </xf>
    <xf numFmtId="41" fontId="7" fillId="0" borderId="1" xfId="2" applyFont="1" applyFill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" fontId="7" fillId="0" borderId="2" xfId="2" applyNumberFormat="1" applyFont="1" applyFill="1" applyBorder="1" applyAlignment="1">
      <alignment horizontal="center" vertical="center" wrapText="1"/>
    </xf>
    <xf numFmtId="41" fontId="7" fillId="0" borderId="2" xfId="2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center" wrapText="1"/>
    </xf>
    <xf numFmtId="9" fontId="7" fillId="0" borderId="2" xfId="1" applyFont="1" applyFill="1" applyBorder="1" applyAlignment="1">
      <alignment horizontal="center" vertical="center"/>
    </xf>
    <xf numFmtId="9" fontId="7" fillId="0" borderId="3" xfId="1" applyFont="1" applyFill="1" applyBorder="1" applyAlignment="1">
      <alignment horizontal="center" vertical="center"/>
    </xf>
    <xf numFmtId="9" fontId="7" fillId="0" borderId="10" xfId="1" applyFont="1" applyFill="1" applyBorder="1" applyAlignment="1">
      <alignment horizontal="center" vertical="center"/>
    </xf>
    <xf numFmtId="41" fontId="5" fillId="0" borderId="1" xfId="3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167" fontId="7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9" fontId="7" fillId="8" borderId="1" xfId="1" applyFont="1" applyFill="1" applyBorder="1" applyAlignment="1">
      <alignment horizontal="center" vertical="center"/>
    </xf>
    <xf numFmtId="0" fontId="5" fillId="5" borderId="1" xfId="0" applyFont="1" applyFill="1" applyBorder="1"/>
    <xf numFmtId="4" fontId="5" fillId="9" borderId="1" xfId="0" applyNumberFormat="1" applyFont="1" applyFill="1" applyBorder="1" applyAlignment="1">
      <alignment horizontal="center" vertical="center"/>
    </xf>
    <xf numFmtId="9" fontId="7" fillId="5" borderId="1" xfId="1" applyFont="1" applyFill="1" applyBorder="1" applyAlignment="1">
      <alignment horizontal="center" vertical="center"/>
    </xf>
    <xf numFmtId="10" fontId="7" fillId="0" borderId="0" xfId="1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5" fillId="9" borderId="0" xfId="0" applyFont="1" applyFill="1"/>
    <xf numFmtId="9" fontId="5" fillId="9" borderId="0" xfId="0" applyNumberFormat="1" applyFont="1" applyFill="1"/>
    <xf numFmtId="3" fontId="2" fillId="5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horizontal="left" vertical="center" wrapText="1"/>
    </xf>
    <xf numFmtId="1" fontId="10" fillId="5" borderId="1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1" fontId="7" fillId="5" borderId="1" xfId="0" applyNumberFormat="1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/>
    </xf>
    <xf numFmtId="3" fontId="2" fillId="5" borderId="1" xfId="0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vertical="center"/>
    </xf>
    <xf numFmtId="169" fontId="7" fillId="0" borderId="1" xfId="0" applyNumberFormat="1" applyFont="1" applyBorder="1" applyAlignment="1">
      <alignment horizontal="center" vertical="center" wrapText="1"/>
    </xf>
    <xf numFmtId="169" fontId="7" fillId="0" borderId="1" xfId="0" applyNumberFormat="1" applyFont="1" applyBorder="1" applyAlignment="1">
      <alignment horizontal="center" vertical="center"/>
    </xf>
    <xf numFmtId="169" fontId="7" fillId="0" borderId="1" xfId="4" applyNumberFormat="1" applyFont="1" applyFill="1" applyBorder="1" applyAlignment="1">
      <alignment horizontal="center" vertical="center" wrapText="1"/>
    </xf>
    <xf numFmtId="169" fontId="7" fillId="0" borderId="1" xfId="3" applyNumberFormat="1" applyFont="1" applyFill="1" applyBorder="1" applyAlignment="1">
      <alignment horizontal="center" vertical="center"/>
    </xf>
    <xf numFmtId="169" fontId="7" fillId="0" borderId="9" xfId="0" applyNumberFormat="1" applyFont="1" applyBorder="1" applyAlignment="1">
      <alignment horizontal="center" vertical="center" wrapText="1"/>
    </xf>
    <xf numFmtId="169" fontId="7" fillId="0" borderId="1" xfId="2" applyNumberFormat="1" applyFont="1" applyFill="1" applyBorder="1" applyAlignment="1">
      <alignment horizontal="center" vertical="center" wrapText="1"/>
    </xf>
    <xf numFmtId="169" fontId="7" fillId="0" borderId="9" xfId="2" applyNumberFormat="1" applyFont="1" applyFill="1" applyBorder="1" applyAlignment="1">
      <alignment horizontal="center" vertical="center" wrapText="1"/>
    </xf>
    <xf numFmtId="169" fontId="7" fillId="0" borderId="2" xfId="2" applyNumberFormat="1" applyFont="1" applyFill="1" applyBorder="1" applyAlignment="1">
      <alignment horizontal="center" vertical="center" wrapText="1"/>
    </xf>
    <xf numFmtId="164" fontId="7" fillId="5" borderId="9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41" fontId="5" fillId="0" borderId="9" xfId="2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5" fillId="12" borderId="1" xfId="0" applyNumberFormat="1" applyFont="1" applyFill="1" applyBorder="1" applyAlignment="1">
      <alignment horizontal="center" vertical="center"/>
    </xf>
    <xf numFmtId="4" fontId="5" fillId="13" borderId="1" xfId="0" applyNumberFormat="1" applyFont="1" applyFill="1" applyBorder="1" applyAlignment="1">
      <alignment horizontal="center" vertical="center"/>
    </xf>
    <xf numFmtId="2" fontId="5" fillId="15" borderId="1" xfId="0" applyNumberFormat="1" applyFont="1" applyFill="1" applyBorder="1"/>
    <xf numFmtId="4" fontId="5" fillId="15" borderId="1" xfId="0" applyNumberFormat="1" applyFont="1" applyFill="1" applyBorder="1" applyAlignment="1">
      <alignment horizontal="center" vertical="center"/>
    </xf>
    <xf numFmtId="4" fontId="5" fillId="10" borderId="1" xfId="0" applyNumberFormat="1" applyFont="1" applyFill="1" applyBorder="1" applyAlignment="1">
      <alignment horizontal="center" vertical="center"/>
    </xf>
    <xf numFmtId="2" fontId="5" fillId="11" borderId="1" xfId="0" applyNumberFormat="1" applyFont="1" applyFill="1" applyBorder="1"/>
    <xf numFmtId="2" fontId="5" fillId="16" borderId="1" xfId="0" applyNumberFormat="1" applyFont="1" applyFill="1" applyBorder="1"/>
    <xf numFmtId="9" fontId="5" fillId="8" borderId="1" xfId="1" applyFont="1" applyFill="1" applyBorder="1" applyAlignment="1">
      <alignment horizontal="center"/>
    </xf>
    <xf numFmtId="9" fontId="5" fillId="0" borderId="1" xfId="1" applyFont="1" applyFill="1" applyBorder="1" applyAlignment="1">
      <alignment horizontal="center"/>
    </xf>
    <xf numFmtId="9" fontId="5" fillId="10" borderId="1" xfId="1" applyFont="1" applyFill="1" applyBorder="1" applyAlignment="1">
      <alignment horizontal="center"/>
    </xf>
    <xf numFmtId="9" fontId="5" fillId="7" borderId="0" xfId="0" applyNumberFormat="1" applyFont="1" applyFill="1"/>
    <xf numFmtId="0" fontId="2" fillId="7" borderId="1" xfId="0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41" fontId="9" fillId="2" borderId="1" xfId="0" applyNumberFormat="1" applyFont="1" applyFill="1" applyBorder="1" applyAlignment="1">
      <alignment horizontal="center" vertical="center" wrapText="1"/>
    </xf>
    <xf numFmtId="41" fontId="9" fillId="2" borderId="3" xfId="0" applyNumberFormat="1" applyFont="1" applyFill="1" applyBorder="1" applyAlignment="1">
      <alignment horizontal="center" vertical="center" wrapText="1"/>
    </xf>
    <xf numFmtId="9" fontId="7" fillId="0" borderId="0" xfId="1" applyFont="1"/>
    <xf numFmtId="9" fontId="5" fillId="17" borderId="0" xfId="0" applyNumberFormat="1" applyFont="1" applyFill="1"/>
  </cellXfs>
  <cellStyles count="13">
    <cellStyle name="Millares" xfId="4" builtinId="3"/>
    <cellStyle name="Millares [0]" xfId="2" builtinId="6"/>
    <cellStyle name="Millares [0] 2" xfId="3" xr:uid="{00000000-0005-0000-0000-000002000000}"/>
    <cellStyle name="Millares [0] 2 2" xfId="6" xr:uid="{284AC2B9-14DB-4F2B-BA0C-2983ACC218DB}"/>
    <cellStyle name="Millares [0] 2 3" xfId="11" xr:uid="{CF383CA8-1E58-4495-BDA9-7E60034F12FC}"/>
    <cellStyle name="Millares [0] 3" xfId="5" xr:uid="{F9F507B6-0473-450E-9725-4DC3C03CFE9B}"/>
    <cellStyle name="Millares [0] 4" xfId="10" xr:uid="{E0A3C529-4E7F-47D2-91B1-20E8BE8A980C}"/>
    <cellStyle name="Millares 2" xfId="7" xr:uid="{807A8B7E-AD99-41A7-BCD4-0F82AA535622}"/>
    <cellStyle name="Millares 3" xfId="8" xr:uid="{88A7A448-9C26-44CE-B479-4FD8A010D821}"/>
    <cellStyle name="Millares 4" xfId="9" xr:uid="{3058A61D-CA18-4A18-9605-704ADBE7CCDA}"/>
    <cellStyle name="Millares 5" xfId="12" xr:uid="{F7EA0859-B4CD-4F5A-857B-A20A6E003556}"/>
    <cellStyle name="Normal" xfId="0" builtinId="0"/>
    <cellStyle name="Porcentaj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D71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4202315047018613"/>
          <c:y val="7.706854131587651E-2"/>
          <c:w val="0.84739412814488335"/>
          <c:h val="0.4469559282617762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LIQUIDEZ!$E$31</c:f>
              <c:strCache>
                <c:ptCount val="1"/>
                <c:pt idx="0">
                  <c:v> LIQUIDEZ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24"/>
              <c:layout>
                <c:manualLayout>
                  <c:x val="-1.6771488469601678E-2"/>
                  <c:y val="1.01587301587301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C0A-4AA4-B49A-B06CA27386C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LIQUIDEZ!$B$32:$B$56</c:f>
              <c:strCache>
                <c:ptCount val="25"/>
                <c:pt idx="0">
                  <c:v>MONTAJES Y CONSTRUCCIONES FERMAR S.A.S</c:v>
                </c:pt>
                <c:pt idx="1">
                  <c:v>SOFORESTA S.A.S.</c:v>
                </c:pt>
                <c:pt idx="2">
                  <c:v>AZUL URBANO LIMITADA</c:v>
                </c:pt>
                <c:pt idx="3">
                  <c:v>C.I. HIDRO GEO S.A.S.</c:v>
                </c:pt>
                <c:pt idx="4">
                  <c:v>DESARROLLAMOS INGENIERIA S.A.S.</c:v>
                </c:pt>
                <c:pt idx="5">
                  <c:v>ETEL LTDA EN REORGANIZACION</c:v>
                </c:pt>
                <c:pt idx="6">
                  <c:v>NEW GAS AND OIL S.A.S</c:v>
                </c:pt>
                <c:pt idx="7">
                  <c:v>INGENIERÍA Y CONSTRUCCIÓN PALACIO BAENA S.A.S.</c:v>
                </c:pt>
                <c:pt idx="8">
                  <c:v>O R INGENIERIA S A S</c:v>
                </c:pt>
                <c:pt idx="9">
                  <c:v>G63 INFRAESTRUCTURA Y SERVICIOS S.A.S</c:v>
                </c:pt>
                <c:pt idx="10">
                  <c:v>INGENIERIA JOULES M. E. C. S.A.S.</c:v>
                </c:pt>
                <c:pt idx="11">
                  <c:v>CONSTRUCCIONES AL DIA SAS</c:v>
                </c:pt>
                <c:pt idx="12">
                  <c:v>GRUCON S.A.S.</c:v>
                </c:pt>
                <c:pt idx="13">
                  <c:v>ANDEAN GEOLOGICAL SERVICES LIMITADA A.G.S.</c:v>
                </c:pt>
                <c:pt idx="14">
                  <c:v>JAM INGENIERIA Y MEDIO AMBIENTE SAS</c:v>
                </c:pt>
                <c:pt idx="15">
                  <c:v>CRATOS SOLUCIONES INTEGRALES SAS</c:v>
                </c:pt>
                <c:pt idx="16">
                  <c:v>INGENIERIA Y GESTION DE LA INFORMACION LIMITADA INGFOCOL</c:v>
                </c:pt>
                <c:pt idx="17">
                  <c:v>HIDRODUCTOS S.A.S</c:v>
                </c:pt>
                <c:pt idx="18">
                  <c:v>RM INGENIEROS S.A.S</c:v>
                </c:pt>
                <c:pt idx="19">
                  <c:v>HYMAC INGENIERIA SAS</c:v>
                </c:pt>
                <c:pt idx="20">
                  <c:v>AITEC S.A.S</c:v>
                </c:pt>
                <c:pt idx="21">
                  <c:v>PROYECTAR INGENIERIA S.A.S.</c:v>
                </c:pt>
                <c:pt idx="22">
                  <c:v>INGENIERIA CIVIL Y GEODESIA SAS INCIGE SAS</c:v>
                </c:pt>
                <c:pt idx="23">
                  <c:v>ECODES INGENIERIA SAS</c:v>
                </c:pt>
                <c:pt idx="24">
                  <c:v>GRUCON S.A.S.</c:v>
                </c:pt>
              </c:strCache>
            </c:strRef>
          </c:cat>
          <c:val>
            <c:numRef>
              <c:f>LIQUIDEZ!$E$32:$E$56</c:f>
              <c:numCache>
                <c:formatCode>0.00</c:formatCode>
                <c:ptCount val="25"/>
                <c:pt idx="0">
                  <c:v>14.076805570698404</c:v>
                </c:pt>
                <c:pt idx="1">
                  <c:v>3.2707252861470666</c:v>
                </c:pt>
                <c:pt idx="2">
                  <c:v>18.030359282598837</c:v>
                </c:pt>
                <c:pt idx="3">
                  <c:v>26.585423993238294</c:v>
                </c:pt>
                <c:pt idx="4">
                  <c:v>2.2875516830788887</c:v>
                </c:pt>
                <c:pt idx="5">
                  <c:v>2.2259406232992172</c:v>
                </c:pt>
                <c:pt idx="6">
                  <c:v>3.946281750704971</c:v>
                </c:pt>
                <c:pt idx="7">
                  <c:v>5.5396011236849825</c:v>
                </c:pt>
                <c:pt idx="8">
                  <c:v>308.28148615820766</c:v>
                </c:pt>
                <c:pt idx="9">
                  <c:v>19.851317400924909</c:v>
                </c:pt>
                <c:pt idx="10">
                  <c:v>4.2269792677912079</c:v>
                </c:pt>
                <c:pt idx="11">
                  <c:v>5.6514367130898924</c:v>
                </c:pt>
                <c:pt idx="12">
                  <c:v>4.4057556609489756</c:v>
                </c:pt>
                <c:pt idx="13">
                  <c:v>9.0982519125484238</c:v>
                </c:pt>
                <c:pt idx="14">
                  <c:v>4.9909507772449544</c:v>
                </c:pt>
                <c:pt idx="15">
                  <c:v>13.834760109995697</c:v>
                </c:pt>
                <c:pt idx="16">
                  <c:v>3.2725767032909574</c:v>
                </c:pt>
                <c:pt idx="17">
                  <c:v>9.2950349090339479</c:v>
                </c:pt>
                <c:pt idx="18">
                  <c:v>14.984032525987699</c:v>
                </c:pt>
                <c:pt idx="19">
                  <c:v>5.4387398658030932</c:v>
                </c:pt>
                <c:pt idx="20">
                  <c:v>8.2111724578903278</c:v>
                </c:pt>
                <c:pt idx="21">
                  <c:v>2.543221483409023</c:v>
                </c:pt>
                <c:pt idx="22">
                  <c:v>4.9431415094204922</c:v>
                </c:pt>
                <c:pt idx="23">
                  <c:v>3.9800525207487194</c:v>
                </c:pt>
                <c:pt idx="24">
                  <c:v>4.4057556609489756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EB-43F1-8BB7-51AADB7769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134506880"/>
        <c:axId val="-2134509600"/>
      </c:barChart>
      <c:catAx>
        <c:axId val="-213450688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134509600"/>
        <c:crosses val="autoZero"/>
        <c:auto val="1"/>
        <c:lblAlgn val="ctr"/>
        <c:lblOffset val="100"/>
        <c:noMultiLvlLbl val="0"/>
      </c:catAx>
      <c:valAx>
        <c:axId val="-2134509600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134506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297305336832896"/>
          <c:y val="0.15643518518518518"/>
          <c:w val="0.83971391076115487"/>
          <c:h val="0.434490376202974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'NIVEL ENDEUDAMIENTO'!$E$30</c:f>
              <c:strCache>
                <c:ptCount val="1"/>
                <c:pt idx="0">
                  <c:v>INDICE DE ENDEUDAMIENTO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'NIVEL ENDEUDAMIENTO'!$B$31:$B$55</c:f>
              <c:strCache>
                <c:ptCount val="25"/>
                <c:pt idx="0">
                  <c:v>MONTAJES Y CONSTRUCCIONES FERMAR S.A.S</c:v>
                </c:pt>
                <c:pt idx="1">
                  <c:v>SOFORESTA S.A.S.</c:v>
                </c:pt>
                <c:pt idx="2">
                  <c:v>AZUL URBANO LIMITADA</c:v>
                </c:pt>
                <c:pt idx="3">
                  <c:v>C.I. HIDRO GEO S.A.S.</c:v>
                </c:pt>
                <c:pt idx="4">
                  <c:v>DESARROLLAMOS INGENIERIA S.A.S.</c:v>
                </c:pt>
                <c:pt idx="5">
                  <c:v>ETEL LTDA EN REORGANIZACION</c:v>
                </c:pt>
                <c:pt idx="6">
                  <c:v>NEW GAS AND OIL S.A.S</c:v>
                </c:pt>
                <c:pt idx="7">
                  <c:v>INGENIERÍA Y CONSTRUCCIÓN PALACIO BAENA S.A.S.</c:v>
                </c:pt>
                <c:pt idx="8">
                  <c:v>O R INGENIERIA S A S</c:v>
                </c:pt>
                <c:pt idx="9">
                  <c:v>G63 INFRAESTRUCTURA Y SERVICIOS S.A.S</c:v>
                </c:pt>
                <c:pt idx="10">
                  <c:v>INGENIERIA JOULES M. E. C. S.A.S.</c:v>
                </c:pt>
                <c:pt idx="11">
                  <c:v>CONSTRUCCIONES AL DIA SAS</c:v>
                </c:pt>
                <c:pt idx="12">
                  <c:v>GRUCON S.A.S.</c:v>
                </c:pt>
                <c:pt idx="13">
                  <c:v>ANDEAN GEOLOGICAL SERVICES LIMITADA A.G.S.</c:v>
                </c:pt>
                <c:pt idx="14">
                  <c:v>JAM INGENIERIA Y MEDIO AMBIENTE SAS</c:v>
                </c:pt>
                <c:pt idx="15">
                  <c:v>CRATOS SOLUCIONES INTEGRALES SAS</c:v>
                </c:pt>
                <c:pt idx="16">
                  <c:v>INGENIERIA Y GESTION DE LA INFORMACION LIMITADA INGFOCOL</c:v>
                </c:pt>
                <c:pt idx="17">
                  <c:v>HIDRODUCTOS S.A.S</c:v>
                </c:pt>
                <c:pt idx="18">
                  <c:v>RM INGENIEROS S.A.S</c:v>
                </c:pt>
                <c:pt idx="19">
                  <c:v>HYMAC INGENIERIA SAS</c:v>
                </c:pt>
                <c:pt idx="20">
                  <c:v>AITEC S.A.S</c:v>
                </c:pt>
                <c:pt idx="21">
                  <c:v>PROYECTAR INGENIERIA S.A.S.</c:v>
                </c:pt>
                <c:pt idx="22">
                  <c:v>INGENIERIA CIVIL Y GEODESIA SAS INCIGE SAS</c:v>
                </c:pt>
                <c:pt idx="23">
                  <c:v>ECODES INGENIERIA SAS</c:v>
                </c:pt>
                <c:pt idx="24">
                  <c:v>GRUCON S.A.S.</c:v>
                </c:pt>
              </c:strCache>
            </c:strRef>
          </c:cat>
          <c:val>
            <c:numRef>
              <c:f>'NIVEL ENDEUDAMIENTO'!$E$31:$E$55</c:f>
              <c:numCache>
                <c:formatCode>0%</c:formatCode>
                <c:ptCount val="25"/>
                <c:pt idx="0">
                  <c:v>0.3590172601559577</c:v>
                </c:pt>
                <c:pt idx="1">
                  <c:v>0.40691569763009572</c:v>
                </c:pt>
                <c:pt idx="2">
                  <c:v>0.72940802294544216</c:v>
                </c:pt>
                <c:pt idx="3">
                  <c:v>0.40711293944762039</c:v>
                </c:pt>
                <c:pt idx="4">
                  <c:v>0.31805917183050381</c:v>
                </c:pt>
                <c:pt idx="5">
                  <c:v>0.68022140504457718</c:v>
                </c:pt>
                <c:pt idx="6">
                  <c:v>0.16175994795411205</c:v>
                </c:pt>
                <c:pt idx="7">
                  <c:v>0.28231290468626075</c:v>
                </c:pt>
                <c:pt idx="8">
                  <c:v>0.41679208767083065</c:v>
                </c:pt>
                <c:pt idx="9">
                  <c:v>0.22218205708448391</c:v>
                </c:pt>
                <c:pt idx="10">
                  <c:v>0.2496021797198095</c:v>
                </c:pt>
                <c:pt idx="11">
                  <c:v>0.37278175985863482</c:v>
                </c:pt>
                <c:pt idx="12">
                  <c:v>0.37640749133144669</c:v>
                </c:pt>
                <c:pt idx="13">
                  <c:v>0.35320537181995265</c:v>
                </c:pt>
                <c:pt idx="14">
                  <c:v>0.34127995770918873</c:v>
                </c:pt>
                <c:pt idx="15">
                  <c:v>7.1868928824262754E-2</c:v>
                </c:pt>
                <c:pt idx="16">
                  <c:v>0.26777738668850881</c:v>
                </c:pt>
                <c:pt idx="17">
                  <c:v>0.1891240476186874</c:v>
                </c:pt>
                <c:pt idx="18">
                  <c:v>0.21148795404004683</c:v>
                </c:pt>
                <c:pt idx="19">
                  <c:v>0.25908125441521718</c:v>
                </c:pt>
                <c:pt idx="20">
                  <c:v>0.58280296826267752</c:v>
                </c:pt>
                <c:pt idx="21">
                  <c:v>0.31147672805370336</c:v>
                </c:pt>
                <c:pt idx="22">
                  <c:v>0.56459928331792431</c:v>
                </c:pt>
                <c:pt idx="23">
                  <c:v>0.56258145882990029</c:v>
                </c:pt>
                <c:pt idx="24">
                  <c:v>0.37640749133144669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84-4A80-8869-B1DA87B0BC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134506336"/>
        <c:axId val="-2134515040"/>
      </c:barChart>
      <c:catAx>
        <c:axId val="-21345063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134515040"/>
        <c:crosses val="autoZero"/>
        <c:auto val="1"/>
        <c:lblAlgn val="ctr"/>
        <c:lblOffset val="100"/>
        <c:noMultiLvlLbl val="0"/>
      </c:catAx>
      <c:valAx>
        <c:axId val="-2134515040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134506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'RAZON COBERTURA INTERESES'!$E$30</c:f>
              <c:strCache>
                <c:ptCount val="1"/>
                <c:pt idx="0">
                  <c:v> COBERTURA DE INTERES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'RAZON COBERTURA INTERESES'!$B$31:$B$54</c:f>
              <c:strCache>
                <c:ptCount val="24"/>
                <c:pt idx="0">
                  <c:v>MONTAJES Y CONSTRUCCIONES FERMAR S.A.S</c:v>
                </c:pt>
                <c:pt idx="1">
                  <c:v>SOFORESTA S.A.S.</c:v>
                </c:pt>
                <c:pt idx="2">
                  <c:v>AZUL URBANO LIMITADA</c:v>
                </c:pt>
                <c:pt idx="3">
                  <c:v>C.I. HIDRO GEO S.A.S.</c:v>
                </c:pt>
                <c:pt idx="4">
                  <c:v>DESARROLLAMOS INGENIERIA S.A.S.</c:v>
                </c:pt>
                <c:pt idx="5">
                  <c:v>ETEL LTDA EN REORGANIZACION</c:v>
                </c:pt>
                <c:pt idx="6">
                  <c:v>NEW GAS AND OIL S.A.S</c:v>
                </c:pt>
                <c:pt idx="7">
                  <c:v>INGENIERÍA Y CONSTRUCCIÓN PALACIO BAENA S.A.S.</c:v>
                </c:pt>
                <c:pt idx="8">
                  <c:v>O R INGENIERIA S A S</c:v>
                </c:pt>
                <c:pt idx="9">
                  <c:v>G63 INFRAESTRUCTURA Y SERVICIOS S.A.S</c:v>
                </c:pt>
                <c:pt idx="10">
                  <c:v>INGENIERIA JOULES M. E. C. S.A.S.</c:v>
                </c:pt>
                <c:pt idx="11">
                  <c:v>CONSTRUCCIONES AL DIA SAS</c:v>
                </c:pt>
                <c:pt idx="12">
                  <c:v>GRUCON S.A.S.</c:v>
                </c:pt>
                <c:pt idx="13">
                  <c:v>ANDEAN GEOLOGICAL SERVICES LIMITADA A.G.S.</c:v>
                </c:pt>
                <c:pt idx="14">
                  <c:v>JAM INGENIERIA Y MEDIO AMBIENTE SAS</c:v>
                </c:pt>
                <c:pt idx="15">
                  <c:v>CRATOS SOLUCIONES INTEGRALES SAS</c:v>
                </c:pt>
                <c:pt idx="16">
                  <c:v>INGENIERIA Y GESTION DE LA INFORMACION LIMITADA INGFOCOL</c:v>
                </c:pt>
                <c:pt idx="17">
                  <c:v>HIDRODUCTOS S.A.S</c:v>
                </c:pt>
                <c:pt idx="18">
                  <c:v>RM INGENIEROS S.A.S</c:v>
                </c:pt>
                <c:pt idx="19">
                  <c:v>AITEC S.A.S</c:v>
                </c:pt>
                <c:pt idx="20">
                  <c:v>PROYECTAR INGENIERIA S.A.S.</c:v>
                </c:pt>
                <c:pt idx="21">
                  <c:v>INGENIERIA CIVIL Y GEODESIA SAS INCIGE SAS</c:v>
                </c:pt>
                <c:pt idx="22">
                  <c:v>ECODES INGENIERIA SAS</c:v>
                </c:pt>
                <c:pt idx="23">
                  <c:v>GRUCON S.A.S.</c:v>
                </c:pt>
              </c:strCache>
            </c:strRef>
          </c:cat>
          <c:val>
            <c:numRef>
              <c:f>'RAZON COBERTURA INTERESES'!$E$31:$E$54</c:f>
              <c:numCache>
                <c:formatCode>#,##0.00</c:formatCode>
                <c:ptCount val="24"/>
                <c:pt idx="0">
                  <c:v>12.598773436214762</c:v>
                </c:pt>
                <c:pt idx="1">
                  <c:v>5.6499440036295212</c:v>
                </c:pt>
                <c:pt idx="2">
                  <c:v>3.4004460674612669</c:v>
                </c:pt>
                <c:pt idx="3">
                  <c:v>392.47876499012699</c:v>
                </c:pt>
                <c:pt idx="4">
                  <c:v>17.001960713684497</c:v>
                </c:pt>
                <c:pt idx="5">
                  <c:v>11.458053745470572</c:v>
                </c:pt>
                <c:pt idx="6">
                  <c:v>101.30483112441215</c:v>
                </c:pt>
                <c:pt idx="7">
                  <c:v>7334.9629114955196</c:v>
                </c:pt>
                <c:pt idx="8">
                  <c:v>9.7011820003760025</c:v>
                </c:pt>
                <c:pt idx="9">
                  <c:v>4.0974373625224674</c:v>
                </c:pt>
                <c:pt idx="10">
                  <c:v>19.243028950465089</c:v>
                </c:pt>
                <c:pt idx="11">
                  <c:v>4.5189616918478128</c:v>
                </c:pt>
                <c:pt idx="12">
                  <c:v>28.847850139015307</c:v>
                </c:pt>
                <c:pt idx="13">
                  <c:v>-64.402239674542884</c:v>
                </c:pt>
                <c:pt idx="14">
                  <c:v>21.384153685037308</c:v>
                </c:pt>
                <c:pt idx="15">
                  <c:v>9300.5429838709679</c:v>
                </c:pt>
                <c:pt idx="16">
                  <c:v>27.090155118234623</c:v>
                </c:pt>
                <c:pt idx="17">
                  <c:v>831.806810361673</c:v>
                </c:pt>
                <c:pt idx="18">
                  <c:v>20.562372853423387</c:v>
                </c:pt>
                <c:pt idx="19">
                  <c:v>2.9591214984428267</c:v>
                </c:pt>
                <c:pt idx="20">
                  <c:v>27.664957479601558</c:v>
                </c:pt>
                <c:pt idx="21">
                  <c:v>4.0698499881183396</c:v>
                </c:pt>
                <c:pt idx="22">
                  <c:v>5.9523801183622691</c:v>
                </c:pt>
                <c:pt idx="23">
                  <c:v>28.847850139015307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12-4D6F-A0C6-3737FBE342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134503616"/>
        <c:axId val="-2134501984"/>
      </c:barChart>
      <c:catAx>
        <c:axId val="-213450361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134501984"/>
        <c:crosses val="autoZero"/>
        <c:auto val="1"/>
        <c:lblAlgn val="ctr"/>
        <c:lblOffset val="100"/>
        <c:noMultiLvlLbl val="0"/>
      </c:catAx>
      <c:valAx>
        <c:axId val="-2134501984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134503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'CAPITAL DE TRABAJO'!$E$30</c:f>
              <c:strCache>
                <c:ptCount val="1"/>
                <c:pt idx="0">
                  <c:v> COBERTURA DE INTERES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'CAPITAL DE TRABAJO'!$B$31:$B$55</c:f>
              <c:strCache>
                <c:ptCount val="25"/>
                <c:pt idx="0">
                  <c:v>MONTAJES Y CONSTRUCCIONES FERMAR S.A.S</c:v>
                </c:pt>
                <c:pt idx="1">
                  <c:v>SOFORESTA S.A.S.</c:v>
                </c:pt>
                <c:pt idx="2">
                  <c:v>AZUL URBANO LIMITADA</c:v>
                </c:pt>
                <c:pt idx="3">
                  <c:v>C.I. HIDRO GEO S.A.S.</c:v>
                </c:pt>
                <c:pt idx="4">
                  <c:v>DESARROLLAMOS INGENIERIA S.A.S.</c:v>
                </c:pt>
                <c:pt idx="5">
                  <c:v>ETEL LTDA EN REORGANIZACION</c:v>
                </c:pt>
                <c:pt idx="6">
                  <c:v>NEW GAS AND OIL S.A.S</c:v>
                </c:pt>
                <c:pt idx="7">
                  <c:v>INGENIERÍA Y CONSTRUCCIÓN PALACIO BAENA S.A.S.</c:v>
                </c:pt>
                <c:pt idx="8">
                  <c:v>O R INGENIERIA S A S</c:v>
                </c:pt>
                <c:pt idx="9">
                  <c:v>G63 INFRAESTRUCTURA Y SERVICIOS S.A.S</c:v>
                </c:pt>
                <c:pt idx="10">
                  <c:v>INGENIERIA JOULES M. E. C. S.A.S.</c:v>
                </c:pt>
                <c:pt idx="11">
                  <c:v>CONSTRUCCIONES AL DIA SAS</c:v>
                </c:pt>
                <c:pt idx="12">
                  <c:v>GRUCON S.A.S.</c:v>
                </c:pt>
                <c:pt idx="13">
                  <c:v>ANDEAN GEOLOGICAL SERVICES LIMITADA A.G.S.</c:v>
                </c:pt>
                <c:pt idx="14">
                  <c:v>JAM INGENIERIA Y MEDIO AMBIENTE SAS</c:v>
                </c:pt>
                <c:pt idx="15">
                  <c:v>CRATOS SOLUCIONES INTEGRALES SAS</c:v>
                </c:pt>
                <c:pt idx="16">
                  <c:v>INGENIERIA Y GESTION DE LA INFORMACION LIMITADA INGFOCOL</c:v>
                </c:pt>
                <c:pt idx="17">
                  <c:v>HIDRODUCTOS S.A.S</c:v>
                </c:pt>
                <c:pt idx="18">
                  <c:v>RM INGENIEROS S.A.S</c:v>
                </c:pt>
                <c:pt idx="19">
                  <c:v>HYMAC INGENIERIA SAS</c:v>
                </c:pt>
                <c:pt idx="20">
                  <c:v>AITEC S.A.S</c:v>
                </c:pt>
                <c:pt idx="21">
                  <c:v>PROYECTAR INGENIERIA S.A.S.</c:v>
                </c:pt>
                <c:pt idx="22">
                  <c:v>INGENIERIA CIVIL Y GEODESIA SAS INCIGE SAS</c:v>
                </c:pt>
                <c:pt idx="23">
                  <c:v>ECODES INGENIERIA SAS</c:v>
                </c:pt>
                <c:pt idx="24">
                  <c:v>GRUCON S.A.S.</c:v>
                </c:pt>
              </c:strCache>
            </c:strRef>
          </c:cat>
          <c:val>
            <c:numRef>
              <c:f>'CAPITAL DE TRABAJO'!$E$31:$E$55</c:f>
              <c:numCache>
                <c:formatCode>#,##0</c:formatCode>
                <c:ptCount val="25"/>
                <c:pt idx="0">
                  <c:v>36614716791</c:v>
                </c:pt>
                <c:pt idx="1">
                  <c:v>8477891143</c:v>
                </c:pt>
                <c:pt idx="2">
                  <c:v>7573014848</c:v>
                </c:pt>
                <c:pt idx="3">
                  <c:v>1517604618</c:v>
                </c:pt>
                <c:pt idx="4">
                  <c:v>2375463585</c:v>
                </c:pt>
                <c:pt idx="5">
                  <c:v>7361278782</c:v>
                </c:pt>
                <c:pt idx="6">
                  <c:v>2181592000</c:v>
                </c:pt>
                <c:pt idx="7">
                  <c:v>3652924489</c:v>
                </c:pt>
                <c:pt idx="8">
                  <c:v>5767386187</c:v>
                </c:pt>
                <c:pt idx="9">
                  <c:v>6679448926</c:v>
                </c:pt>
                <c:pt idx="10">
                  <c:v>20637270944</c:v>
                </c:pt>
                <c:pt idx="11">
                  <c:v>14139871960</c:v>
                </c:pt>
                <c:pt idx="12">
                  <c:v>11187517864</c:v>
                </c:pt>
                <c:pt idx="13">
                  <c:v>2369628245</c:v>
                </c:pt>
                <c:pt idx="14">
                  <c:v>3844970095</c:v>
                </c:pt>
                <c:pt idx="15">
                  <c:v>542474189</c:v>
                </c:pt>
                <c:pt idx="16">
                  <c:v>253132406</c:v>
                </c:pt>
                <c:pt idx="17">
                  <c:v>609831440</c:v>
                </c:pt>
                <c:pt idx="18">
                  <c:v>2184722367</c:v>
                </c:pt>
                <c:pt idx="19">
                  <c:v>1947101762</c:v>
                </c:pt>
                <c:pt idx="20">
                  <c:v>5162304220</c:v>
                </c:pt>
                <c:pt idx="21">
                  <c:v>5412526596</c:v>
                </c:pt>
                <c:pt idx="22">
                  <c:v>4120256401</c:v>
                </c:pt>
                <c:pt idx="23">
                  <c:v>6194458124</c:v>
                </c:pt>
                <c:pt idx="24">
                  <c:v>11187517864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90-4F50-A7FE-178D7AFE4F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134503616"/>
        <c:axId val="-2134501984"/>
      </c:barChart>
      <c:catAx>
        <c:axId val="-213450361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134501984"/>
        <c:crosses val="autoZero"/>
        <c:auto val="1"/>
        <c:lblAlgn val="ctr"/>
        <c:lblOffset val="100"/>
        <c:noMultiLvlLbl val="0"/>
      </c:catAx>
      <c:valAx>
        <c:axId val="-2134501984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134503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'RENTABILIDAD PATRIMONIO'!$E$31</c:f>
              <c:strCache>
                <c:ptCount val="1"/>
                <c:pt idx="0">
                  <c:v> RENTABILIDAD DEL PATRIMONIO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'RENTABILIDAD PATRIMONIO'!$B$32:$B$56</c:f>
              <c:strCache>
                <c:ptCount val="25"/>
                <c:pt idx="0">
                  <c:v>MONTAJES Y CONSTRUCCIONES FERMAR S.A.S</c:v>
                </c:pt>
                <c:pt idx="1">
                  <c:v>SOFORESTA S.A.S.</c:v>
                </c:pt>
                <c:pt idx="2">
                  <c:v>AZUL URBANO LIMITADA</c:v>
                </c:pt>
                <c:pt idx="3">
                  <c:v>C.I. HIDRO GEO S.A.S.</c:v>
                </c:pt>
                <c:pt idx="4">
                  <c:v>DESARROLLAMOS INGENIERIA S.A.S.</c:v>
                </c:pt>
                <c:pt idx="5">
                  <c:v>ETEL LTDA EN REORGANIZACION</c:v>
                </c:pt>
                <c:pt idx="6">
                  <c:v>NEW GAS AND OIL S.A.S</c:v>
                </c:pt>
                <c:pt idx="7">
                  <c:v>INGENIERÍA Y CONSTRUCCIÓN PALACIO BAENA S.A.S.</c:v>
                </c:pt>
                <c:pt idx="8">
                  <c:v>O R INGENIERIA S A S</c:v>
                </c:pt>
                <c:pt idx="9">
                  <c:v>G63 INFRAESTRUCTURA Y SERVICIOS S.A.S</c:v>
                </c:pt>
                <c:pt idx="10">
                  <c:v>INGENIERIA JOULES M. E. C. S.A.S.</c:v>
                </c:pt>
                <c:pt idx="11">
                  <c:v>CONSTRUCCIONES AL DIA SAS</c:v>
                </c:pt>
                <c:pt idx="12">
                  <c:v>GRUCON S.A.S.</c:v>
                </c:pt>
                <c:pt idx="13">
                  <c:v>ANDEAN GEOLOGICAL SERVICES LIMITADA A.G.S.</c:v>
                </c:pt>
                <c:pt idx="14">
                  <c:v>JAM INGENIERIA Y MEDIO AMBIENTE SAS</c:v>
                </c:pt>
                <c:pt idx="15">
                  <c:v>CRATOS SOLUCIONES INTEGRALES SAS</c:v>
                </c:pt>
                <c:pt idx="16">
                  <c:v>INGENIERIA Y GESTION DE LA INFORMACION LIMITADA INGFOCOL</c:v>
                </c:pt>
                <c:pt idx="17">
                  <c:v>HIDRODUCTOS S.A.S</c:v>
                </c:pt>
                <c:pt idx="18">
                  <c:v>RM INGENIEROS S.A.S</c:v>
                </c:pt>
                <c:pt idx="19">
                  <c:v>HYMAC INGENIERIA SAS</c:v>
                </c:pt>
                <c:pt idx="20">
                  <c:v>AITEC S.A.S</c:v>
                </c:pt>
                <c:pt idx="21">
                  <c:v>PROYECTAR INGENIERIA S.A.S.</c:v>
                </c:pt>
                <c:pt idx="22">
                  <c:v>INGENIERIA CIVIL Y GEODESIA SAS INCIGE SAS</c:v>
                </c:pt>
                <c:pt idx="23">
                  <c:v>ECODES INGENIERIA SAS</c:v>
                </c:pt>
                <c:pt idx="24">
                  <c:v>GRUCON S.A.S.</c:v>
                </c:pt>
              </c:strCache>
            </c:strRef>
          </c:cat>
          <c:val>
            <c:numRef>
              <c:f>'RENTABILIDAD PATRIMONIO'!$E$32:$E$56</c:f>
              <c:numCache>
                <c:formatCode>0%</c:formatCode>
                <c:ptCount val="25"/>
                <c:pt idx="0">
                  <c:v>0.55866656096566125</c:v>
                </c:pt>
                <c:pt idx="1">
                  <c:v>0.26623408654490216</c:v>
                </c:pt>
                <c:pt idx="2">
                  <c:v>4.3257164482491478E-2</c:v>
                </c:pt>
                <c:pt idx="3">
                  <c:v>9.8401134569804982E-2</c:v>
                </c:pt>
                <c:pt idx="4">
                  <c:v>0.22868454790115969</c:v>
                </c:pt>
                <c:pt idx="5">
                  <c:v>0.21874776852678127</c:v>
                </c:pt>
                <c:pt idx="6">
                  <c:v>6.1753803645150707E-2</c:v>
                </c:pt>
                <c:pt idx="7">
                  <c:v>0.14331819939059259</c:v>
                </c:pt>
                <c:pt idx="8">
                  <c:v>5.8503512462089749E-2</c:v>
                </c:pt>
                <c:pt idx="9">
                  <c:v>8.0263255042086118E-2</c:v>
                </c:pt>
                <c:pt idx="10">
                  <c:v>0.25224310717351411</c:v>
                </c:pt>
                <c:pt idx="11">
                  <c:v>0.5326704965839224</c:v>
                </c:pt>
                <c:pt idx="12">
                  <c:v>0.34496786678781177</c:v>
                </c:pt>
                <c:pt idx="13">
                  <c:v>-0.12561532986649371</c:v>
                </c:pt>
                <c:pt idx="14">
                  <c:v>0.17065553713309556</c:v>
                </c:pt>
                <c:pt idx="15">
                  <c:v>0.21128590505875455</c:v>
                </c:pt>
                <c:pt idx="16">
                  <c:v>0.14132346219579867</c:v>
                </c:pt>
                <c:pt idx="17">
                  <c:v>0.16038264171030533</c:v>
                </c:pt>
                <c:pt idx="18">
                  <c:v>0.21021101446784451</c:v>
                </c:pt>
                <c:pt idx="19">
                  <c:v>0.4802776484018409</c:v>
                </c:pt>
                <c:pt idx="20">
                  <c:v>0.22419453973708378</c:v>
                </c:pt>
                <c:pt idx="21">
                  <c:v>0.29587339155989012</c:v>
                </c:pt>
                <c:pt idx="22">
                  <c:v>0.22079769772873298</c:v>
                </c:pt>
                <c:pt idx="23">
                  <c:v>0.8107654141515559</c:v>
                </c:pt>
                <c:pt idx="24">
                  <c:v>0.34496786678781177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ED-4DBE-AF51-4E42E12560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94786928"/>
        <c:axId val="-194779312"/>
      </c:barChart>
      <c:catAx>
        <c:axId val="-19478692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94779312"/>
        <c:crosses val="autoZero"/>
        <c:auto val="1"/>
        <c:lblAlgn val="ctr"/>
        <c:lblOffset val="100"/>
        <c:noMultiLvlLbl val="0"/>
      </c:catAx>
      <c:valAx>
        <c:axId val="-194779312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94786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'RENTABILIDAD ACTIVO'!$E$33</c:f>
              <c:strCache>
                <c:ptCount val="1"/>
                <c:pt idx="0">
                  <c:v> RENTABILIDAD DEL ACTIVO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'RENTABILIDAD ACTIVO'!$B$34:$B$58</c:f>
              <c:strCache>
                <c:ptCount val="25"/>
                <c:pt idx="0">
                  <c:v>MONTAJES Y CONSTRUCCIONES FERMAR S.A.S</c:v>
                </c:pt>
                <c:pt idx="1">
                  <c:v>SOFORESTA S.A.S.</c:v>
                </c:pt>
                <c:pt idx="2">
                  <c:v>AZUL URBANO LIMITADA</c:v>
                </c:pt>
                <c:pt idx="3">
                  <c:v>C.I. HIDRO GEO S.A.S.</c:v>
                </c:pt>
                <c:pt idx="4">
                  <c:v>DESARROLLAMOS INGENIERIA S.A.S.</c:v>
                </c:pt>
                <c:pt idx="5">
                  <c:v>ETEL LTDA EN REORGANIZACION</c:v>
                </c:pt>
                <c:pt idx="6">
                  <c:v>NEW GAS AND OIL S.A.S</c:v>
                </c:pt>
                <c:pt idx="7">
                  <c:v>INGENIERÍA Y CONSTRUCCIÓN PALACIO BAENA S.A.S.</c:v>
                </c:pt>
                <c:pt idx="8">
                  <c:v>O R INGENIERIA S A S</c:v>
                </c:pt>
                <c:pt idx="9">
                  <c:v>G63 INFRAESTRUCTURA Y SERVICIOS S.A.S</c:v>
                </c:pt>
                <c:pt idx="10">
                  <c:v>INGENIERIA JOULES M. E. C. S.A.S.</c:v>
                </c:pt>
                <c:pt idx="11">
                  <c:v>CONSTRUCCIONES AL DIA SAS</c:v>
                </c:pt>
                <c:pt idx="12">
                  <c:v>GRUCON S.A.S.</c:v>
                </c:pt>
                <c:pt idx="13">
                  <c:v>ANDEAN GEOLOGICAL SERVICES LIMITADA A.G.S.</c:v>
                </c:pt>
                <c:pt idx="14">
                  <c:v>JAM INGENIERIA Y MEDIO AMBIENTE SAS</c:v>
                </c:pt>
                <c:pt idx="15">
                  <c:v>CRATOS SOLUCIONES INTEGRALES SAS</c:v>
                </c:pt>
                <c:pt idx="16">
                  <c:v>INGENIERIA Y GESTION DE LA INFORMACION LIMITADA INGFOCOL</c:v>
                </c:pt>
                <c:pt idx="17">
                  <c:v>HIDRODUCTOS S.A.S</c:v>
                </c:pt>
                <c:pt idx="18">
                  <c:v>RM INGENIEROS S.A.S</c:v>
                </c:pt>
                <c:pt idx="19">
                  <c:v>HYMAC INGENIERIA SAS</c:v>
                </c:pt>
                <c:pt idx="20">
                  <c:v>AITEC S.A.S</c:v>
                </c:pt>
                <c:pt idx="21">
                  <c:v>PROYECTAR INGENIERIA S.A.S.</c:v>
                </c:pt>
                <c:pt idx="22">
                  <c:v>INGENIERIA CIVIL Y GEODESIA SAS INCIGE SAS</c:v>
                </c:pt>
                <c:pt idx="23">
                  <c:v>ECODES INGENIERIA SAS</c:v>
                </c:pt>
                <c:pt idx="24">
                  <c:v>GRUCON S.A.S.</c:v>
                </c:pt>
              </c:strCache>
            </c:strRef>
          </c:cat>
          <c:val>
            <c:numRef>
              <c:f>'RENTABILIDAD ACTIVO'!$E$34:$E$58</c:f>
              <c:numCache>
                <c:formatCode>0%</c:formatCode>
                <c:ptCount val="25"/>
                <c:pt idx="0">
                  <c:v>0.35809562290701824</c:v>
                </c:pt>
                <c:pt idx="1">
                  <c:v>0.15789925748557201</c:v>
                </c:pt>
                <c:pt idx="2">
                  <c:v>1.1705041659091567E-2</c:v>
                </c:pt>
                <c:pt idx="3">
                  <c:v>5.8340759430110821E-2</c:v>
                </c:pt>
                <c:pt idx="4">
                  <c:v>0.15594932998528366</c:v>
                </c:pt>
                <c:pt idx="5">
                  <c:v>6.9950854069128182E-2</c:v>
                </c:pt>
                <c:pt idx="6">
                  <c:v>5.1764511581542674E-2</c:v>
                </c:pt>
                <c:pt idx="7">
                  <c:v>0.10285762222622971</c:v>
                </c:pt>
                <c:pt idx="8">
                  <c:v>3.4119711366938907E-2</c:v>
                </c:pt>
                <c:pt idx="9">
                  <c:v>6.2430199928538849E-2</c:v>
                </c:pt>
                <c:pt idx="10">
                  <c:v>0.04</c:v>
                </c:pt>
                <c:pt idx="11">
                  <c:v>0.33410065144259482</c:v>
                </c:pt>
                <c:pt idx="12">
                  <c:v>0.21511937746025084</c:v>
                </c:pt>
                <c:pt idx="13">
                  <c:v>-8.1247320574712789E-2</c:v>
                </c:pt>
                <c:pt idx="14">
                  <c:v>0.11241422263747382</c:v>
                </c:pt>
                <c:pt idx="15">
                  <c:v>0.19610101338651698</c:v>
                </c:pt>
                <c:pt idx="16">
                  <c:v>0.10348023481123543</c:v>
                </c:pt>
                <c:pt idx="17">
                  <c:v>0.13005042734227465</c:v>
                </c:pt>
                <c:pt idx="18">
                  <c:v>0.1657539171013574</c:v>
                </c:pt>
                <c:pt idx="19">
                  <c:v>0.35584671278630137</c:v>
                </c:pt>
                <c:pt idx="20">
                  <c:v>9.3533296510026537E-2</c:v>
                </c:pt>
                <c:pt idx="21">
                  <c:v>0.20371571563866334</c:v>
                </c:pt>
                <c:pt idx="22">
                  <c:v>9.6135475832842654E-2</c:v>
                </c:pt>
                <c:pt idx="23">
                  <c:v>0.3546438246893453</c:v>
                </c:pt>
                <c:pt idx="24">
                  <c:v>0.21511937746025084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9B-46A7-BC05-E786C5E6E0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90778784"/>
        <c:axId val="-290766272"/>
      </c:barChart>
      <c:catAx>
        <c:axId val="-2907787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90766272"/>
        <c:crosses val="autoZero"/>
        <c:auto val="1"/>
        <c:lblAlgn val="ctr"/>
        <c:lblOffset val="100"/>
        <c:noMultiLvlLbl val="0"/>
      </c:catAx>
      <c:valAx>
        <c:axId val="-290766272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90778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238123</xdr:colOff>
      <xdr:row>40</xdr:row>
      <xdr:rowOff>19049</xdr:rowOff>
    </xdr:from>
    <xdr:to>
      <xdr:col>24</xdr:col>
      <xdr:colOff>419099</xdr:colOff>
      <xdr:row>62</xdr:row>
      <xdr:rowOff>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9523</xdr:colOff>
      <xdr:row>39</xdr:row>
      <xdr:rowOff>14284</xdr:rowOff>
    </xdr:from>
    <xdr:to>
      <xdr:col>25</xdr:col>
      <xdr:colOff>723900</xdr:colOff>
      <xdr:row>63</xdr:row>
      <xdr:rowOff>266700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952500</xdr:colOff>
      <xdr:row>39</xdr:row>
      <xdr:rowOff>152399</xdr:rowOff>
    </xdr:from>
    <xdr:to>
      <xdr:col>20</xdr:col>
      <xdr:colOff>19050</xdr:colOff>
      <xdr:row>59</xdr:row>
      <xdr:rowOff>76200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39</xdr:row>
      <xdr:rowOff>152399</xdr:rowOff>
    </xdr:from>
    <xdr:to>
      <xdr:col>13</xdr:col>
      <xdr:colOff>19050</xdr:colOff>
      <xdr:row>61</xdr:row>
      <xdr:rowOff>76200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259F035E-3BB9-404A-8210-0E59BB7F7E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228599</xdr:colOff>
      <xdr:row>40</xdr:row>
      <xdr:rowOff>93659</xdr:rowOff>
    </xdr:from>
    <xdr:to>
      <xdr:col>18</xdr:col>
      <xdr:colOff>504824</xdr:colOff>
      <xdr:row>60</xdr:row>
      <xdr:rowOff>38100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419098</xdr:colOff>
      <xdr:row>42</xdr:row>
      <xdr:rowOff>109535</xdr:rowOff>
    </xdr:from>
    <xdr:to>
      <xdr:col>21</xdr:col>
      <xdr:colOff>495300</xdr:colOff>
      <xdr:row>60</xdr:row>
      <xdr:rowOff>76200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344E7-08F4-4657-88D3-CC08A92ABD2F}">
  <sheetPr>
    <pageSetUpPr fitToPage="1"/>
  </sheetPr>
  <dimension ref="A1:AH78"/>
  <sheetViews>
    <sheetView workbookViewId="0">
      <pane ySplit="1" topLeftCell="A33" activePane="bottomLeft" state="frozen"/>
      <selection pane="bottomLeft" activeCell="A33" sqref="A33"/>
    </sheetView>
  </sheetViews>
  <sheetFormatPr baseColWidth="10" defaultColWidth="11.42578125" defaultRowHeight="12.75" x14ac:dyDescent="0.25"/>
  <cols>
    <col min="1" max="1" width="4.28515625" style="35" customWidth="1"/>
    <col min="2" max="2" width="29.7109375" style="36" customWidth="1"/>
    <col min="3" max="3" width="11.7109375" style="28" customWidth="1"/>
    <col min="4" max="4" width="14.140625" style="66" customWidth="1"/>
    <col min="5" max="5" width="14" style="28" bestFit="1" customWidth="1"/>
    <col min="6" max="6" width="13.42578125" style="28" customWidth="1"/>
    <col min="7" max="7" width="14" style="28" customWidth="1"/>
    <col min="8" max="8" width="15.7109375" style="28" bestFit="1" customWidth="1"/>
    <col min="9" max="9" width="15" style="28" bestFit="1" customWidth="1"/>
    <col min="10" max="10" width="15.5703125" style="28" bestFit="1" customWidth="1"/>
    <col min="11" max="11" width="14.140625" style="28" bestFit="1" customWidth="1"/>
    <col min="12" max="12" width="15.140625" style="28" bestFit="1" customWidth="1"/>
    <col min="13" max="13" width="10.42578125" style="28" customWidth="1"/>
    <col min="14" max="14" width="18" style="28" customWidth="1"/>
    <col min="15" max="15" width="7.140625" style="28" customWidth="1"/>
    <col min="16" max="16" width="9.28515625" style="28" customWidth="1"/>
    <col min="17" max="17" width="10.42578125" style="28" hidden="1" customWidth="1"/>
    <col min="18" max="18" width="9.28515625" style="28" customWidth="1"/>
    <col min="19" max="19" width="12.28515625" style="28" customWidth="1"/>
    <col min="20" max="20" width="13.7109375" style="28" customWidth="1"/>
    <col min="21" max="21" width="16.28515625" style="28" customWidth="1"/>
    <col min="22" max="22" width="16" style="28" customWidth="1"/>
    <col min="23" max="23" width="2.42578125" style="28" customWidth="1"/>
    <col min="24" max="24" width="14.85546875" style="28" hidden="1" customWidth="1"/>
    <col min="25" max="25" width="16" style="28" hidden="1" customWidth="1"/>
    <col min="26" max="26" width="17.28515625" style="28" customWidth="1"/>
    <col min="27" max="27" width="12.42578125" style="28" hidden="1" customWidth="1"/>
    <col min="28" max="28" width="0" style="28" hidden="1" customWidth="1"/>
    <col min="29" max="29" width="2.28515625" style="28" customWidth="1"/>
    <col min="30" max="30" width="12.28515625" style="28" bestFit="1" customWidth="1"/>
    <col min="31" max="31" width="13.85546875" style="28" customWidth="1"/>
    <col min="32" max="16384" width="11.42578125" style="28"/>
  </cols>
  <sheetData>
    <row r="1" spans="1:34" ht="42" x14ac:dyDescent="0.25">
      <c r="A1" s="19" t="s">
        <v>0</v>
      </c>
      <c r="B1" s="20" t="s">
        <v>1</v>
      </c>
      <c r="C1" s="20" t="s">
        <v>2</v>
      </c>
      <c r="D1" s="20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1" t="s">
        <v>9</v>
      </c>
      <c r="K1" s="21" t="s">
        <v>10</v>
      </c>
      <c r="L1" s="14" t="s">
        <v>11</v>
      </c>
      <c r="M1" s="21" t="s">
        <v>12</v>
      </c>
      <c r="N1" s="21" t="s">
        <v>13</v>
      </c>
      <c r="O1" s="21" t="s">
        <v>14</v>
      </c>
      <c r="P1" s="68" t="s">
        <v>15</v>
      </c>
      <c r="Q1" s="68" t="s">
        <v>16</v>
      </c>
      <c r="R1" s="48" t="s">
        <v>17</v>
      </c>
      <c r="S1" s="49" t="s">
        <v>18</v>
      </c>
      <c r="T1" s="48" t="s">
        <v>19</v>
      </c>
      <c r="U1" s="48" t="s">
        <v>20</v>
      </c>
      <c r="V1" s="48" t="s">
        <v>21</v>
      </c>
      <c r="W1" s="22"/>
      <c r="X1" s="23" t="s">
        <v>22</v>
      </c>
      <c r="Y1" s="23" t="s">
        <v>23</v>
      </c>
      <c r="Z1" s="23" t="s">
        <v>24</v>
      </c>
      <c r="AA1" s="24" t="s">
        <v>25</v>
      </c>
      <c r="AB1" s="24" t="s">
        <v>26</v>
      </c>
      <c r="AC1" s="25"/>
      <c r="AD1" s="26" t="s">
        <v>27</v>
      </c>
      <c r="AE1" s="26" t="s">
        <v>28</v>
      </c>
      <c r="AF1" s="27" t="s">
        <v>29</v>
      </c>
      <c r="AG1" s="27" t="s">
        <v>30</v>
      </c>
      <c r="AH1" s="27" t="s">
        <v>31</v>
      </c>
    </row>
    <row r="2" spans="1:34" s="90" customFormat="1" ht="25.5" x14ac:dyDescent="0.25">
      <c r="A2" s="87">
        <v>1</v>
      </c>
      <c r="B2" s="94" t="s">
        <v>43</v>
      </c>
      <c r="C2" s="9">
        <v>800143273</v>
      </c>
      <c r="D2" s="135" t="s">
        <v>33</v>
      </c>
      <c r="E2" s="160">
        <v>39414690882</v>
      </c>
      <c r="F2" s="160">
        <v>2799974091</v>
      </c>
      <c r="G2" s="160">
        <v>48467746992</v>
      </c>
      <c r="H2" s="160">
        <v>17400757731</v>
      </c>
      <c r="I2" s="160">
        <v>31066989261</v>
      </c>
      <c r="J2" s="160">
        <v>17356088050</v>
      </c>
      <c r="K2" s="160">
        <v>1377601410</v>
      </c>
      <c r="L2" s="161">
        <v>144429162672</v>
      </c>
      <c r="M2" s="74">
        <v>77101600</v>
      </c>
      <c r="N2" s="73" t="s">
        <v>39</v>
      </c>
      <c r="O2" s="96" t="s">
        <v>35</v>
      </c>
      <c r="P2" s="97">
        <v>45291</v>
      </c>
      <c r="Q2" s="80" t="s">
        <v>40</v>
      </c>
      <c r="R2" s="157" t="str">
        <f t="shared" ref="R2:R25" si="0">IF(S2&lt;=483034,"SI","NO")</f>
        <v>NO</v>
      </c>
      <c r="S2" s="98">
        <f>L2/$C$32</f>
        <v>3434537.3031484829</v>
      </c>
      <c r="T2" s="44" t="str">
        <f>IF(S2&lt;=32988,"MICROEMPRESA",IF(S2&lt;=131951,"PEQUEÑA EMPRESA",IF(S2&lt;=483034,"MEDIANA EMPRESA",IF(S2&gt;483034,"GRAN EMPRESA"))))</f>
        <v>GRAN EMPRESA</v>
      </c>
      <c r="U2" s="93" t="s">
        <v>38</v>
      </c>
      <c r="V2" s="93" t="s">
        <v>38</v>
      </c>
      <c r="W2" s="88"/>
      <c r="X2" s="23"/>
      <c r="Y2" s="23"/>
      <c r="Z2" s="13">
        <f>G2-H2</f>
        <v>31066989261</v>
      </c>
      <c r="AA2" s="84"/>
      <c r="AB2" s="84"/>
      <c r="AC2" s="89"/>
      <c r="AD2" s="30">
        <f>E2/F2</f>
        <v>14.076805570698404</v>
      </c>
      <c r="AE2" s="31">
        <f>H2/G2</f>
        <v>0.3590172601559577</v>
      </c>
      <c r="AF2" s="32">
        <f>J2/K2</f>
        <v>12.598773436214762</v>
      </c>
      <c r="AG2" s="31">
        <f>J2/I2</f>
        <v>0.55866656096566125</v>
      </c>
      <c r="AH2" s="31">
        <f>J2/G2</f>
        <v>0.35809562290701824</v>
      </c>
    </row>
    <row r="3" spans="1:34" x14ac:dyDescent="0.25">
      <c r="A3" s="69">
        <v>2</v>
      </c>
      <c r="B3" s="95" t="s">
        <v>44</v>
      </c>
      <c r="C3" s="9">
        <v>800143610</v>
      </c>
      <c r="D3" s="135" t="s">
        <v>33</v>
      </c>
      <c r="E3" s="160">
        <v>12211452043</v>
      </c>
      <c r="F3" s="162">
        <v>3733560900</v>
      </c>
      <c r="G3" s="162">
        <v>27742301191</v>
      </c>
      <c r="H3" s="162">
        <v>11288777843</v>
      </c>
      <c r="I3" s="162">
        <v>16453523348</v>
      </c>
      <c r="J3" s="162">
        <v>4380488759</v>
      </c>
      <c r="K3" s="162">
        <v>775315429</v>
      </c>
      <c r="L3" s="160">
        <v>37496348473</v>
      </c>
      <c r="M3" s="74">
        <v>77101600</v>
      </c>
      <c r="N3" s="73" t="s">
        <v>39</v>
      </c>
      <c r="O3" s="96" t="s">
        <v>35</v>
      </c>
      <c r="P3" s="97">
        <v>45291</v>
      </c>
      <c r="Q3" s="80" t="s">
        <v>40</v>
      </c>
      <c r="R3" s="157" t="str">
        <f t="shared" si="0"/>
        <v>NO</v>
      </c>
      <c r="S3" s="98">
        <f t="shared" ref="S3:S24" si="1">L3/$C$32</f>
        <v>891666.23401978507</v>
      </c>
      <c r="T3" s="44" t="str">
        <f>IF(S3&lt;=32988,"MICROEMPRESA",IF(S3&lt;=131951,"PEQUEÑA EMPRESA",IF(S3&lt;=483034,"MEDIANA EMPRESA",IF(S3&gt;483034,"GRAN EMPRESA"))))</f>
        <v>GRAN EMPRESA</v>
      </c>
      <c r="U3" s="93" t="s">
        <v>38</v>
      </c>
      <c r="V3" s="93" t="s">
        <v>38</v>
      </c>
      <c r="W3" s="22"/>
      <c r="X3" s="13" t="e">
        <f>+#REF!-#REF!</f>
        <v>#REF!</v>
      </c>
      <c r="Y3" s="29" t="e">
        <f>+#REF!-#REF!</f>
        <v>#REF!</v>
      </c>
      <c r="Z3" s="13">
        <f t="shared" ref="Z3:Z25" si="2">G3-H3</f>
        <v>16453523348</v>
      </c>
      <c r="AA3" s="13"/>
      <c r="AB3" s="13"/>
      <c r="AC3" s="25"/>
      <c r="AD3" s="30">
        <f t="shared" ref="AD3:AD25" si="3">E3/F3</f>
        <v>3.2707252861470666</v>
      </c>
      <c r="AE3" s="31">
        <f t="shared" ref="AE3:AE25" si="4">H3/G3</f>
        <v>0.40691569763009572</v>
      </c>
      <c r="AF3" s="32">
        <f t="shared" ref="AF3:AF25" si="5">J3/K3</f>
        <v>5.6499440036295212</v>
      </c>
      <c r="AG3" s="31">
        <f t="shared" ref="AG3:AG25" si="6">J3/I3</f>
        <v>0.26623408654490216</v>
      </c>
      <c r="AH3" s="31">
        <f t="shared" ref="AH3:AH25" si="7">J3/G3</f>
        <v>0.15789925748557201</v>
      </c>
    </row>
    <row r="4" spans="1:34" x14ac:dyDescent="0.25">
      <c r="A4" s="69">
        <v>3</v>
      </c>
      <c r="B4" s="94" t="s">
        <v>45</v>
      </c>
      <c r="C4" s="9">
        <v>800146310</v>
      </c>
      <c r="D4" s="135" t="s">
        <v>33</v>
      </c>
      <c r="E4" s="162">
        <v>8017692187</v>
      </c>
      <c r="F4" s="162">
        <v>444677339</v>
      </c>
      <c r="G4" s="162">
        <v>8372491859</v>
      </c>
      <c r="H4" s="162">
        <v>6106962734</v>
      </c>
      <c r="I4" s="162">
        <v>2265529125</v>
      </c>
      <c r="J4" s="162">
        <v>98000366</v>
      </c>
      <c r="K4" s="162">
        <v>28819856</v>
      </c>
      <c r="L4" s="162">
        <v>3813714813</v>
      </c>
      <c r="M4" s="74">
        <v>77101600</v>
      </c>
      <c r="N4" s="73" t="s">
        <v>39</v>
      </c>
      <c r="O4" s="96" t="s">
        <v>35</v>
      </c>
      <c r="P4" s="97">
        <v>45291</v>
      </c>
      <c r="Q4" s="80" t="s">
        <v>40</v>
      </c>
      <c r="R4" s="157" t="str">
        <f t="shared" si="0"/>
        <v>SI</v>
      </c>
      <c r="S4" s="98">
        <f t="shared" si="1"/>
        <v>90690.450228288784</v>
      </c>
      <c r="T4" s="44" t="str">
        <f>IF(S4&lt;=32988,"MICROEMPRESA",IF(S4&lt;=131951,"PEQUEÑA EMPRESA",IF(S4&lt;=483034,"MEDIANA EMPRESA",IF(S4&gt;483034,"GRAN EMPRESA"))))</f>
        <v>PEQUEÑA EMPRESA</v>
      </c>
      <c r="U4" s="93" t="s">
        <v>46</v>
      </c>
      <c r="V4" s="93" t="s">
        <v>46</v>
      </c>
      <c r="W4" s="22"/>
      <c r="X4" s="13" t="e">
        <f>#REF!-#REF!</f>
        <v>#REF!</v>
      </c>
      <c r="Y4" s="29" t="e">
        <f>+#REF!-#REF!</f>
        <v>#REF!</v>
      </c>
      <c r="Z4" s="13">
        <f t="shared" si="2"/>
        <v>2265529125</v>
      </c>
      <c r="AA4" s="13"/>
      <c r="AB4" s="13"/>
      <c r="AC4" s="25"/>
      <c r="AD4" s="30">
        <f t="shared" si="3"/>
        <v>18.030359282598837</v>
      </c>
      <c r="AE4" s="31">
        <f t="shared" si="4"/>
        <v>0.72940802294544216</v>
      </c>
      <c r="AF4" s="32">
        <f t="shared" si="5"/>
        <v>3.4004460674612669</v>
      </c>
      <c r="AG4" s="31">
        <f t="shared" si="6"/>
        <v>4.3257164482491478E-2</v>
      </c>
      <c r="AH4" s="31">
        <f t="shared" si="7"/>
        <v>1.1705041659091567E-2</v>
      </c>
    </row>
    <row r="5" spans="1:34" x14ac:dyDescent="0.25">
      <c r="A5" s="69">
        <v>4</v>
      </c>
      <c r="B5" s="102" t="s">
        <v>47</v>
      </c>
      <c r="C5" s="9">
        <v>800174121</v>
      </c>
      <c r="D5" s="135" t="s">
        <v>33</v>
      </c>
      <c r="E5" s="159">
        <v>1576919821</v>
      </c>
      <c r="F5" s="159">
        <v>59315203</v>
      </c>
      <c r="G5" s="159">
        <v>1676213679</v>
      </c>
      <c r="H5" s="159">
        <v>682408278</v>
      </c>
      <c r="I5" s="159">
        <v>993805401</v>
      </c>
      <c r="J5" s="159">
        <v>97791579</v>
      </c>
      <c r="K5" s="159">
        <v>249164</v>
      </c>
      <c r="L5" s="159">
        <v>1112332186</v>
      </c>
      <c r="M5" s="101">
        <v>81101500</v>
      </c>
      <c r="N5" s="73" t="s">
        <v>48</v>
      </c>
      <c r="O5" s="100" t="s">
        <v>35</v>
      </c>
      <c r="P5" s="97">
        <v>45291</v>
      </c>
      <c r="Q5" s="101" t="s">
        <v>40</v>
      </c>
      <c r="R5" s="157" t="str">
        <f t="shared" si="0"/>
        <v>SI</v>
      </c>
      <c r="S5" s="98">
        <f t="shared" si="1"/>
        <v>26451.350375725291</v>
      </c>
      <c r="T5" s="44" t="s">
        <v>42</v>
      </c>
      <c r="U5" s="44" t="s">
        <v>42</v>
      </c>
      <c r="V5" s="44" t="s">
        <v>42</v>
      </c>
      <c r="W5" s="22"/>
      <c r="X5" s="13" t="e">
        <f>+#REF!-#REF!</f>
        <v>#REF!</v>
      </c>
      <c r="Y5" s="29" t="e">
        <f>+#REF!-#REF!</f>
        <v>#REF!</v>
      </c>
      <c r="Z5" s="13">
        <f t="shared" si="2"/>
        <v>993805401</v>
      </c>
      <c r="AA5" s="13"/>
      <c r="AB5" s="34"/>
      <c r="AC5" s="25"/>
      <c r="AD5" s="30">
        <f t="shared" si="3"/>
        <v>26.585423993238294</v>
      </c>
      <c r="AE5" s="31">
        <f t="shared" si="4"/>
        <v>0.40711293944762039</v>
      </c>
      <c r="AF5" s="32">
        <f t="shared" si="5"/>
        <v>392.47876499012699</v>
      </c>
      <c r="AG5" s="31">
        <f t="shared" si="6"/>
        <v>9.8401134569804982E-2</v>
      </c>
      <c r="AH5" s="31">
        <f t="shared" si="7"/>
        <v>5.8340759430110821E-2</v>
      </c>
    </row>
    <row r="6" spans="1:34" x14ac:dyDescent="0.25">
      <c r="A6" s="69">
        <v>5</v>
      </c>
      <c r="B6" s="102" t="s">
        <v>50</v>
      </c>
      <c r="C6" s="9">
        <v>800254539</v>
      </c>
      <c r="D6" s="135" t="s">
        <v>33</v>
      </c>
      <c r="E6" s="163">
        <v>4220409785</v>
      </c>
      <c r="F6" s="163">
        <v>1844946200</v>
      </c>
      <c r="G6" s="163">
        <v>5820229847</v>
      </c>
      <c r="H6" s="163">
        <v>1851177485</v>
      </c>
      <c r="I6" s="163">
        <v>3969052362</v>
      </c>
      <c r="J6" s="163">
        <v>907660945</v>
      </c>
      <c r="K6" s="163">
        <v>53385663</v>
      </c>
      <c r="L6" s="163">
        <v>13347120206</v>
      </c>
      <c r="M6" s="100">
        <v>81101500</v>
      </c>
      <c r="N6" s="73" t="s">
        <v>48</v>
      </c>
      <c r="O6" s="100" t="s">
        <v>35</v>
      </c>
      <c r="P6" s="97">
        <v>45291</v>
      </c>
      <c r="Q6" s="101" t="s">
        <v>40</v>
      </c>
      <c r="R6" s="157" t="str">
        <f t="shared" si="0"/>
        <v>SI</v>
      </c>
      <c r="S6" s="98">
        <f t="shared" si="1"/>
        <v>317395.61033957958</v>
      </c>
      <c r="T6" s="44" t="s">
        <v>37</v>
      </c>
      <c r="U6" s="44" t="s">
        <v>37</v>
      </c>
      <c r="V6" s="44" t="s">
        <v>37</v>
      </c>
      <c r="W6" s="22"/>
      <c r="X6" s="13" t="e">
        <f>+#REF!-#REF!</f>
        <v>#REF!</v>
      </c>
      <c r="Y6" s="29" t="e">
        <f>+#REF!-#REF!</f>
        <v>#REF!</v>
      </c>
      <c r="Z6" s="13">
        <f t="shared" si="2"/>
        <v>3969052362</v>
      </c>
      <c r="AA6" s="13"/>
      <c r="AB6" s="34"/>
      <c r="AC6" s="25"/>
      <c r="AD6" s="30">
        <f t="shared" si="3"/>
        <v>2.2875516830788887</v>
      </c>
      <c r="AE6" s="31">
        <f t="shared" si="4"/>
        <v>0.31805917183050381</v>
      </c>
      <c r="AF6" s="32">
        <f t="shared" si="5"/>
        <v>17.001960713684497</v>
      </c>
      <c r="AG6" s="31">
        <f t="shared" si="6"/>
        <v>0.22868454790115969</v>
      </c>
      <c r="AH6" s="31">
        <f t="shared" si="7"/>
        <v>0.15594932998528366</v>
      </c>
    </row>
    <row r="7" spans="1:34" x14ac:dyDescent="0.25">
      <c r="A7" s="69">
        <v>6</v>
      </c>
      <c r="B7" s="102" t="s">
        <v>51</v>
      </c>
      <c r="C7" s="9">
        <v>800256848</v>
      </c>
      <c r="D7" s="135" t="s">
        <v>33</v>
      </c>
      <c r="E7" s="163">
        <v>13365875287</v>
      </c>
      <c r="F7" s="163">
        <v>6004596505</v>
      </c>
      <c r="G7" s="163">
        <v>14042100287</v>
      </c>
      <c r="H7" s="163">
        <v>9551737187</v>
      </c>
      <c r="I7" s="163">
        <v>4490363100</v>
      </c>
      <c r="J7" s="163">
        <v>982256908</v>
      </c>
      <c r="K7" s="163">
        <v>85726331</v>
      </c>
      <c r="L7" s="163">
        <v>9005153018</v>
      </c>
      <c r="M7" s="100">
        <v>81101500</v>
      </c>
      <c r="N7" s="73" t="s">
        <v>48</v>
      </c>
      <c r="O7" s="100" t="s">
        <v>35</v>
      </c>
      <c r="P7" s="97">
        <v>45291</v>
      </c>
      <c r="Q7" s="101" t="s">
        <v>40</v>
      </c>
      <c r="R7" s="157" t="str">
        <f t="shared" si="0"/>
        <v>SI</v>
      </c>
      <c r="S7" s="98">
        <f t="shared" si="1"/>
        <v>214143.27542090745</v>
      </c>
      <c r="T7" s="44" t="s">
        <v>37</v>
      </c>
      <c r="U7" s="44" t="s">
        <v>52</v>
      </c>
      <c r="V7" s="44" t="s">
        <v>52</v>
      </c>
      <c r="W7" s="22"/>
      <c r="X7" s="13" t="e">
        <f>+#REF!-#REF!</f>
        <v>#REF!</v>
      </c>
      <c r="Y7" s="29" t="e">
        <f>+#REF!-#REF!</f>
        <v>#REF!</v>
      </c>
      <c r="Z7" s="13">
        <f t="shared" si="2"/>
        <v>4490363100</v>
      </c>
      <c r="AA7" s="13"/>
      <c r="AB7" s="13"/>
      <c r="AC7" s="25"/>
      <c r="AD7" s="30">
        <f t="shared" si="3"/>
        <v>2.2259406232992172</v>
      </c>
      <c r="AE7" s="31">
        <f t="shared" si="4"/>
        <v>0.68022140504457718</v>
      </c>
      <c r="AF7" s="32">
        <f t="shared" si="5"/>
        <v>11.458053745470572</v>
      </c>
      <c r="AG7" s="31">
        <f t="shared" si="6"/>
        <v>0.21874776852678127</v>
      </c>
      <c r="AH7" s="31">
        <f t="shared" si="7"/>
        <v>6.9950854069128182E-2</v>
      </c>
    </row>
    <row r="8" spans="1:34" x14ac:dyDescent="0.25">
      <c r="A8" s="69">
        <v>7</v>
      </c>
      <c r="B8" s="102" t="s">
        <v>63</v>
      </c>
      <c r="C8" s="9">
        <v>804006097</v>
      </c>
      <c r="D8" s="167" t="s">
        <v>33</v>
      </c>
      <c r="E8" s="159">
        <v>2922048000</v>
      </c>
      <c r="F8" s="159">
        <v>740456000</v>
      </c>
      <c r="G8" s="159">
        <v>4577499000</v>
      </c>
      <c r="H8" s="159">
        <v>740456000</v>
      </c>
      <c r="I8" s="159">
        <v>3837043000</v>
      </c>
      <c r="J8" s="159">
        <v>236952000</v>
      </c>
      <c r="K8" s="159">
        <v>2339000</v>
      </c>
      <c r="L8" s="159">
        <v>500000000</v>
      </c>
      <c r="M8" s="101">
        <v>81101500</v>
      </c>
      <c r="N8" s="134" t="s">
        <v>48</v>
      </c>
      <c r="O8" s="101" t="s">
        <v>35</v>
      </c>
      <c r="P8" s="97">
        <v>45291</v>
      </c>
      <c r="Q8" s="101" t="s">
        <v>40</v>
      </c>
      <c r="R8" s="157" t="str">
        <f t="shared" si="0"/>
        <v>SI</v>
      </c>
      <c r="S8" s="98">
        <f t="shared" si="1"/>
        <v>11890.040901740702</v>
      </c>
      <c r="T8" s="44" t="s">
        <v>42</v>
      </c>
      <c r="U8" s="44" t="s">
        <v>42</v>
      </c>
      <c r="V8" s="44" t="s">
        <v>42</v>
      </c>
      <c r="W8" s="22"/>
      <c r="X8" s="13" t="e">
        <f>+#REF!-#REF!</f>
        <v>#REF!</v>
      </c>
      <c r="Y8" s="29" t="e">
        <f>+#REF!-#REF!</f>
        <v>#REF!</v>
      </c>
      <c r="Z8" s="13">
        <f t="shared" si="2"/>
        <v>3837043000</v>
      </c>
      <c r="AA8" s="34"/>
      <c r="AB8" s="34"/>
      <c r="AC8" s="25"/>
      <c r="AD8" s="30">
        <f t="shared" si="3"/>
        <v>3.946281750704971</v>
      </c>
      <c r="AE8" s="31">
        <f t="shared" si="4"/>
        <v>0.16175994795411205</v>
      </c>
      <c r="AF8" s="32">
        <f t="shared" si="5"/>
        <v>101.30483112441215</v>
      </c>
      <c r="AG8" s="31">
        <f t="shared" si="6"/>
        <v>6.1753803645150707E-2</v>
      </c>
      <c r="AH8" s="31">
        <f t="shared" si="7"/>
        <v>5.1764511581542674E-2</v>
      </c>
    </row>
    <row r="9" spans="1:34" x14ac:dyDescent="0.25">
      <c r="A9" s="69">
        <v>8</v>
      </c>
      <c r="B9" s="102" t="s">
        <v>60</v>
      </c>
      <c r="C9" s="44">
        <v>811015828</v>
      </c>
      <c r="D9" s="167" t="s">
        <v>33</v>
      </c>
      <c r="E9" s="159">
        <v>4457604105</v>
      </c>
      <c r="F9" s="159">
        <v>804679616</v>
      </c>
      <c r="G9" s="159">
        <v>4464618305</v>
      </c>
      <c r="H9" s="159">
        <v>1260419362</v>
      </c>
      <c r="I9" s="159">
        <v>3204198943</v>
      </c>
      <c r="J9" s="159">
        <v>459220023</v>
      </c>
      <c r="K9" s="159">
        <v>62607</v>
      </c>
      <c r="L9" s="159">
        <v>7559485187</v>
      </c>
      <c r="M9" s="101">
        <v>81101500</v>
      </c>
      <c r="N9" s="134" t="s">
        <v>48</v>
      </c>
      <c r="O9" s="101" t="s">
        <v>35</v>
      </c>
      <c r="P9" s="97">
        <v>45291</v>
      </c>
      <c r="Q9" s="101" t="s">
        <v>40</v>
      </c>
      <c r="R9" s="157" t="str">
        <f t="shared" si="0"/>
        <v>SI</v>
      </c>
      <c r="S9" s="98">
        <f t="shared" si="1"/>
        <v>179765.17613906591</v>
      </c>
      <c r="T9" s="44" t="s">
        <v>37</v>
      </c>
      <c r="U9" s="44" t="s">
        <v>37</v>
      </c>
      <c r="V9" s="44" t="s">
        <v>37</v>
      </c>
      <c r="W9" s="22"/>
      <c r="X9" s="13" t="e">
        <f>+#REF!-#REF!</f>
        <v>#REF!</v>
      </c>
      <c r="Y9" s="29" t="e">
        <f>+#REF!-#REF!</f>
        <v>#REF!</v>
      </c>
      <c r="Z9" s="13">
        <f t="shared" si="2"/>
        <v>3204198943</v>
      </c>
      <c r="AA9" s="13"/>
      <c r="AB9" s="13"/>
      <c r="AC9" s="25"/>
      <c r="AD9" s="30">
        <f t="shared" si="3"/>
        <v>5.5396011236849825</v>
      </c>
      <c r="AE9" s="31">
        <f t="shared" si="4"/>
        <v>0.28231290468626075</v>
      </c>
      <c r="AF9" s="32">
        <f t="shared" si="5"/>
        <v>7334.9629114955196</v>
      </c>
      <c r="AG9" s="31">
        <f t="shared" si="6"/>
        <v>0.14331819939059259</v>
      </c>
      <c r="AH9" s="31">
        <f t="shared" si="7"/>
        <v>0.10285762222622971</v>
      </c>
    </row>
    <row r="10" spans="1:34" x14ac:dyDescent="0.25">
      <c r="A10" s="69">
        <v>9</v>
      </c>
      <c r="B10" s="102" t="s">
        <v>64</v>
      </c>
      <c r="C10" s="9">
        <v>830060337</v>
      </c>
      <c r="D10" s="167" t="s">
        <v>33</v>
      </c>
      <c r="E10" s="159">
        <v>5786155252</v>
      </c>
      <c r="F10" s="159">
        <v>18769065</v>
      </c>
      <c r="G10" s="159">
        <v>8118397633</v>
      </c>
      <c r="H10" s="159">
        <v>3383683898</v>
      </c>
      <c r="I10" s="159">
        <v>4734713735</v>
      </c>
      <c r="J10" s="159">
        <v>276997384</v>
      </c>
      <c r="K10" s="159">
        <v>28552952</v>
      </c>
      <c r="L10" s="159">
        <v>6069203205</v>
      </c>
      <c r="M10" s="101">
        <v>81101500</v>
      </c>
      <c r="N10" s="134" t="s">
        <v>48</v>
      </c>
      <c r="O10" s="101" t="s">
        <v>35</v>
      </c>
      <c r="P10" s="97">
        <v>45291</v>
      </c>
      <c r="Q10" s="101" t="s">
        <v>40</v>
      </c>
      <c r="R10" s="157" t="str">
        <f t="shared" si="0"/>
        <v>SI</v>
      </c>
      <c r="S10" s="98">
        <f t="shared" si="1"/>
        <v>144326.14869685151</v>
      </c>
      <c r="T10" s="44" t="s">
        <v>37</v>
      </c>
      <c r="U10" s="44" t="s">
        <v>37</v>
      </c>
      <c r="V10" s="44" t="s">
        <v>37</v>
      </c>
      <c r="X10" s="28" t="e">
        <f>+#REF!-#REF!</f>
        <v>#REF!</v>
      </c>
      <c r="Y10" s="28" t="e">
        <f>+#REF!-#REF!</f>
        <v>#REF!</v>
      </c>
      <c r="Z10" s="13">
        <f t="shared" si="2"/>
        <v>4734713735</v>
      </c>
      <c r="AA10" s="13"/>
      <c r="AB10" s="13"/>
      <c r="AC10" s="25"/>
      <c r="AD10" s="30">
        <f t="shared" si="3"/>
        <v>308.28148615820766</v>
      </c>
      <c r="AE10" s="31">
        <f t="shared" si="4"/>
        <v>0.41679208767083065</v>
      </c>
      <c r="AF10" s="32">
        <f t="shared" si="5"/>
        <v>9.7011820003760025</v>
      </c>
      <c r="AG10" s="31">
        <f t="shared" si="6"/>
        <v>5.8503512462089749E-2</v>
      </c>
      <c r="AH10" s="31">
        <f t="shared" si="7"/>
        <v>3.4119711366938907E-2</v>
      </c>
    </row>
    <row r="11" spans="1:34" x14ac:dyDescent="0.25">
      <c r="A11" s="69">
        <v>10</v>
      </c>
      <c r="B11" s="102" t="s">
        <v>53</v>
      </c>
      <c r="C11" s="9">
        <v>900462686</v>
      </c>
      <c r="D11" s="135" t="s">
        <v>33</v>
      </c>
      <c r="E11" s="163">
        <v>7033771586</v>
      </c>
      <c r="F11" s="163">
        <v>354322660</v>
      </c>
      <c r="G11" s="163">
        <v>7301771715</v>
      </c>
      <c r="H11" s="163">
        <v>1622322660</v>
      </c>
      <c r="I11" s="163">
        <v>5679449055</v>
      </c>
      <c r="J11" s="163">
        <v>455851068</v>
      </c>
      <c r="K11" s="163">
        <v>111252724</v>
      </c>
      <c r="L11" s="163">
        <v>2608958343</v>
      </c>
      <c r="M11" s="100">
        <v>81101500</v>
      </c>
      <c r="N11" s="73" t="s">
        <v>48</v>
      </c>
      <c r="O11" s="100" t="s">
        <v>35</v>
      </c>
      <c r="P11" s="97">
        <v>45291</v>
      </c>
      <c r="Q11" s="101" t="s">
        <v>40</v>
      </c>
      <c r="R11" s="157" t="str">
        <f t="shared" si="0"/>
        <v>SI</v>
      </c>
      <c r="S11" s="98">
        <f t="shared" si="1"/>
        <v>62041.242818415296</v>
      </c>
      <c r="T11" s="44" t="s">
        <v>46</v>
      </c>
      <c r="U11" s="44" t="s">
        <v>52</v>
      </c>
      <c r="V11" s="44" t="s">
        <v>52</v>
      </c>
      <c r="X11" s="28" t="e">
        <f>+#REF!-#REF!</f>
        <v>#REF!</v>
      </c>
      <c r="Y11" s="28" t="e">
        <f>+#REF!-#REF!</f>
        <v>#REF!</v>
      </c>
      <c r="Z11" s="13">
        <f t="shared" si="2"/>
        <v>5679449055</v>
      </c>
      <c r="AA11" s="13"/>
      <c r="AB11" s="13"/>
      <c r="AC11" s="25"/>
      <c r="AD11" s="30">
        <f t="shared" si="3"/>
        <v>19.851317400924909</v>
      </c>
      <c r="AE11" s="31">
        <f t="shared" si="4"/>
        <v>0.22218205708448391</v>
      </c>
      <c r="AF11" s="32">
        <f t="shared" si="5"/>
        <v>4.0974373625224674</v>
      </c>
      <c r="AG11" s="31">
        <f t="shared" si="6"/>
        <v>8.0263255042086118E-2</v>
      </c>
      <c r="AH11" s="31">
        <f t="shared" si="7"/>
        <v>6.2430199928538849E-2</v>
      </c>
    </row>
    <row r="12" spans="1:34" x14ac:dyDescent="0.25">
      <c r="A12" s="69">
        <v>11</v>
      </c>
      <c r="B12" s="71" t="s">
        <v>55</v>
      </c>
      <c r="C12" s="9">
        <v>800196467</v>
      </c>
      <c r="D12" s="135" t="s">
        <v>33</v>
      </c>
      <c r="E12" s="163">
        <v>27032499804</v>
      </c>
      <c r="F12" s="163">
        <v>6395228860</v>
      </c>
      <c r="G12" s="163">
        <v>49279486809</v>
      </c>
      <c r="H12" s="163">
        <v>12300267323</v>
      </c>
      <c r="I12" s="163">
        <v>36979219486</v>
      </c>
      <c r="J12" s="163">
        <v>9327753224</v>
      </c>
      <c r="K12" s="163">
        <v>484734147</v>
      </c>
      <c r="L12" s="163">
        <v>70510706406</v>
      </c>
      <c r="M12" s="100">
        <v>81101500</v>
      </c>
      <c r="N12" s="73" t="s">
        <v>48</v>
      </c>
      <c r="O12" s="100" t="s">
        <v>35</v>
      </c>
      <c r="P12" s="97">
        <v>45291</v>
      </c>
      <c r="Q12" s="101" t="s">
        <v>40</v>
      </c>
      <c r="R12" s="157" t="str">
        <f t="shared" si="0"/>
        <v>NO</v>
      </c>
      <c r="S12" s="98">
        <f t="shared" si="1"/>
        <v>1676750.3663559402</v>
      </c>
      <c r="T12" s="44" t="s">
        <v>38</v>
      </c>
      <c r="U12" s="44" t="s">
        <v>38</v>
      </c>
      <c r="V12" s="44" t="s">
        <v>38</v>
      </c>
      <c r="X12" s="28" t="e">
        <f>+#REF!-#REF!</f>
        <v>#REF!</v>
      </c>
      <c r="Y12" s="28" t="e">
        <f>+#REF!-#REF!</f>
        <v>#REF!</v>
      </c>
      <c r="Z12" s="13">
        <f t="shared" si="2"/>
        <v>36979219486</v>
      </c>
      <c r="AA12" s="13"/>
      <c r="AB12" s="13"/>
      <c r="AC12" s="25"/>
      <c r="AD12" s="30">
        <f t="shared" si="3"/>
        <v>4.2269792677912079</v>
      </c>
      <c r="AE12" s="31">
        <f t="shared" si="4"/>
        <v>0.2496021797198095</v>
      </c>
      <c r="AF12" s="32">
        <f t="shared" si="5"/>
        <v>19.243028950465089</v>
      </c>
      <c r="AG12" s="31">
        <f t="shared" si="6"/>
        <v>0.25224310717351411</v>
      </c>
      <c r="AH12" s="31">
        <f t="shared" si="7"/>
        <v>0.18928267780370747</v>
      </c>
    </row>
    <row r="13" spans="1:34" s="90" customFormat="1" x14ac:dyDescent="0.25">
      <c r="A13" s="69">
        <v>12</v>
      </c>
      <c r="B13" s="71" t="s">
        <v>56</v>
      </c>
      <c r="C13" s="9">
        <v>800198324</v>
      </c>
      <c r="D13" s="135" t="s">
        <v>33</v>
      </c>
      <c r="E13" s="163">
        <v>17179765402</v>
      </c>
      <c r="F13" s="163">
        <v>3039893442</v>
      </c>
      <c r="G13" s="163">
        <v>27644494607</v>
      </c>
      <c r="H13" s="163">
        <v>10305363350</v>
      </c>
      <c r="I13" s="163">
        <v>17339131257</v>
      </c>
      <c r="J13" s="163">
        <v>9236043657</v>
      </c>
      <c r="K13" s="163">
        <v>2043841990</v>
      </c>
      <c r="L13" s="163">
        <v>79461436245</v>
      </c>
      <c r="M13" s="100">
        <v>81101500</v>
      </c>
      <c r="N13" s="73" t="s">
        <v>48</v>
      </c>
      <c r="O13" s="100" t="s">
        <v>35</v>
      </c>
      <c r="P13" s="97">
        <v>45291</v>
      </c>
      <c r="Q13" s="101" t="s">
        <v>40</v>
      </c>
      <c r="R13" s="157" t="str">
        <f t="shared" si="0"/>
        <v>NO</v>
      </c>
      <c r="S13" s="98">
        <f t="shared" si="1"/>
        <v>1889599.4541282223</v>
      </c>
      <c r="T13" s="44" t="s">
        <v>38</v>
      </c>
      <c r="U13" s="44" t="s">
        <v>38</v>
      </c>
      <c r="V13" s="44" t="s">
        <v>38</v>
      </c>
      <c r="X13" s="85"/>
      <c r="Y13" s="85"/>
      <c r="Z13" s="13">
        <f t="shared" si="2"/>
        <v>17339131257</v>
      </c>
      <c r="AA13" s="86"/>
      <c r="AB13" s="86"/>
      <c r="AC13" s="89"/>
      <c r="AD13" s="30">
        <f t="shared" si="3"/>
        <v>5.6514367130898924</v>
      </c>
      <c r="AE13" s="31">
        <f t="shared" si="4"/>
        <v>0.37278175985863482</v>
      </c>
      <c r="AF13" s="32">
        <f t="shared" si="5"/>
        <v>4.5189616918478128</v>
      </c>
      <c r="AG13" s="31">
        <f t="shared" si="6"/>
        <v>0.5326704965839224</v>
      </c>
      <c r="AH13" s="31">
        <f t="shared" si="7"/>
        <v>0.33410065144259482</v>
      </c>
    </row>
    <row r="14" spans="1:34" x14ac:dyDescent="0.25">
      <c r="A14" s="69">
        <v>13</v>
      </c>
      <c r="B14" s="71" t="s">
        <v>57</v>
      </c>
      <c r="C14" s="9">
        <v>800203342</v>
      </c>
      <c r="D14" s="135" t="s">
        <v>33</v>
      </c>
      <c r="E14" s="163">
        <v>14472403504</v>
      </c>
      <c r="F14" s="163">
        <v>3284885640</v>
      </c>
      <c r="G14" s="163">
        <v>14993414722</v>
      </c>
      <c r="H14" s="163">
        <v>5643633622</v>
      </c>
      <c r="I14" s="163">
        <v>9349781100</v>
      </c>
      <c r="J14" s="163">
        <v>3225374041</v>
      </c>
      <c r="K14" s="163">
        <v>111806392</v>
      </c>
      <c r="L14" s="163">
        <v>33134409801</v>
      </c>
      <c r="M14" s="100">
        <v>81101500</v>
      </c>
      <c r="N14" s="73" t="s">
        <v>48</v>
      </c>
      <c r="O14" s="100" t="s">
        <v>35</v>
      </c>
      <c r="P14" s="97">
        <v>45291</v>
      </c>
      <c r="Q14" s="101" t="s">
        <v>40</v>
      </c>
      <c r="R14" s="157" t="str">
        <f t="shared" si="0"/>
        <v>NO</v>
      </c>
      <c r="S14" s="98">
        <f t="shared" si="1"/>
        <v>787938.97557785595</v>
      </c>
      <c r="T14" s="44" t="s">
        <v>38</v>
      </c>
      <c r="U14" s="44" t="s">
        <v>38</v>
      </c>
      <c r="V14" s="44" t="s">
        <v>38</v>
      </c>
      <c r="X14" s="28" t="e">
        <f>+#REF!-#REF!</f>
        <v>#REF!</v>
      </c>
      <c r="Y14" s="28" t="e">
        <f>+#REF!-#REF!</f>
        <v>#REF!</v>
      </c>
      <c r="Z14" s="13">
        <f t="shared" si="2"/>
        <v>9349781100</v>
      </c>
      <c r="AA14" s="13"/>
      <c r="AB14" s="13"/>
      <c r="AC14" s="25"/>
      <c r="AD14" s="30">
        <f t="shared" si="3"/>
        <v>4.4057556609489756</v>
      </c>
      <c r="AE14" s="31">
        <f t="shared" si="4"/>
        <v>0.37640749133144669</v>
      </c>
      <c r="AF14" s="32">
        <f t="shared" si="5"/>
        <v>28.847850139015307</v>
      </c>
      <c r="AG14" s="31">
        <f t="shared" si="6"/>
        <v>0.34496786678781177</v>
      </c>
      <c r="AH14" s="31">
        <f t="shared" si="7"/>
        <v>0.21511937746025084</v>
      </c>
    </row>
    <row r="15" spans="1:34" ht="25.5" x14ac:dyDescent="0.25">
      <c r="A15" s="69">
        <v>14</v>
      </c>
      <c r="B15" s="94" t="s">
        <v>41</v>
      </c>
      <c r="C15" s="9">
        <v>800185395</v>
      </c>
      <c r="D15" s="168" t="s">
        <v>33</v>
      </c>
      <c r="E15" s="164">
        <v>2662238091</v>
      </c>
      <c r="F15" s="164">
        <v>292609846</v>
      </c>
      <c r="G15" s="164">
        <v>2866552218</v>
      </c>
      <c r="H15" s="164">
        <v>1012481642</v>
      </c>
      <c r="I15" s="164">
        <v>1854070576</v>
      </c>
      <c r="J15" s="164">
        <v>-232899687</v>
      </c>
      <c r="K15" s="164">
        <v>3616329</v>
      </c>
      <c r="L15" s="164">
        <v>1218964247</v>
      </c>
      <c r="M15" s="74">
        <v>77101500</v>
      </c>
      <c r="N15" s="135" t="s">
        <v>34</v>
      </c>
      <c r="O15" s="134" t="s">
        <v>35</v>
      </c>
      <c r="P15" s="118">
        <v>45291</v>
      </c>
      <c r="Q15" s="157" t="s">
        <v>36</v>
      </c>
      <c r="R15" s="157" t="str">
        <f t="shared" si="0"/>
        <v>SI</v>
      </c>
      <c r="S15" s="98">
        <f t="shared" si="1"/>
        <v>28987.069509179113</v>
      </c>
      <c r="T15" s="91" t="s">
        <v>42</v>
      </c>
      <c r="U15" s="91" t="s">
        <v>42</v>
      </c>
      <c r="V15" s="91" t="s">
        <v>42</v>
      </c>
      <c r="X15" s="28" t="e">
        <f>+#REF!-#REF!</f>
        <v>#REF!</v>
      </c>
      <c r="Y15" s="28" t="e">
        <f>+#REF!-#REF!</f>
        <v>#REF!</v>
      </c>
      <c r="Z15" s="13">
        <f t="shared" si="2"/>
        <v>1854070576</v>
      </c>
      <c r="AA15" s="13"/>
      <c r="AB15" s="13"/>
      <c r="AC15" s="25"/>
      <c r="AD15" s="30">
        <f t="shared" si="3"/>
        <v>9.0982519125484238</v>
      </c>
      <c r="AE15" s="31">
        <f t="shared" si="4"/>
        <v>0.35320537181995265</v>
      </c>
      <c r="AF15" s="32">
        <f t="shared" si="5"/>
        <v>-64.402239674542884</v>
      </c>
      <c r="AG15" s="31">
        <f t="shared" si="6"/>
        <v>-0.12561532986649371</v>
      </c>
      <c r="AH15" s="31">
        <f t="shared" si="7"/>
        <v>-8.1247320574712789E-2</v>
      </c>
    </row>
    <row r="16" spans="1:34" ht="25.5" x14ac:dyDescent="0.25">
      <c r="A16" s="69">
        <v>15</v>
      </c>
      <c r="B16" s="94" t="s">
        <v>62</v>
      </c>
      <c r="C16" s="9">
        <v>830084684</v>
      </c>
      <c r="D16" s="169" t="s">
        <v>33</v>
      </c>
      <c r="E16" s="164">
        <v>4808392174</v>
      </c>
      <c r="F16" s="164">
        <v>963422079</v>
      </c>
      <c r="G16" s="164">
        <v>6597253440</v>
      </c>
      <c r="H16" s="164">
        <v>2251510375</v>
      </c>
      <c r="I16" s="164">
        <v>4345743065</v>
      </c>
      <c r="J16" s="164">
        <v>741625117</v>
      </c>
      <c r="K16" s="164">
        <v>34681060</v>
      </c>
      <c r="L16" s="164">
        <v>4590669735</v>
      </c>
      <c r="M16" s="74">
        <v>77101500</v>
      </c>
      <c r="N16" s="96" t="s">
        <v>34</v>
      </c>
      <c r="O16" s="73" t="s">
        <v>35</v>
      </c>
      <c r="P16" s="118">
        <v>45291</v>
      </c>
      <c r="Q16" s="157" t="s">
        <v>36</v>
      </c>
      <c r="R16" s="157" t="str">
        <f t="shared" si="0"/>
        <v>SI</v>
      </c>
      <c r="S16" s="98">
        <f t="shared" si="1"/>
        <v>109166.5018310663</v>
      </c>
      <c r="T16" s="91" t="s">
        <v>46</v>
      </c>
      <c r="U16" s="91" t="s">
        <v>46</v>
      </c>
      <c r="V16" s="44" t="s">
        <v>37</v>
      </c>
      <c r="X16" s="28" t="e">
        <f>+#REF!-#REF!</f>
        <v>#REF!</v>
      </c>
      <c r="Y16" s="28" t="e">
        <f>+#REF!-#REF!</f>
        <v>#REF!</v>
      </c>
      <c r="Z16" s="13">
        <f t="shared" si="2"/>
        <v>4345743065</v>
      </c>
      <c r="AA16" s="13"/>
      <c r="AB16" s="13"/>
      <c r="AC16" s="25"/>
      <c r="AD16" s="30">
        <f t="shared" si="3"/>
        <v>4.9909507772449544</v>
      </c>
      <c r="AE16" s="31">
        <f t="shared" si="4"/>
        <v>0.34127995770918873</v>
      </c>
      <c r="AF16" s="32">
        <f t="shared" si="5"/>
        <v>21.384153685037308</v>
      </c>
      <c r="AG16" s="31">
        <f t="shared" si="6"/>
        <v>0.17065553713309556</v>
      </c>
      <c r="AH16" s="31">
        <f t="shared" si="7"/>
        <v>0.11241422263747382</v>
      </c>
    </row>
    <row r="17" spans="1:34" ht="25.5" x14ac:dyDescent="0.25">
      <c r="A17" s="69">
        <v>16</v>
      </c>
      <c r="B17" s="94" t="s">
        <v>49</v>
      </c>
      <c r="C17" s="9">
        <v>900944362</v>
      </c>
      <c r="D17" s="168" t="s">
        <v>33</v>
      </c>
      <c r="E17" s="165">
        <v>584740206</v>
      </c>
      <c r="F17" s="165">
        <v>42266017</v>
      </c>
      <c r="G17" s="165">
        <v>588098608</v>
      </c>
      <c r="H17" s="165">
        <v>42266017</v>
      </c>
      <c r="I17" s="165">
        <v>545832591</v>
      </c>
      <c r="J17" s="165">
        <v>115326733</v>
      </c>
      <c r="K17" s="165">
        <v>12400</v>
      </c>
      <c r="L17" s="165">
        <v>223935197</v>
      </c>
      <c r="M17" s="133">
        <v>77101500</v>
      </c>
      <c r="N17" s="135" t="s">
        <v>34</v>
      </c>
      <c r="O17" s="134" t="s">
        <v>35</v>
      </c>
      <c r="P17" s="118">
        <v>45291</v>
      </c>
      <c r="Q17" s="157" t="s">
        <v>36</v>
      </c>
      <c r="R17" s="157" t="str">
        <f t="shared" si="0"/>
        <v>SI</v>
      </c>
      <c r="S17" s="98">
        <f t="shared" si="1"/>
        <v>5325.197303338723</v>
      </c>
      <c r="T17" s="91" t="s">
        <v>42</v>
      </c>
      <c r="U17" s="91" t="s">
        <v>42</v>
      </c>
      <c r="V17" s="44" t="s">
        <v>38</v>
      </c>
      <c r="X17" s="28" t="e">
        <f>+#REF!-#REF!</f>
        <v>#REF!</v>
      </c>
      <c r="Y17" s="28" t="e">
        <f>+#REF!-#REF!</f>
        <v>#REF!</v>
      </c>
      <c r="Z17" s="13">
        <f t="shared" si="2"/>
        <v>545832591</v>
      </c>
      <c r="AA17" s="13"/>
      <c r="AB17" s="13"/>
      <c r="AC17" s="25"/>
      <c r="AD17" s="30">
        <f t="shared" si="3"/>
        <v>13.834760109995697</v>
      </c>
      <c r="AE17" s="31">
        <f t="shared" si="4"/>
        <v>7.1868928824262754E-2</v>
      </c>
      <c r="AF17" s="32">
        <f t="shared" si="5"/>
        <v>9300.5429838709679</v>
      </c>
      <c r="AG17" s="31">
        <f t="shared" si="6"/>
        <v>0.21128590505875455</v>
      </c>
      <c r="AH17" s="31">
        <f t="shared" si="7"/>
        <v>0.19610101338651698</v>
      </c>
    </row>
    <row r="18" spans="1:34" ht="25.5" x14ac:dyDescent="0.25">
      <c r="A18" s="69">
        <v>17</v>
      </c>
      <c r="B18" s="94" t="s">
        <v>61</v>
      </c>
      <c r="C18" s="9">
        <v>900239723</v>
      </c>
      <c r="D18" s="169" t="s">
        <v>33</v>
      </c>
      <c r="E18" s="164">
        <v>364518044</v>
      </c>
      <c r="F18" s="164">
        <v>111385638</v>
      </c>
      <c r="G18" s="164">
        <v>415963571</v>
      </c>
      <c r="H18" s="164">
        <v>111385638</v>
      </c>
      <c r="I18" s="164">
        <v>304577933</v>
      </c>
      <c r="J18" s="164">
        <v>43044008</v>
      </c>
      <c r="K18" s="164">
        <v>1588917</v>
      </c>
      <c r="L18" s="164">
        <v>1047413096</v>
      </c>
      <c r="M18" s="74">
        <v>77101500</v>
      </c>
      <c r="N18" s="96" t="s">
        <v>34</v>
      </c>
      <c r="O18" s="73" t="s">
        <v>35</v>
      </c>
      <c r="P18" s="118">
        <v>45291</v>
      </c>
      <c r="Q18" s="157" t="s">
        <v>36</v>
      </c>
      <c r="R18" s="157" t="str">
        <f t="shared" si="0"/>
        <v>SI</v>
      </c>
      <c r="S18" s="98">
        <f t="shared" si="1"/>
        <v>24907.569104917722</v>
      </c>
      <c r="T18" s="91" t="s">
        <v>42</v>
      </c>
      <c r="U18" s="91" t="s">
        <v>42</v>
      </c>
      <c r="V18" s="44" t="s">
        <v>38</v>
      </c>
      <c r="Z18" s="13">
        <f t="shared" si="2"/>
        <v>304577933</v>
      </c>
      <c r="AA18" s="13"/>
      <c r="AB18" s="13"/>
      <c r="AC18" s="25"/>
      <c r="AD18" s="30">
        <f t="shared" si="3"/>
        <v>3.2725767032909574</v>
      </c>
      <c r="AE18" s="31">
        <f t="shared" si="4"/>
        <v>0.26777738668850881</v>
      </c>
      <c r="AF18" s="32">
        <f t="shared" si="5"/>
        <v>27.090155118234623</v>
      </c>
      <c r="AG18" s="31">
        <f t="shared" si="6"/>
        <v>0.14132346219579867</v>
      </c>
      <c r="AH18" s="31">
        <f t="shared" si="7"/>
        <v>0.10348023481123543</v>
      </c>
    </row>
    <row r="19" spans="1:34" ht="25.5" x14ac:dyDescent="0.25">
      <c r="A19" s="69">
        <v>18</v>
      </c>
      <c r="B19" s="94" t="s">
        <v>54</v>
      </c>
      <c r="C19" s="9">
        <v>830083543</v>
      </c>
      <c r="D19" s="170" t="s">
        <v>33</v>
      </c>
      <c r="E19" s="164">
        <v>683349086</v>
      </c>
      <c r="F19" s="164">
        <v>73517646</v>
      </c>
      <c r="G19" s="164">
        <v>752832259</v>
      </c>
      <c r="H19" s="164">
        <v>142378684</v>
      </c>
      <c r="I19" s="164">
        <v>610453575</v>
      </c>
      <c r="J19" s="164">
        <v>97906157</v>
      </c>
      <c r="K19" s="164">
        <v>117703</v>
      </c>
      <c r="L19" s="164">
        <v>1800807947</v>
      </c>
      <c r="M19" s="74">
        <v>77101500</v>
      </c>
      <c r="N19" s="96" t="s">
        <v>34</v>
      </c>
      <c r="O19" s="73" t="s">
        <v>35</v>
      </c>
      <c r="P19" s="118">
        <v>45291</v>
      </c>
      <c r="Q19" s="80" t="s">
        <v>40</v>
      </c>
      <c r="R19" s="157" t="str">
        <f t="shared" si="0"/>
        <v>SI</v>
      </c>
      <c r="S19" s="98">
        <f t="shared" si="1"/>
        <v>42823.360292019403</v>
      </c>
      <c r="T19" s="44" t="str">
        <f>IF(S19&lt;=32988,"MICROEMPRESA",IF(S19&lt;=131951,"PEQUEÑA EMPRESA",IF(S19&lt;=483034,"MEDIANA EMPRESA",IF(S19&gt;483034,"GRAN EMPRESA"))))</f>
        <v>PEQUEÑA EMPRESA</v>
      </c>
      <c r="U19" s="91" t="s">
        <v>42</v>
      </c>
      <c r="V19" s="93" t="s">
        <v>42</v>
      </c>
      <c r="Z19" s="13">
        <f t="shared" si="2"/>
        <v>610453575</v>
      </c>
      <c r="AA19" s="13"/>
      <c r="AB19" s="13"/>
      <c r="AC19" s="25"/>
      <c r="AD19" s="30">
        <f t="shared" si="3"/>
        <v>9.2950349090339479</v>
      </c>
      <c r="AE19" s="31">
        <f t="shared" si="4"/>
        <v>0.1891240476186874</v>
      </c>
      <c r="AF19" s="32">
        <f t="shared" si="5"/>
        <v>831.806810361673</v>
      </c>
      <c r="AG19" s="31">
        <f t="shared" si="6"/>
        <v>0.16038264171030533</v>
      </c>
      <c r="AH19" s="31">
        <f t="shared" si="7"/>
        <v>0.13005042734227465</v>
      </c>
    </row>
    <row r="20" spans="1:34" ht="25.5" x14ac:dyDescent="0.25">
      <c r="A20" s="69">
        <v>19</v>
      </c>
      <c r="B20" s="94" t="s">
        <v>65</v>
      </c>
      <c r="C20" s="9">
        <v>900345967</v>
      </c>
      <c r="D20" s="170" t="s">
        <v>33</v>
      </c>
      <c r="E20" s="164">
        <v>2340952150</v>
      </c>
      <c r="F20" s="164">
        <v>156229783</v>
      </c>
      <c r="G20" s="164">
        <v>2869457406</v>
      </c>
      <c r="H20" s="164">
        <v>606855676</v>
      </c>
      <c r="I20" s="164">
        <v>2262601730</v>
      </c>
      <c r="J20" s="164">
        <v>475623805</v>
      </c>
      <c r="K20" s="164">
        <v>23130784</v>
      </c>
      <c r="L20" s="164">
        <v>2023965512</v>
      </c>
      <c r="M20" s="74">
        <v>77101500</v>
      </c>
      <c r="N20" s="96" t="s">
        <v>34</v>
      </c>
      <c r="O20" s="73" t="s">
        <v>35</v>
      </c>
      <c r="P20" s="118">
        <v>45291</v>
      </c>
      <c r="Q20" s="80" t="s">
        <v>40</v>
      </c>
      <c r="R20" s="157" t="str">
        <f t="shared" si="0"/>
        <v>SI</v>
      </c>
      <c r="S20" s="98">
        <f t="shared" si="1"/>
        <v>48130.065442785126</v>
      </c>
      <c r="T20" s="44" t="str">
        <f>IF(S20&lt;=32988,"MICROEMPRESA",IF(S20&lt;=131951,"PEQUEÑA EMPRESA",IF(S20&lt;=483034,"MEDIANA EMPRESA",IF(S20&gt;483034,"GRAN EMPRESA"))))</f>
        <v>PEQUEÑA EMPRESA</v>
      </c>
      <c r="U20" s="93" t="s">
        <v>46</v>
      </c>
      <c r="V20" s="93" t="s">
        <v>46</v>
      </c>
      <c r="Z20" s="13">
        <f t="shared" si="2"/>
        <v>2262601730</v>
      </c>
      <c r="AA20" s="13"/>
      <c r="AB20" s="13"/>
      <c r="AC20" s="25"/>
      <c r="AD20" s="30">
        <f t="shared" si="3"/>
        <v>14.984032525987699</v>
      </c>
      <c r="AE20" s="31">
        <f t="shared" si="4"/>
        <v>0.21148795404004683</v>
      </c>
      <c r="AF20" s="32">
        <f t="shared" si="5"/>
        <v>20.562372853423387</v>
      </c>
      <c r="AG20" s="31">
        <f t="shared" si="6"/>
        <v>0.21021101446784451</v>
      </c>
      <c r="AH20" s="31">
        <f t="shared" si="7"/>
        <v>0.1657539171013574</v>
      </c>
    </row>
    <row r="21" spans="1:34" ht="25.5" x14ac:dyDescent="0.25">
      <c r="A21" s="69">
        <v>20</v>
      </c>
      <c r="B21" s="94" t="s">
        <v>58</v>
      </c>
      <c r="C21" s="9">
        <v>900314911</v>
      </c>
      <c r="D21" s="169" t="s">
        <v>33</v>
      </c>
      <c r="E21" s="164">
        <v>2385762693</v>
      </c>
      <c r="F21" s="164">
        <v>438660931</v>
      </c>
      <c r="G21" s="164">
        <v>3653359380</v>
      </c>
      <c r="H21" s="164">
        <v>946516931</v>
      </c>
      <c r="I21" s="164">
        <v>2706842449</v>
      </c>
      <c r="J21" s="164">
        <v>1300035926</v>
      </c>
      <c r="K21" s="164">
        <v>0</v>
      </c>
      <c r="L21" s="164">
        <v>2869197737</v>
      </c>
      <c r="M21" s="74">
        <v>77101500</v>
      </c>
      <c r="N21" s="96" t="s">
        <v>34</v>
      </c>
      <c r="O21" s="73" t="s">
        <v>35</v>
      </c>
      <c r="P21" s="118">
        <v>45657</v>
      </c>
      <c r="Q21" s="157" t="s">
        <v>36</v>
      </c>
      <c r="R21" s="157" t="str">
        <f t="shared" si="0"/>
        <v>SI</v>
      </c>
      <c r="S21" s="98">
        <f t="shared" si="1"/>
        <v>68229.756896223727</v>
      </c>
      <c r="T21" s="91" t="s">
        <v>46</v>
      </c>
      <c r="U21" s="91" t="s">
        <v>46</v>
      </c>
      <c r="V21" s="44" t="s">
        <v>37</v>
      </c>
      <c r="Z21" s="13">
        <f t="shared" si="2"/>
        <v>2706842449</v>
      </c>
      <c r="AA21" s="13"/>
      <c r="AB21" s="13"/>
      <c r="AC21" s="25"/>
      <c r="AD21" s="30">
        <f t="shared" si="3"/>
        <v>5.4387398658030932</v>
      </c>
      <c r="AE21" s="31">
        <f t="shared" si="4"/>
        <v>0.25908125441521718</v>
      </c>
      <c r="AF21" s="32" t="e">
        <f t="shared" si="5"/>
        <v>#DIV/0!</v>
      </c>
      <c r="AG21" s="31">
        <f t="shared" si="6"/>
        <v>0.4802776484018409</v>
      </c>
      <c r="AH21" s="31">
        <f t="shared" si="7"/>
        <v>0.35584671278630137</v>
      </c>
    </row>
    <row r="22" spans="1:34" ht="25.5" x14ac:dyDescent="0.25">
      <c r="A22" s="69">
        <v>21</v>
      </c>
      <c r="B22" s="94" t="s">
        <v>32</v>
      </c>
      <c r="C22" s="9">
        <v>830514033</v>
      </c>
      <c r="D22" s="168" t="s">
        <v>33</v>
      </c>
      <c r="E22" s="166">
        <v>5878180071</v>
      </c>
      <c r="F22" s="166">
        <v>715875851</v>
      </c>
      <c r="G22" s="166">
        <v>6610735279</v>
      </c>
      <c r="H22" s="166">
        <v>3852756143</v>
      </c>
      <c r="I22" s="166">
        <v>2757979136</v>
      </c>
      <c r="J22" s="166">
        <v>618323863</v>
      </c>
      <c r="K22" s="166">
        <v>208955213</v>
      </c>
      <c r="L22" s="166">
        <v>6158641773</v>
      </c>
      <c r="M22" s="133">
        <v>77101500</v>
      </c>
      <c r="N22" s="135" t="s">
        <v>34</v>
      </c>
      <c r="O22" s="134" t="s">
        <v>35</v>
      </c>
      <c r="P22" s="118">
        <v>45657</v>
      </c>
      <c r="Q22" s="157" t="s">
        <v>36</v>
      </c>
      <c r="R22" s="157" t="str">
        <f t="shared" si="0"/>
        <v>SI</v>
      </c>
      <c r="S22" s="98">
        <f t="shared" si="1"/>
        <v>146453.00516027774</v>
      </c>
      <c r="T22" s="93" t="s">
        <v>37</v>
      </c>
      <c r="U22" s="93" t="s">
        <v>37</v>
      </c>
      <c r="V22" s="44" t="s">
        <v>38</v>
      </c>
      <c r="Z22" s="13">
        <f t="shared" si="2"/>
        <v>2757979136</v>
      </c>
      <c r="AA22" s="13"/>
      <c r="AB22" s="13"/>
      <c r="AC22" s="25"/>
      <c r="AD22" s="30">
        <f t="shared" si="3"/>
        <v>8.2111724578903278</v>
      </c>
      <c r="AE22" s="31">
        <f t="shared" si="4"/>
        <v>0.58280296826267752</v>
      </c>
      <c r="AF22" s="32">
        <f t="shared" si="5"/>
        <v>2.9591214984428267</v>
      </c>
      <c r="AG22" s="31">
        <f t="shared" si="6"/>
        <v>0.22419453973708378</v>
      </c>
      <c r="AH22" s="31">
        <f t="shared" si="7"/>
        <v>9.3533296510026537E-2</v>
      </c>
    </row>
    <row r="23" spans="1:34" x14ac:dyDescent="0.25">
      <c r="A23" s="69">
        <v>22</v>
      </c>
      <c r="B23" s="102" t="s">
        <v>66</v>
      </c>
      <c r="C23" s="9">
        <v>800119214</v>
      </c>
      <c r="D23" s="135" t="s">
        <v>33</v>
      </c>
      <c r="E23" s="163">
        <v>8919817451</v>
      </c>
      <c r="F23" s="163">
        <v>3507290855</v>
      </c>
      <c r="G23" s="163">
        <v>11425064329</v>
      </c>
      <c r="H23" s="163">
        <v>3558641655</v>
      </c>
      <c r="I23" s="163">
        <v>7866422674</v>
      </c>
      <c r="J23" s="163">
        <v>2327465156</v>
      </c>
      <c r="K23" s="163">
        <v>84130444</v>
      </c>
      <c r="L23" s="163">
        <v>23520847331</v>
      </c>
      <c r="M23" s="100">
        <v>81101500</v>
      </c>
      <c r="N23" s="73" t="s">
        <v>48</v>
      </c>
      <c r="O23" s="100" t="s">
        <v>35</v>
      </c>
      <c r="P23" s="97">
        <v>45291</v>
      </c>
      <c r="Q23" s="101" t="s">
        <v>40</v>
      </c>
      <c r="R23" s="157" t="str">
        <f t="shared" si="0"/>
        <v>NO</v>
      </c>
      <c r="S23" s="98">
        <f t="shared" si="1"/>
        <v>559327.6736183773</v>
      </c>
      <c r="T23" s="44" t="s">
        <v>38</v>
      </c>
      <c r="U23" s="44" t="s">
        <v>38</v>
      </c>
      <c r="V23" s="44" t="s">
        <v>38</v>
      </c>
      <c r="Z23" s="13">
        <f t="shared" si="2"/>
        <v>7866422674</v>
      </c>
      <c r="AA23" s="13"/>
      <c r="AB23" s="13"/>
      <c r="AC23" s="25"/>
      <c r="AD23" s="30">
        <f t="shared" si="3"/>
        <v>2.543221483409023</v>
      </c>
      <c r="AE23" s="31">
        <f t="shared" si="4"/>
        <v>0.31147672805370336</v>
      </c>
      <c r="AF23" s="32">
        <f t="shared" si="5"/>
        <v>27.664957479601558</v>
      </c>
      <c r="AG23" s="31">
        <f t="shared" si="6"/>
        <v>0.29587339155989012</v>
      </c>
      <c r="AH23" s="31">
        <f t="shared" si="7"/>
        <v>0.20371571563866334</v>
      </c>
    </row>
    <row r="24" spans="1:34" ht="25.5" x14ac:dyDescent="0.25">
      <c r="A24" s="69">
        <v>23</v>
      </c>
      <c r="B24" s="94" t="s">
        <v>98</v>
      </c>
      <c r="C24" s="9">
        <v>830100540</v>
      </c>
      <c r="D24" s="170" t="s">
        <v>33</v>
      </c>
      <c r="E24" s="164">
        <v>5165173605</v>
      </c>
      <c r="F24" s="164">
        <v>1044917204</v>
      </c>
      <c r="G24" s="164">
        <v>5175812994</v>
      </c>
      <c r="H24" s="164">
        <v>2922260307</v>
      </c>
      <c r="I24" s="164">
        <v>2253552687</v>
      </c>
      <c r="J24" s="164">
        <v>497579245</v>
      </c>
      <c r="K24" s="164">
        <v>122259849</v>
      </c>
      <c r="L24" s="163">
        <v>16380001421</v>
      </c>
      <c r="M24" s="133">
        <v>77101500</v>
      </c>
      <c r="N24" s="135" t="s">
        <v>34</v>
      </c>
      <c r="O24" s="100" t="s">
        <v>35</v>
      </c>
      <c r="P24" s="97">
        <v>45291</v>
      </c>
      <c r="Q24" s="80" t="s">
        <v>40</v>
      </c>
      <c r="R24" s="157" t="str">
        <f t="shared" si="0"/>
        <v>SI</v>
      </c>
      <c r="S24" s="98">
        <f t="shared" si="1"/>
        <v>389517.77373252163</v>
      </c>
      <c r="T24" s="44" t="str">
        <f>IF(S24&lt;=32988,"MICROEMPRESA",IF(S24&lt;=131951,"PEQUEÑA EMPRESA",IF(S24&lt;=483034,"MEDIANA EMPRESA",IF(S24&gt;483034,"GRAN EMPRESA"))))</f>
        <v>MEDIANA EMPRESA</v>
      </c>
      <c r="U24" s="93" t="s">
        <v>37</v>
      </c>
      <c r="V24" s="93" t="s">
        <v>37</v>
      </c>
      <c r="Z24" s="13">
        <f t="shared" si="2"/>
        <v>2253552687</v>
      </c>
      <c r="AA24" s="13"/>
      <c r="AB24" s="13"/>
      <c r="AC24" s="25"/>
      <c r="AD24" s="30">
        <f t="shared" si="3"/>
        <v>4.9431415094204922</v>
      </c>
      <c r="AE24" s="31">
        <f t="shared" si="4"/>
        <v>0.56459928331792431</v>
      </c>
      <c r="AF24" s="32">
        <f t="shared" si="5"/>
        <v>4.0698499881183396</v>
      </c>
      <c r="AG24" s="31">
        <f t="shared" si="6"/>
        <v>0.22079769772873298</v>
      </c>
      <c r="AH24" s="31">
        <f t="shared" si="7"/>
        <v>9.6135475832842654E-2</v>
      </c>
    </row>
    <row r="25" spans="1:34" ht="25.5" x14ac:dyDescent="0.25">
      <c r="A25" s="69">
        <v>24</v>
      </c>
      <c r="B25" s="94" t="s">
        <v>99</v>
      </c>
      <c r="C25" s="9">
        <v>900103929</v>
      </c>
      <c r="D25" s="170" t="s">
        <v>33</v>
      </c>
      <c r="E25" s="164">
        <v>8273098712</v>
      </c>
      <c r="F25" s="164">
        <v>2078640588</v>
      </c>
      <c r="G25" s="164">
        <v>12038211526</v>
      </c>
      <c r="H25" s="164">
        <v>6772474602</v>
      </c>
      <c r="I25" s="164">
        <v>5265736924</v>
      </c>
      <c r="J25" s="164">
        <v>4269277378</v>
      </c>
      <c r="K25" s="164">
        <v>717238700</v>
      </c>
      <c r="L25" s="163">
        <v>14149053830</v>
      </c>
      <c r="M25" s="133">
        <v>77101500</v>
      </c>
      <c r="N25" s="135" t="s">
        <v>34</v>
      </c>
      <c r="O25" s="100" t="s">
        <v>35</v>
      </c>
      <c r="P25" s="97">
        <v>45291</v>
      </c>
      <c r="Q25" s="80" t="s">
        <v>40</v>
      </c>
      <c r="R25" s="157" t="str">
        <f t="shared" si="0"/>
        <v>SI</v>
      </c>
      <c r="S25" s="158">
        <f>L25/$C$32</f>
        <v>336465.65751926188</v>
      </c>
      <c r="T25" s="44" t="str">
        <f>IF(S25&lt;=32988,"MICROEMPRESA",IF(S25&lt;=131951,"PEQUEÑA EMPRESA",IF(S25&lt;=483034,"MEDIANA EMPRESA",IF(S25&gt;483034,"GRAN EMPRESA"))))</f>
        <v>MEDIANA EMPRESA</v>
      </c>
      <c r="U25" s="93" t="s">
        <v>37</v>
      </c>
      <c r="V25" s="93" t="s">
        <v>37</v>
      </c>
      <c r="Z25" s="13">
        <f t="shared" si="2"/>
        <v>5265736924</v>
      </c>
      <c r="AA25" s="13"/>
      <c r="AB25" s="13"/>
      <c r="AC25" s="25"/>
      <c r="AD25" s="30">
        <f t="shared" si="3"/>
        <v>3.9800525207487194</v>
      </c>
      <c r="AE25" s="31">
        <f t="shared" si="4"/>
        <v>0.56258145882990029</v>
      </c>
      <c r="AF25" s="32">
        <f t="shared" si="5"/>
        <v>5.9523801183622691</v>
      </c>
      <c r="AG25" s="31">
        <f t="shared" si="6"/>
        <v>0.8107654141515559</v>
      </c>
      <c r="AH25" s="31">
        <f t="shared" si="7"/>
        <v>0.3546438246893453</v>
      </c>
    </row>
    <row r="26" spans="1:34" x14ac:dyDescent="0.25">
      <c r="A26" s="69">
        <v>25</v>
      </c>
      <c r="B26" s="71" t="s">
        <v>57</v>
      </c>
      <c r="C26" s="173">
        <v>800203342</v>
      </c>
      <c r="D26" s="135" t="s">
        <v>33</v>
      </c>
      <c r="E26" s="159">
        <v>14472403504</v>
      </c>
      <c r="F26" s="159">
        <v>3284885640</v>
      </c>
      <c r="G26" s="159">
        <v>14993414722</v>
      </c>
      <c r="H26" s="159">
        <v>5643633622</v>
      </c>
      <c r="I26" s="159">
        <v>9349781100</v>
      </c>
      <c r="J26" s="159">
        <v>3225374041</v>
      </c>
      <c r="K26" s="159">
        <v>111806392</v>
      </c>
      <c r="L26" s="159">
        <v>33134409801</v>
      </c>
      <c r="M26" s="155">
        <v>77101600</v>
      </c>
      <c r="N26" s="135" t="s">
        <v>39</v>
      </c>
      <c r="O26" s="101" t="s">
        <v>35</v>
      </c>
      <c r="P26" s="97">
        <v>45291</v>
      </c>
      <c r="Q26" s="101" t="s">
        <v>40</v>
      </c>
      <c r="R26" s="156" t="s">
        <v>59</v>
      </c>
      <c r="S26" s="79">
        <v>781250.82</v>
      </c>
      <c r="T26" s="44" t="s">
        <v>38</v>
      </c>
      <c r="U26" s="44" t="s">
        <v>38</v>
      </c>
      <c r="V26" s="44" t="s">
        <v>38</v>
      </c>
      <c r="Z26" s="13">
        <f>G26-H26</f>
        <v>9349781100</v>
      </c>
      <c r="AA26" s="13"/>
      <c r="AB26" s="13"/>
      <c r="AC26" s="25"/>
      <c r="AD26" s="30">
        <f>E26/F26</f>
        <v>4.4057556609489756</v>
      </c>
      <c r="AE26" s="33">
        <f>H26/G26</f>
        <v>0.37640749133144669</v>
      </c>
      <c r="AF26" s="32">
        <f>J26/K26</f>
        <v>28.847850139015307</v>
      </c>
      <c r="AG26" s="31">
        <f>J26/I26</f>
        <v>0.34496786678781177</v>
      </c>
      <c r="AH26" s="31">
        <f>J26/G26</f>
        <v>0.21511937746025084</v>
      </c>
    </row>
    <row r="27" spans="1:34" x14ac:dyDescent="0.25">
      <c r="A27" s="47"/>
      <c r="B27" s="152"/>
      <c r="C27" s="151"/>
      <c r="D27" s="61"/>
      <c r="E27" s="52"/>
      <c r="F27" s="52"/>
      <c r="G27" s="52"/>
      <c r="H27" s="52"/>
      <c r="I27" s="52"/>
      <c r="J27" s="52"/>
      <c r="K27" s="52"/>
      <c r="L27" s="52"/>
      <c r="M27" s="53"/>
      <c r="N27" s="52"/>
      <c r="O27" s="52"/>
      <c r="P27" s="81"/>
      <c r="Q27" s="52"/>
      <c r="R27" s="62"/>
      <c r="S27" s="63"/>
      <c r="T27" s="35"/>
      <c r="U27" s="60"/>
      <c r="V27" s="47"/>
      <c r="Z27" s="8"/>
      <c r="AA27" s="8"/>
      <c r="AB27" s="8"/>
      <c r="AD27" s="64"/>
      <c r="AE27" s="65"/>
      <c r="AF27" s="64"/>
      <c r="AG27" s="42"/>
      <c r="AH27" s="42"/>
    </row>
    <row r="28" spans="1:34" s="90" customFormat="1" ht="10.5" x14ac:dyDescent="0.25">
      <c r="A28" s="35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</row>
    <row r="29" spans="1:34" ht="10.5" x14ac:dyDescent="0.25">
      <c r="B29" s="28"/>
      <c r="D29" s="28"/>
    </row>
    <row r="30" spans="1:34" ht="10.5" x14ac:dyDescent="0.25">
      <c r="D30" s="28"/>
    </row>
    <row r="31" spans="1:34" x14ac:dyDescent="0.25">
      <c r="B31" s="28"/>
      <c r="D31" s="28"/>
    </row>
    <row r="32" spans="1:34" x14ac:dyDescent="0.25">
      <c r="B32" s="50" t="s">
        <v>67</v>
      </c>
      <c r="C32" s="51">
        <v>42052</v>
      </c>
    </row>
    <row r="34" spans="1:34" x14ac:dyDescent="0.25">
      <c r="A34" s="187" t="s">
        <v>0</v>
      </c>
      <c r="B34" s="187" t="s">
        <v>1</v>
      </c>
      <c r="C34" s="187" t="s">
        <v>2</v>
      </c>
      <c r="D34" s="187" t="s">
        <v>111</v>
      </c>
      <c r="E34" s="187" t="s">
        <v>17</v>
      </c>
      <c r="F34" s="28" t="s">
        <v>112</v>
      </c>
      <c r="G34" s="190">
        <f>18/25</f>
        <v>0.72</v>
      </c>
    </row>
    <row r="35" spans="1:34" x14ac:dyDescent="0.25">
      <c r="A35" s="44">
        <v>1</v>
      </c>
      <c r="B35" s="102" t="s">
        <v>43</v>
      </c>
      <c r="C35" s="34">
        <v>800143273</v>
      </c>
      <c r="D35" s="44" t="s">
        <v>36</v>
      </c>
      <c r="E35" s="44" t="s">
        <v>59</v>
      </c>
    </row>
    <row r="36" spans="1:34" x14ac:dyDescent="0.25">
      <c r="A36" s="44">
        <v>2</v>
      </c>
      <c r="B36" s="102" t="s">
        <v>44</v>
      </c>
      <c r="C36" s="34">
        <v>800143610</v>
      </c>
      <c r="D36" s="44" t="s">
        <v>36</v>
      </c>
      <c r="E36" s="44" t="s">
        <v>59</v>
      </c>
    </row>
    <row r="37" spans="1:34" x14ac:dyDescent="0.25">
      <c r="A37" s="44">
        <v>3</v>
      </c>
      <c r="B37" s="102" t="s">
        <v>45</v>
      </c>
      <c r="C37" s="34">
        <v>800146310</v>
      </c>
      <c r="D37" s="44" t="s">
        <v>36</v>
      </c>
      <c r="E37" s="44" t="s">
        <v>36</v>
      </c>
    </row>
    <row r="38" spans="1:34" s="90" customFormat="1" x14ac:dyDescent="0.25">
      <c r="A38" s="44">
        <v>4</v>
      </c>
      <c r="B38" s="102" t="s">
        <v>47</v>
      </c>
      <c r="C38" s="34">
        <v>800174121</v>
      </c>
      <c r="D38" s="44" t="s">
        <v>36</v>
      </c>
      <c r="E38" s="44" t="s">
        <v>36</v>
      </c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</row>
    <row r="39" spans="1:34" x14ac:dyDescent="0.25">
      <c r="A39" s="44">
        <v>5</v>
      </c>
      <c r="B39" s="102" t="s">
        <v>50</v>
      </c>
      <c r="C39" s="34">
        <v>800254539</v>
      </c>
      <c r="D39" s="44" t="s">
        <v>36</v>
      </c>
      <c r="E39" s="44" t="s">
        <v>36</v>
      </c>
    </row>
    <row r="40" spans="1:34" x14ac:dyDescent="0.25">
      <c r="A40" s="44">
        <v>6</v>
      </c>
      <c r="B40" s="102" t="s">
        <v>51</v>
      </c>
      <c r="C40" s="34">
        <v>800256848</v>
      </c>
      <c r="D40" s="44" t="s">
        <v>36</v>
      </c>
      <c r="E40" s="44" t="s">
        <v>36</v>
      </c>
    </row>
    <row r="41" spans="1:34" x14ac:dyDescent="0.25">
      <c r="A41" s="44">
        <v>7</v>
      </c>
      <c r="B41" s="102" t="s">
        <v>63</v>
      </c>
      <c r="C41" s="34">
        <v>804006097</v>
      </c>
      <c r="D41" s="44" t="s">
        <v>36</v>
      </c>
      <c r="E41" s="44" t="s">
        <v>36</v>
      </c>
    </row>
    <row r="42" spans="1:34" x14ac:dyDescent="0.25">
      <c r="A42" s="44">
        <v>8</v>
      </c>
      <c r="B42" s="102" t="s">
        <v>60</v>
      </c>
      <c r="C42" s="34">
        <v>811015828</v>
      </c>
      <c r="D42" s="44" t="s">
        <v>36</v>
      </c>
      <c r="E42" s="44" t="s">
        <v>36</v>
      </c>
    </row>
    <row r="43" spans="1:34" x14ac:dyDescent="0.25">
      <c r="A43" s="44">
        <v>9</v>
      </c>
      <c r="B43" s="102" t="s">
        <v>64</v>
      </c>
      <c r="C43" s="34">
        <v>830060337</v>
      </c>
      <c r="D43" s="44" t="s">
        <v>36</v>
      </c>
      <c r="E43" s="44" t="s">
        <v>36</v>
      </c>
    </row>
    <row r="44" spans="1:34" x14ac:dyDescent="0.25">
      <c r="A44" s="44">
        <v>10</v>
      </c>
      <c r="B44" s="102" t="s">
        <v>53</v>
      </c>
      <c r="C44" s="34">
        <v>900462686</v>
      </c>
      <c r="D44" s="44" t="s">
        <v>36</v>
      </c>
      <c r="E44" s="44" t="s">
        <v>36</v>
      </c>
    </row>
    <row r="45" spans="1:34" x14ac:dyDescent="0.25">
      <c r="A45" s="44">
        <v>11</v>
      </c>
      <c r="B45" s="102" t="s">
        <v>55</v>
      </c>
      <c r="C45" s="34">
        <v>800196467</v>
      </c>
      <c r="D45" s="44" t="s">
        <v>36</v>
      </c>
      <c r="E45" s="44" t="s">
        <v>59</v>
      </c>
    </row>
    <row r="46" spans="1:34" s="90" customFormat="1" x14ac:dyDescent="0.25">
      <c r="A46" s="44">
        <v>12</v>
      </c>
      <c r="B46" s="102" t="s">
        <v>56</v>
      </c>
      <c r="C46" s="34">
        <v>800198324</v>
      </c>
      <c r="D46" s="44" t="s">
        <v>36</v>
      </c>
      <c r="E46" s="44" t="s">
        <v>59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</row>
    <row r="47" spans="1:34" s="90" customFormat="1" x14ac:dyDescent="0.25">
      <c r="A47" s="44">
        <v>13</v>
      </c>
      <c r="B47" s="102" t="s">
        <v>57</v>
      </c>
      <c r="C47" s="34">
        <v>800203342</v>
      </c>
      <c r="D47" s="44" t="s">
        <v>36</v>
      </c>
      <c r="E47" s="44" t="s">
        <v>59</v>
      </c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</row>
    <row r="48" spans="1:34" s="90" customFormat="1" x14ac:dyDescent="0.25">
      <c r="A48" s="44">
        <v>14</v>
      </c>
      <c r="B48" s="102" t="s">
        <v>41</v>
      </c>
      <c r="C48" s="34">
        <v>800185395</v>
      </c>
      <c r="D48" s="44" t="s">
        <v>36</v>
      </c>
      <c r="E48" s="44" t="s">
        <v>36</v>
      </c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</row>
    <row r="49" spans="1:34" x14ac:dyDescent="0.25">
      <c r="A49" s="44">
        <v>15</v>
      </c>
      <c r="B49" s="102" t="s">
        <v>62</v>
      </c>
      <c r="C49" s="34">
        <v>830084684</v>
      </c>
      <c r="D49" s="44" t="s">
        <v>36</v>
      </c>
      <c r="E49" s="44" t="s">
        <v>36</v>
      </c>
    </row>
    <row r="50" spans="1:34" x14ac:dyDescent="0.25">
      <c r="A50" s="44">
        <v>16</v>
      </c>
      <c r="B50" s="102" t="s">
        <v>49</v>
      </c>
      <c r="C50" s="34">
        <v>900944362</v>
      </c>
      <c r="D50" s="44" t="s">
        <v>36</v>
      </c>
      <c r="E50" s="44" t="s">
        <v>36</v>
      </c>
    </row>
    <row r="51" spans="1:34" x14ac:dyDescent="0.25">
      <c r="A51" s="44">
        <v>17</v>
      </c>
      <c r="B51" s="102" t="s">
        <v>61</v>
      </c>
      <c r="C51" s="34">
        <v>900239723</v>
      </c>
      <c r="D51" s="44" t="s">
        <v>36</v>
      </c>
      <c r="E51" s="44" t="s">
        <v>36</v>
      </c>
    </row>
    <row r="52" spans="1:34" x14ac:dyDescent="0.25">
      <c r="A52" s="44">
        <v>18</v>
      </c>
      <c r="B52" s="102" t="s">
        <v>54</v>
      </c>
      <c r="C52" s="34">
        <v>830083543</v>
      </c>
      <c r="D52" s="44" t="s">
        <v>36</v>
      </c>
      <c r="E52" s="44" t="s">
        <v>36</v>
      </c>
    </row>
    <row r="53" spans="1:34" x14ac:dyDescent="0.25">
      <c r="A53" s="44">
        <v>19</v>
      </c>
      <c r="B53" s="102" t="s">
        <v>65</v>
      </c>
      <c r="C53" s="34">
        <v>900345967</v>
      </c>
      <c r="D53" s="44" t="s">
        <v>36</v>
      </c>
      <c r="E53" s="44" t="s">
        <v>36</v>
      </c>
    </row>
    <row r="54" spans="1:34" x14ac:dyDescent="0.25">
      <c r="A54" s="44">
        <v>20</v>
      </c>
      <c r="B54" s="102" t="s">
        <v>58</v>
      </c>
      <c r="C54" s="34">
        <v>900314911</v>
      </c>
      <c r="D54" s="44" t="s">
        <v>36</v>
      </c>
      <c r="E54" s="44" t="s">
        <v>36</v>
      </c>
    </row>
    <row r="55" spans="1:34" x14ac:dyDescent="0.25">
      <c r="A55" s="44">
        <v>21</v>
      </c>
      <c r="B55" s="102" t="s">
        <v>32</v>
      </c>
      <c r="C55" s="34">
        <v>830514033</v>
      </c>
      <c r="D55" s="44" t="s">
        <v>36</v>
      </c>
      <c r="E55" s="44" t="s">
        <v>36</v>
      </c>
    </row>
    <row r="56" spans="1:34" x14ac:dyDescent="0.25">
      <c r="A56" s="44">
        <v>22</v>
      </c>
      <c r="B56" s="102" t="s">
        <v>66</v>
      </c>
      <c r="C56" s="34">
        <v>800119214</v>
      </c>
      <c r="D56" s="44" t="s">
        <v>36</v>
      </c>
      <c r="E56" s="44" t="s">
        <v>59</v>
      </c>
    </row>
    <row r="57" spans="1:34" x14ac:dyDescent="0.25">
      <c r="A57" s="44">
        <v>23</v>
      </c>
      <c r="B57" s="102" t="s">
        <v>98</v>
      </c>
      <c r="C57" s="34">
        <v>830100540</v>
      </c>
      <c r="D57" s="44" t="s">
        <v>36</v>
      </c>
      <c r="E57" s="44" t="s">
        <v>36</v>
      </c>
    </row>
    <row r="58" spans="1:34" x14ac:dyDescent="0.25">
      <c r="A58" s="44">
        <v>24</v>
      </c>
      <c r="B58" s="102" t="s">
        <v>99</v>
      </c>
      <c r="C58" s="34">
        <v>900103929</v>
      </c>
      <c r="D58" s="44" t="s">
        <v>36</v>
      </c>
      <c r="E58" s="44" t="s">
        <v>36</v>
      </c>
    </row>
    <row r="59" spans="1:34" x14ac:dyDescent="0.25">
      <c r="A59" s="44">
        <v>25</v>
      </c>
      <c r="B59" s="102" t="s">
        <v>57</v>
      </c>
      <c r="C59" s="34">
        <v>800203342</v>
      </c>
      <c r="D59" s="44" t="s">
        <v>36</v>
      </c>
      <c r="E59" s="44" t="s">
        <v>59</v>
      </c>
    </row>
    <row r="63" spans="1:34" s="90" customFormat="1" x14ac:dyDescent="0.25">
      <c r="A63" s="35"/>
      <c r="B63" s="36"/>
      <c r="C63" s="28"/>
      <c r="D63" s="66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</row>
    <row r="67" spans="1:34" s="90" customFormat="1" x14ac:dyDescent="0.25">
      <c r="A67" s="35"/>
      <c r="B67" s="36"/>
      <c r="C67" s="28"/>
      <c r="D67" s="66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</row>
    <row r="72" spans="1:34" s="90" customFormat="1" x14ac:dyDescent="0.25">
      <c r="A72" s="35"/>
      <c r="B72" s="36"/>
      <c r="C72" s="28"/>
      <c r="D72" s="66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</row>
    <row r="78" spans="1:34" s="90" customFormat="1" x14ac:dyDescent="0.25">
      <c r="A78" s="35"/>
      <c r="B78" s="36"/>
      <c r="C78" s="28"/>
      <c r="D78" s="66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</row>
  </sheetData>
  <conditionalFormatting sqref="C32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14" scale="3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23A98-7809-4E3A-84E0-0C110742FA5E}">
  <dimension ref="A1:AJ26"/>
  <sheetViews>
    <sheetView workbookViewId="0">
      <selection activeCell="C17" sqref="C17"/>
    </sheetView>
  </sheetViews>
  <sheetFormatPr baseColWidth="10" defaultRowHeight="15" x14ac:dyDescent="0.25"/>
  <cols>
    <col min="1" max="1" width="2.5703125" bestFit="1" customWidth="1"/>
    <col min="2" max="2" width="32.28515625" bestFit="1" customWidth="1"/>
    <col min="3" max="3" width="6.42578125" bestFit="1" customWidth="1"/>
    <col min="4" max="4" width="9.7109375" bestFit="1" customWidth="1"/>
    <col min="5" max="5" width="6.5703125" bestFit="1" customWidth="1"/>
    <col min="7" max="7" width="2.5703125" bestFit="1" customWidth="1"/>
    <col min="8" max="8" width="32.28515625" bestFit="1" customWidth="1"/>
    <col min="9" max="9" width="12.140625" bestFit="1" customWidth="1"/>
    <col min="10" max="10" width="11.42578125" bestFit="1" customWidth="1"/>
    <col min="12" max="12" width="2.5703125" bestFit="1" customWidth="1"/>
    <col min="13" max="13" width="32.28515625" bestFit="1" customWidth="1"/>
    <col min="14" max="15" width="12.140625" bestFit="1" customWidth="1"/>
    <col min="17" max="17" width="2.5703125" bestFit="1" customWidth="1"/>
    <col min="18" max="18" width="32.28515625" bestFit="1" customWidth="1"/>
    <col min="19" max="19" width="12.140625" bestFit="1" customWidth="1"/>
    <col min="20" max="20" width="11.42578125" bestFit="1" customWidth="1"/>
    <col min="22" max="22" width="2.5703125" bestFit="1" customWidth="1"/>
    <col min="23" max="23" width="32.28515625" bestFit="1" customWidth="1"/>
    <col min="24" max="25" width="12.140625" bestFit="1" customWidth="1"/>
    <col min="27" max="27" width="2.5703125" bestFit="1" customWidth="1"/>
    <col min="28" max="28" width="32.28515625" bestFit="1" customWidth="1"/>
    <col min="29" max="30" width="14" bestFit="1" customWidth="1"/>
    <col min="32" max="32" width="2.5703125" bestFit="1" customWidth="1"/>
    <col min="33" max="33" width="32.28515625" bestFit="1" customWidth="1"/>
    <col min="34" max="34" width="14" bestFit="1" customWidth="1"/>
    <col min="35" max="35" width="13.28515625" bestFit="1" customWidth="1"/>
    <col min="36" max="36" width="14" bestFit="1" customWidth="1"/>
  </cols>
  <sheetData>
    <row r="1" spans="1:36" ht="38.25" x14ac:dyDescent="0.25">
      <c r="A1" s="19" t="s">
        <v>0</v>
      </c>
      <c r="B1" s="20" t="s">
        <v>1</v>
      </c>
      <c r="C1" s="20" t="s">
        <v>2</v>
      </c>
      <c r="D1" s="20" t="s">
        <v>3</v>
      </c>
      <c r="E1" s="20" t="s">
        <v>17</v>
      </c>
      <c r="G1" s="19" t="s">
        <v>0</v>
      </c>
      <c r="H1" s="20" t="s">
        <v>1</v>
      </c>
      <c r="I1" s="21" t="s">
        <v>4</v>
      </c>
      <c r="J1" s="21" t="s">
        <v>5</v>
      </c>
      <c r="L1" s="19" t="s">
        <v>0</v>
      </c>
      <c r="M1" s="20" t="s">
        <v>1</v>
      </c>
      <c r="N1" s="21" t="s">
        <v>6</v>
      </c>
      <c r="O1" s="21" t="s">
        <v>7</v>
      </c>
      <c r="Q1" s="19" t="s">
        <v>0</v>
      </c>
      <c r="R1" s="20" t="s">
        <v>1</v>
      </c>
      <c r="S1" s="21" t="s">
        <v>9</v>
      </c>
      <c r="T1" s="21" t="s">
        <v>10</v>
      </c>
      <c r="V1" s="19" t="s">
        <v>0</v>
      </c>
      <c r="W1" s="20" t="s">
        <v>1</v>
      </c>
      <c r="X1" s="21" t="s">
        <v>8</v>
      </c>
      <c r="Y1" s="21" t="s">
        <v>9</v>
      </c>
      <c r="AA1" s="19" t="s">
        <v>0</v>
      </c>
      <c r="AB1" s="20" t="s">
        <v>1</v>
      </c>
      <c r="AC1" s="21" t="s">
        <v>6</v>
      </c>
      <c r="AD1" s="21" t="s">
        <v>9</v>
      </c>
      <c r="AF1" s="19" t="s">
        <v>0</v>
      </c>
      <c r="AG1" s="20" t="s">
        <v>1</v>
      </c>
      <c r="AH1" s="21" t="s">
        <v>4</v>
      </c>
      <c r="AI1" s="21" t="s">
        <v>5</v>
      </c>
      <c r="AJ1" s="21" t="s">
        <v>101</v>
      </c>
    </row>
    <row r="2" spans="1:36" ht="25.5" x14ac:dyDescent="0.25">
      <c r="A2" s="87">
        <v>1</v>
      </c>
      <c r="B2" s="94" t="s">
        <v>43</v>
      </c>
      <c r="C2" s="9">
        <v>800143273</v>
      </c>
      <c r="D2" s="135" t="s">
        <v>33</v>
      </c>
      <c r="E2" s="135" t="s">
        <v>59</v>
      </c>
      <c r="G2" s="87">
        <v>1</v>
      </c>
      <c r="H2" s="94" t="s">
        <v>43</v>
      </c>
      <c r="I2" s="160">
        <v>39414690882</v>
      </c>
      <c r="J2" s="160">
        <v>2799974091</v>
      </c>
      <c r="L2" s="87">
        <v>1</v>
      </c>
      <c r="M2" s="94" t="s">
        <v>43</v>
      </c>
      <c r="N2" s="160">
        <v>48467746992</v>
      </c>
      <c r="O2" s="160">
        <v>17400757731</v>
      </c>
      <c r="Q2" s="87">
        <v>1</v>
      </c>
      <c r="R2" s="94" t="s">
        <v>43</v>
      </c>
      <c r="S2" s="160">
        <v>17356088050</v>
      </c>
      <c r="T2" s="160">
        <v>1377601410</v>
      </c>
      <c r="V2" s="87">
        <v>1</v>
      </c>
      <c r="W2" s="94" t="s">
        <v>43</v>
      </c>
      <c r="X2" s="160">
        <v>31066989261</v>
      </c>
      <c r="Y2" s="160">
        <v>17356088050</v>
      </c>
      <c r="AA2" s="87">
        <v>1</v>
      </c>
      <c r="AB2" s="94" t="s">
        <v>43</v>
      </c>
      <c r="AC2" s="160">
        <v>48467746992</v>
      </c>
      <c r="AD2" s="160">
        <v>17356088050</v>
      </c>
      <c r="AF2" s="87">
        <v>1</v>
      </c>
      <c r="AG2" s="94" t="s">
        <v>43</v>
      </c>
      <c r="AH2" s="160">
        <v>39414690882</v>
      </c>
      <c r="AI2" s="160">
        <v>2799974091</v>
      </c>
      <c r="AJ2" s="160">
        <f>AH2-AI2</f>
        <v>36614716791</v>
      </c>
    </row>
    <row r="3" spans="1:36" x14ac:dyDescent="0.25">
      <c r="A3" s="69">
        <v>2</v>
      </c>
      <c r="B3" s="95" t="s">
        <v>44</v>
      </c>
      <c r="C3" s="9">
        <v>800143610</v>
      </c>
      <c r="D3" s="135" t="s">
        <v>33</v>
      </c>
      <c r="E3" s="135" t="s">
        <v>59</v>
      </c>
      <c r="G3" s="69">
        <v>2</v>
      </c>
      <c r="H3" s="95" t="s">
        <v>44</v>
      </c>
      <c r="I3" s="160">
        <v>12211452043</v>
      </c>
      <c r="J3" s="162">
        <v>3733560900</v>
      </c>
      <c r="L3" s="69">
        <v>2</v>
      </c>
      <c r="M3" s="95" t="s">
        <v>44</v>
      </c>
      <c r="N3" s="162">
        <v>27742301191</v>
      </c>
      <c r="O3" s="162">
        <v>11288777843</v>
      </c>
      <c r="Q3" s="69">
        <v>2</v>
      </c>
      <c r="R3" s="95" t="s">
        <v>44</v>
      </c>
      <c r="S3" s="162">
        <v>4380488759</v>
      </c>
      <c r="T3" s="162">
        <v>775315429</v>
      </c>
      <c r="V3" s="69">
        <v>2</v>
      </c>
      <c r="W3" s="95" t="s">
        <v>44</v>
      </c>
      <c r="X3" s="162">
        <v>16453523348</v>
      </c>
      <c r="Y3" s="162">
        <v>4380488759</v>
      </c>
      <c r="AA3" s="69">
        <v>2</v>
      </c>
      <c r="AB3" s="95" t="s">
        <v>44</v>
      </c>
      <c r="AC3" s="162">
        <v>27742301191</v>
      </c>
      <c r="AD3" s="162">
        <v>4380488759</v>
      </c>
      <c r="AF3" s="69">
        <v>2</v>
      </c>
      <c r="AG3" s="95" t="s">
        <v>44</v>
      </c>
      <c r="AH3" s="160">
        <v>12211452043</v>
      </c>
      <c r="AI3" s="162">
        <v>3733560900</v>
      </c>
      <c r="AJ3" s="162">
        <f t="shared" ref="AJ3:AJ26" si="0">AH3-AI3</f>
        <v>8477891143</v>
      </c>
    </row>
    <row r="4" spans="1:36" x14ac:dyDescent="0.25">
      <c r="A4" s="69">
        <v>3</v>
      </c>
      <c r="B4" s="94" t="s">
        <v>45</v>
      </c>
      <c r="C4" s="9">
        <v>800146310</v>
      </c>
      <c r="D4" s="135" t="s">
        <v>33</v>
      </c>
      <c r="E4" s="135" t="s">
        <v>36</v>
      </c>
      <c r="G4" s="69">
        <v>3</v>
      </c>
      <c r="H4" s="94" t="s">
        <v>45</v>
      </c>
      <c r="I4" s="162">
        <v>8017692187</v>
      </c>
      <c r="J4" s="162">
        <v>444677339</v>
      </c>
      <c r="L4" s="69">
        <v>3</v>
      </c>
      <c r="M4" s="94" t="s">
        <v>45</v>
      </c>
      <c r="N4" s="162">
        <v>8372491859</v>
      </c>
      <c r="O4" s="162">
        <v>6106962734</v>
      </c>
      <c r="Q4" s="87">
        <v>3</v>
      </c>
      <c r="R4" s="94" t="s">
        <v>45</v>
      </c>
      <c r="S4" s="162">
        <v>98000366</v>
      </c>
      <c r="T4" s="162">
        <v>28819856</v>
      </c>
      <c r="V4" s="69">
        <v>3</v>
      </c>
      <c r="W4" s="94" t="s">
        <v>45</v>
      </c>
      <c r="X4" s="162">
        <v>2265529125</v>
      </c>
      <c r="Y4" s="162">
        <v>98000366</v>
      </c>
      <c r="AA4" s="69">
        <v>3</v>
      </c>
      <c r="AB4" s="94" t="s">
        <v>45</v>
      </c>
      <c r="AC4" s="162">
        <v>8372491859</v>
      </c>
      <c r="AD4" s="162">
        <v>98000366</v>
      </c>
      <c r="AF4" s="69">
        <v>3</v>
      </c>
      <c r="AG4" s="94" t="s">
        <v>45</v>
      </c>
      <c r="AH4" s="162">
        <v>8017692187</v>
      </c>
      <c r="AI4" s="162">
        <v>444677339</v>
      </c>
      <c r="AJ4" s="162">
        <f t="shared" si="0"/>
        <v>7573014848</v>
      </c>
    </row>
    <row r="5" spans="1:36" x14ac:dyDescent="0.25">
      <c r="A5" s="69">
        <v>4</v>
      </c>
      <c r="B5" s="102" t="s">
        <v>47</v>
      </c>
      <c r="C5" s="9">
        <v>800174121</v>
      </c>
      <c r="D5" s="135" t="s">
        <v>33</v>
      </c>
      <c r="E5" s="135" t="s">
        <v>36</v>
      </c>
      <c r="G5" s="69">
        <v>4</v>
      </c>
      <c r="H5" s="102" t="s">
        <v>47</v>
      </c>
      <c r="I5" s="159">
        <v>1576919821</v>
      </c>
      <c r="J5" s="159">
        <v>59315203</v>
      </c>
      <c r="L5" s="69">
        <v>4</v>
      </c>
      <c r="M5" s="102" t="s">
        <v>47</v>
      </c>
      <c r="N5" s="159">
        <v>1676213679</v>
      </c>
      <c r="O5" s="159">
        <v>682408278</v>
      </c>
      <c r="Q5" s="69">
        <v>4</v>
      </c>
      <c r="R5" s="102" t="s">
        <v>47</v>
      </c>
      <c r="S5" s="159">
        <v>97791579</v>
      </c>
      <c r="T5" s="159">
        <v>249164</v>
      </c>
      <c r="V5" s="69">
        <v>4</v>
      </c>
      <c r="W5" s="102" t="s">
        <v>47</v>
      </c>
      <c r="X5" s="159">
        <v>993805401</v>
      </c>
      <c r="Y5" s="159">
        <v>97791579</v>
      </c>
      <c r="AA5" s="69">
        <v>4</v>
      </c>
      <c r="AB5" s="102" t="s">
        <v>47</v>
      </c>
      <c r="AC5" s="159">
        <v>1676213679</v>
      </c>
      <c r="AD5" s="159">
        <v>97791579</v>
      </c>
      <c r="AF5" s="69">
        <v>4</v>
      </c>
      <c r="AG5" s="102" t="s">
        <v>47</v>
      </c>
      <c r="AH5" s="159">
        <v>1576919821</v>
      </c>
      <c r="AI5" s="159">
        <v>59315203</v>
      </c>
      <c r="AJ5" s="159">
        <f t="shared" si="0"/>
        <v>1517604618</v>
      </c>
    </row>
    <row r="6" spans="1:36" x14ac:dyDescent="0.25">
      <c r="A6" s="69">
        <v>5</v>
      </c>
      <c r="B6" s="102" t="s">
        <v>50</v>
      </c>
      <c r="C6" s="9">
        <v>800254539</v>
      </c>
      <c r="D6" s="135" t="s">
        <v>33</v>
      </c>
      <c r="E6" s="135" t="s">
        <v>36</v>
      </c>
      <c r="G6" s="69">
        <v>5</v>
      </c>
      <c r="H6" s="102" t="s">
        <v>50</v>
      </c>
      <c r="I6" s="163">
        <v>4220409785</v>
      </c>
      <c r="J6" s="163">
        <v>1844946200</v>
      </c>
      <c r="L6" s="69">
        <v>5</v>
      </c>
      <c r="M6" s="102" t="s">
        <v>50</v>
      </c>
      <c r="N6" s="163">
        <v>5820229847</v>
      </c>
      <c r="O6" s="163">
        <v>1851177485</v>
      </c>
      <c r="Q6" s="87">
        <v>5</v>
      </c>
      <c r="R6" s="102" t="s">
        <v>50</v>
      </c>
      <c r="S6" s="163">
        <v>907660945</v>
      </c>
      <c r="T6" s="163">
        <v>53385663</v>
      </c>
      <c r="V6" s="69">
        <v>5</v>
      </c>
      <c r="W6" s="102" t="s">
        <v>50</v>
      </c>
      <c r="X6" s="163">
        <v>3969052362</v>
      </c>
      <c r="Y6" s="163">
        <v>907660945</v>
      </c>
      <c r="AA6" s="69">
        <v>5</v>
      </c>
      <c r="AB6" s="102" t="s">
        <v>50</v>
      </c>
      <c r="AC6" s="163">
        <v>5820229847</v>
      </c>
      <c r="AD6" s="163">
        <v>907660945</v>
      </c>
      <c r="AF6" s="69">
        <v>5</v>
      </c>
      <c r="AG6" s="102" t="s">
        <v>50</v>
      </c>
      <c r="AH6" s="163">
        <v>4220409785</v>
      </c>
      <c r="AI6" s="163">
        <v>1844946200</v>
      </c>
      <c r="AJ6" s="163">
        <f t="shared" si="0"/>
        <v>2375463585</v>
      </c>
    </row>
    <row r="7" spans="1:36" x14ac:dyDescent="0.25">
      <c r="A7" s="69">
        <v>6</v>
      </c>
      <c r="B7" s="102" t="s">
        <v>51</v>
      </c>
      <c r="C7" s="9">
        <v>800256848</v>
      </c>
      <c r="D7" s="135" t="s">
        <v>33</v>
      </c>
      <c r="E7" s="135" t="s">
        <v>36</v>
      </c>
      <c r="G7" s="69">
        <v>6</v>
      </c>
      <c r="H7" s="102" t="s">
        <v>51</v>
      </c>
      <c r="I7" s="163">
        <v>13365875287</v>
      </c>
      <c r="J7" s="163">
        <v>6004596505</v>
      </c>
      <c r="L7" s="69">
        <v>6</v>
      </c>
      <c r="M7" s="102" t="s">
        <v>51</v>
      </c>
      <c r="N7" s="163">
        <v>14042100287</v>
      </c>
      <c r="O7" s="163">
        <v>9551737187</v>
      </c>
      <c r="Q7" s="69">
        <v>6</v>
      </c>
      <c r="R7" s="102" t="s">
        <v>51</v>
      </c>
      <c r="S7" s="163">
        <v>982256908</v>
      </c>
      <c r="T7" s="163">
        <v>85726331</v>
      </c>
      <c r="V7" s="69">
        <v>6</v>
      </c>
      <c r="W7" s="102" t="s">
        <v>51</v>
      </c>
      <c r="X7" s="163">
        <v>4490363100</v>
      </c>
      <c r="Y7" s="163">
        <v>982256908</v>
      </c>
      <c r="AA7" s="69">
        <v>6</v>
      </c>
      <c r="AB7" s="102" t="s">
        <v>51</v>
      </c>
      <c r="AC7" s="163">
        <v>14042100287</v>
      </c>
      <c r="AD7" s="163">
        <v>982256908</v>
      </c>
      <c r="AF7" s="69">
        <v>6</v>
      </c>
      <c r="AG7" s="102" t="s">
        <v>51</v>
      </c>
      <c r="AH7" s="163">
        <v>13365875287</v>
      </c>
      <c r="AI7" s="163">
        <v>6004596505</v>
      </c>
      <c r="AJ7" s="163">
        <f t="shared" si="0"/>
        <v>7361278782</v>
      </c>
    </row>
    <row r="8" spans="1:36" x14ac:dyDescent="0.25">
      <c r="A8" s="69">
        <v>7</v>
      </c>
      <c r="B8" s="102" t="s">
        <v>63</v>
      </c>
      <c r="C8" s="9">
        <v>804006097</v>
      </c>
      <c r="D8" s="167" t="s">
        <v>33</v>
      </c>
      <c r="E8" s="167" t="s">
        <v>36</v>
      </c>
      <c r="G8" s="69">
        <v>7</v>
      </c>
      <c r="H8" s="102" t="s">
        <v>63</v>
      </c>
      <c r="I8" s="159">
        <v>2922048000</v>
      </c>
      <c r="J8" s="159">
        <v>740456000</v>
      </c>
      <c r="L8" s="69">
        <v>7</v>
      </c>
      <c r="M8" s="102" t="s">
        <v>63</v>
      </c>
      <c r="N8" s="159">
        <v>4577499000</v>
      </c>
      <c r="O8" s="159">
        <v>740456000</v>
      </c>
      <c r="Q8" s="87">
        <v>7</v>
      </c>
      <c r="R8" s="102" t="s">
        <v>63</v>
      </c>
      <c r="S8" s="159">
        <v>236952000</v>
      </c>
      <c r="T8" s="159">
        <v>2339000</v>
      </c>
      <c r="V8" s="69">
        <v>7</v>
      </c>
      <c r="W8" s="102" t="s">
        <v>63</v>
      </c>
      <c r="X8" s="159">
        <v>3837043000</v>
      </c>
      <c r="Y8" s="159">
        <v>236952000</v>
      </c>
      <c r="AA8" s="69">
        <v>7</v>
      </c>
      <c r="AB8" s="102" t="s">
        <v>63</v>
      </c>
      <c r="AC8" s="159">
        <v>4577499000</v>
      </c>
      <c r="AD8" s="159">
        <v>236952000</v>
      </c>
      <c r="AF8" s="69">
        <v>7</v>
      </c>
      <c r="AG8" s="102" t="s">
        <v>63</v>
      </c>
      <c r="AH8" s="159">
        <v>2922048000</v>
      </c>
      <c r="AI8" s="159">
        <v>740456000</v>
      </c>
      <c r="AJ8" s="159">
        <f t="shared" si="0"/>
        <v>2181592000</v>
      </c>
    </row>
    <row r="9" spans="1:36" x14ac:dyDescent="0.25">
      <c r="A9" s="69">
        <v>8</v>
      </c>
      <c r="B9" s="102" t="s">
        <v>60</v>
      </c>
      <c r="C9" s="9">
        <v>811015828</v>
      </c>
      <c r="D9" s="167" t="s">
        <v>33</v>
      </c>
      <c r="E9" s="167" t="s">
        <v>36</v>
      </c>
      <c r="G9" s="69">
        <v>8</v>
      </c>
      <c r="H9" s="102" t="s">
        <v>60</v>
      </c>
      <c r="I9" s="159">
        <v>4464618305</v>
      </c>
      <c r="J9" s="159">
        <v>804679616</v>
      </c>
      <c r="L9" s="69">
        <v>8</v>
      </c>
      <c r="M9" s="102" t="s">
        <v>60</v>
      </c>
      <c r="N9" s="159">
        <v>4464618305</v>
      </c>
      <c r="O9" s="159">
        <v>1260419362</v>
      </c>
      <c r="Q9" s="69">
        <v>8</v>
      </c>
      <c r="R9" s="102" t="s">
        <v>60</v>
      </c>
      <c r="S9" s="159">
        <v>459220023</v>
      </c>
      <c r="T9" s="159">
        <v>62607</v>
      </c>
      <c r="V9" s="69">
        <v>8</v>
      </c>
      <c r="W9" s="102" t="s">
        <v>60</v>
      </c>
      <c r="X9" s="159">
        <v>3204198943</v>
      </c>
      <c r="Y9" s="159">
        <v>459220023</v>
      </c>
      <c r="AA9" s="69">
        <v>8</v>
      </c>
      <c r="AB9" s="102" t="s">
        <v>60</v>
      </c>
      <c r="AC9" s="159">
        <v>4464618305</v>
      </c>
      <c r="AD9" s="159">
        <v>459220023</v>
      </c>
      <c r="AF9" s="69">
        <v>8</v>
      </c>
      <c r="AG9" s="102" t="s">
        <v>60</v>
      </c>
      <c r="AH9" s="159">
        <v>4464618305</v>
      </c>
      <c r="AI9" s="159">
        <v>804679616</v>
      </c>
      <c r="AJ9" s="159">
        <f t="shared" si="0"/>
        <v>3659938689</v>
      </c>
    </row>
    <row r="10" spans="1:36" x14ac:dyDescent="0.25">
      <c r="A10" s="69">
        <v>9</v>
      </c>
      <c r="B10" s="102" t="s">
        <v>64</v>
      </c>
      <c r="C10" s="9">
        <v>830060337</v>
      </c>
      <c r="D10" s="167" t="s">
        <v>33</v>
      </c>
      <c r="E10" s="167" t="s">
        <v>36</v>
      </c>
      <c r="G10" s="69">
        <v>9</v>
      </c>
      <c r="H10" s="102" t="s">
        <v>64</v>
      </c>
      <c r="I10" s="159">
        <v>5786155252</v>
      </c>
      <c r="J10" s="159">
        <v>18769065</v>
      </c>
      <c r="L10" s="69">
        <v>9</v>
      </c>
      <c r="M10" s="102" t="s">
        <v>64</v>
      </c>
      <c r="N10" s="159">
        <v>8118397633</v>
      </c>
      <c r="O10" s="159">
        <v>3383683898</v>
      </c>
      <c r="Q10" s="87">
        <v>9</v>
      </c>
      <c r="R10" s="102" t="s">
        <v>64</v>
      </c>
      <c r="S10" s="159">
        <v>276997384</v>
      </c>
      <c r="T10" s="159">
        <v>28552952</v>
      </c>
      <c r="V10" s="69">
        <v>9</v>
      </c>
      <c r="W10" s="102" t="s">
        <v>64</v>
      </c>
      <c r="X10" s="159">
        <v>4734713735</v>
      </c>
      <c r="Y10" s="159">
        <v>276997384</v>
      </c>
      <c r="AA10" s="69">
        <v>9</v>
      </c>
      <c r="AB10" s="102" t="s">
        <v>64</v>
      </c>
      <c r="AC10" s="159">
        <v>8118397633</v>
      </c>
      <c r="AD10" s="159">
        <v>276997384</v>
      </c>
      <c r="AF10" s="69">
        <v>9</v>
      </c>
      <c r="AG10" s="102" t="s">
        <v>64</v>
      </c>
      <c r="AH10" s="159">
        <v>5786155252</v>
      </c>
      <c r="AI10" s="159">
        <v>18769065</v>
      </c>
      <c r="AJ10" s="159">
        <f t="shared" si="0"/>
        <v>5767386187</v>
      </c>
    </row>
    <row r="11" spans="1:36" x14ac:dyDescent="0.25">
      <c r="A11" s="69">
        <v>10</v>
      </c>
      <c r="B11" s="102" t="s">
        <v>53</v>
      </c>
      <c r="C11" s="9">
        <v>900462686</v>
      </c>
      <c r="D11" s="135" t="s">
        <v>33</v>
      </c>
      <c r="E11" s="135" t="s">
        <v>36</v>
      </c>
      <c r="G11" s="69">
        <v>10</v>
      </c>
      <c r="H11" s="102" t="s">
        <v>53</v>
      </c>
      <c r="I11" s="163">
        <v>7033771586</v>
      </c>
      <c r="J11" s="163">
        <v>354322660</v>
      </c>
      <c r="L11" s="69">
        <v>10</v>
      </c>
      <c r="M11" s="102" t="s">
        <v>53</v>
      </c>
      <c r="N11" s="163">
        <v>7301771715</v>
      </c>
      <c r="O11" s="163">
        <v>1622322660</v>
      </c>
      <c r="Q11" s="69">
        <v>10</v>
      </c>
      <c r="R11" s="102" t="s">
        <v>53</v>
      </c>
      <c r="S11" s="163">
        <v>455851068</v>
      </c>
      <c r="T11" s="163">
        <v>111252724</v>
      </c>
      <c r="V11" s="69">
        <v>10</v>
      </c>
      <c r="W11" s="102" t="s">
        <v>53</v>
      </c>
      <c r="X11" s="163">
        <v>5679449055</v>
      </c>
      <c r="Y11" s="163">
        <v>455851068</v>
      </c>
      <c r="AA11" s="69">
        <v>10</v>
      </c>
      <c r="AB11" s="102" t="s">
        <v>53</v>
      </c>
      <c r="AC11" s="163">
        <v>7301771715</v>
      </c>
      <c r="AD11" s="163">
        <v>455851068</v>
      </c>
      <c r="AF11" s="69">
        <v>10</v>
      </c>
      <c r="AG11" s="102" t="s">
        <v>53</v>
      </c>
      <c r="AH11" s="163">
        <v>7033771586</v>
      </c>
      <c r="AI11" s="163">
        <v>354322660</v>
      </c>
      <c r="AJ11" s="163">
        <f t="shared" si="0"/>
        <v>6679448926</v>
      </c>
    </row>
    <row r="12" spans="1:36" x14ac:dyDescent="0.25">
      <c r="A12" s="69">
        <v>11</v>
      </c>
      <c r="B12" s="71" t="s">
        <v>55</v>
      </c>
      <c r="C12" s="9">
        <v>800196467</v>
      </c>
      <c r="D12" s="135" t="s">
        <v>33</v>
      </c>
      <c r="E12" s="135" t="s">
        <v>59</v>
      </c>
      <c r="G12" s="69">
        <v>11</v>
      </c>
      <c r="H12" s="71" t="s">
        <v>55</v>
      </c>
      <c r="I12" s="163">
        <v>27032499804</v>
      </c>
      <c r="J12" s="163">
        <v>6395228860</v>
      </c>
      <c r="L12" s="69">
        <v>11</v>
      </c>
      <c r="M12" s="71" t="s">
        <v>55</v>
      </c>
      <c r="N12" s="163">
        <v>49279486809</v>
      </c>
      <c r="O12" s="163">
        <v>12300267323</v>
      </c>
      <c r="Q12" s="87">
        <v>11</v>
      </c>
      <c r="R12" s="71" t="s">
        <v>55</v>
      </c>
      <c r="S12" s="163">
        <v>9327753224</v>
      </c>
      <c r="T12" s="163">
        <v>484734147</v>
      </c>
      <c r="V12" s="69">
        <v>11</v>
      </c>
      <c r="W12" s="71" t="s">
        <v>55</v>
      </c>
      <c r="X12" s="163">
        <v>36979219486</v>
      </c>
      <c r="Y12" s="163">
        <v>9327753224</v>
      </c>
      <c r="AA12" s="69">
        <v>11</v>
      </c>
      <c r="AB12" s="71" t="s">
        <v>55</v>
      </c>
      <c r="AC12" s="163">
        <v>49279486809</v>
      </c>
      <c r="AD12" s="163">
        <v>9327753224</v>
      </c>
      <c r="AF12" s="69">
        <v>11</v>
      </c>
      <c r="AG12" s="71" t="s">
        <v>55</v>
      </c>
      <c r="AH12" s="163">
        <v>27032499804</v>
      </c>
      <c r="AI12" s="163">
        <v>6395228860</v>
      </c>
      <c r="AJ12" s="163">
        <f t="shared" si="0"/>
        <v>20637270944</v>
      </c>
    </row>
    <row r="13" spans="1:36" x14ac:dyDescent="0.25">
      <c r="A13" s="69">
        <v>12</v>
      </c>
      <c r="B13" s="71" t="s">
        <v>56</v>
      </c>
      <c r="C13" s="9">
        <v>800198324</v>
      </c>
      <c r="D13" s="135" t="s">
        <v>33</v>
      </c>
      <c r="E13" s="135" t="s">
        <v>59</v>
      </c>
      <c r="G13" s="69">
        <v>12</v>
      </c>
      <c r="H13" s="71" t="s">
        <v>56</v>
      </c>
      <c r="I13" s="163">
        <v>17179765402</v>
      </c>
      <c r="J13" s="163">
        <v>3039893442</v>
      </c>
      <c r="L13" s="69">
        <v>12</v>
      </c>
      <c r="M13" s="71" t="s">
        <v>56</v>
      </c>
      <c r="N13" s="163">
        <v>27644494607</v>
      </c>
      <c r="O13" s="163">
        <v>10305363350</v>
      </c>
      <c r="Q13" s="69">
        <v>12</v>
      </c>
      <c r="R13" s="71" t="s">
        <v>56</v>
      </c>
      <c r="S13" s="163">
        <v>9236043657</v>
      </c>
      <c r="T13" s="163">
        <v>2043841990</v>
      </c>
      <c r="V13" s="69">
        <v>12</v>
      </c>
      <c r="W13" s="71" t="s">
        <v>56</v>
      </c>
      <c r="X13" s="163">
        <v>17339131257</v>
      </c>
      <c r="Y13" s="163">
        <v>9236043657</v>
      </c>
      <c r="AA13" s="69">
        <v>12</v>
      </c>
      <c r="AB13" s="71" t="s">
        <v>56</v>
      </c>
      <c r="AC13" s="163">
        <v>27644494607</v>
      </c>
      <c r="AD13" s="163">
        <v>9236043657</v>
      </c>
      <c r="AF13" s="69">
        <v>12</v>
      </c>
      <c r="AG13" s="71" t="s">
        <v>56</v>
      </c>
      <c r="AH13" s="163">
        <v>17179765402</v>
      </c>
      <c r="AI13" s="163">
        <v>3039893442</v>
      </c>
      <c r="AJ13" s="163">
        <f t="shared" si="0"/>
        <v>14139871960</v>
      </c>
    </row>
    <row r="14" spans="1:36" x14ac:dyDescent="0.25">
      <c r="A14" s="69">
        <v>13</v>
      </c>
      <c r="B14" s="71" t="s">
        <v>57</v>
      </c>
      <c r="C14" s="9">
        <v>800203342</v>
      </c>
      <c r="D14" s="135" t="s">
        <v>33</v>
      </c>
      <c r="E14" s="135" t="s">
        <v>59</v>
      </c>
      <c r="G14" s="69">
        <v>13</v>
      </c>
      <c r="H14" s="71" t="s">
        <v>57</v>
      </c>
      <c r="I14" s="163">
        <v>14472403504</v>
      </c>
      <c r="J14" s="163">
        <v>3284885640</v>
      </c>
      <c r="L14" s="69">
        <v>13</v>
      </c>
      <c r="M14" s="71" t="s">
        <v>57</v>
      </c>
      <c r="N14" s="163">
        <v>14993414722</v>
      </c>
      <c r="O14" s="163">
        <v>5643633622</v>
      </c>
      <c r="Q14" s="87">
        <v>13</v>
      </c>
      <c r="R14" s="71" t="s">
        <v>57</v>
      </c>
      <c r="S14" s="163">
        <v>3225374041</v>
      </c>
      <c r="T14" s="163">
        <v>111806392</v>
      </c>
      <c r="V14" s="69">
        <v>13</v>
      </c>
      <c r="W14" s="71" t="s">
        <v>57</v>
      </c>
      <c r="X14" s="163">
        <v>9349781100</v>
      </c>
      <c r="Y14" s="163">
        <v>3225374041</v>
      </c>
      <c r="AA14" s="69">
        <v>13</v>
      </c>
      <c r="AB14" s="71" t="s">
        <v>57</v>
      </c>
      <c r="AC14" s="163">
        <v>14993414722</v>
      </c>
      <c r="AD14" s="163">
        <v>3225374041</v>
      </c>
      <c r="AF14" s="69">
        <v>13</v>
      </c>
      <c r="AG14" s="71" t="s">
        <v>57</v>
      </c>
      <c r="AH14" s="163">
        <v>14472403504</v>
      </c>
      <c r="AI14" s="163">
        <v>3284885640</v>
      </c>
      <c r="AJ14" s="163">
        <f t="shared" si="0"/>
        <v>11187517864</v>
      </c>
    </row>
    <row r="15" spans="1:36" ht="25.5" x14ac:dyDescent="0.25">
      <c r="A15" s="69">
        <v>14</v>
      </c>
      <c r="B15" s="94" t="s">
        <v>41</v>
      </c>
      <c r="C15" s="9">
        <v>800185395</v>
      </c>
      <c r="D15" s="168" t="s">
        <v>33</v>
      </c>
      <c r="E15" s="168" t="s">
        <v>36</v>
      </c>
      <c r="G15" s="69">
        <v>14</v>
      </c>
      <c r="H15" s="94" t="s">
        <v>41</v>
      </c>
      <c r="I15" s="164">
        <v>2662238091</v>
      </c>
      <c r="J15" s="164">
        <v>292609846</v>
      </c>
      <c r="L15" s="69">
        <v>14</v>
      </c>
      <c r="M15" s="94" t="s">
        <v>41</v>
      </c>
      <c r="N15" s="164">
        <v>2866552218</v>
      </c>
      <c r="O15" s="164">
        <v>1012481642</v>
      </c>
      <c r="Q15" s="69">
        <v>14</v>
      </c>
      <c r="R15" s="94" t="s">
        <v>41</v>
      </c>
      <c r="S15" s="164">
        <v>-232899687</v>
      </c>
      <c r="T15" s="164">
        <v>3616329</v>
      </c>
      <c r="V15" s="69">
        <v>14</v>
      </c>
      <c r="W15" s="94" t="s">
        <v>41</v>
      </c>
      <c r="X15" s="164">
        <v>1854070576</v>
      </c>
      <c r="Y15" s="164">
        <v>-232899687</v>
      </c>
      <c r="AA15" s="69">
        <v>14</v>
      </c>
      <c r="AB15" s="94" t="s">
        <v>41</v>
      </c>
      <c r="AC15" s="164">
        <v>2866552218</v>
      </c>
      <c r="AD15" s="164">
        <v>-232899687</v>
      </c>
      <c r="AF15" s="69">
        <v>14</v>
      </c>
      <c r="AG15" s="94" t="s">
        <v>41</v>
      </c>
      <c r="AH15" s="164">
        <v>2662238091</v>
      </c>
      <c r="AI15" s="164">
        <v>292609846</v>
      </c>
      <c r="AJ15" s="164">
        <f t="shared" si="0"/>
        <v>2369628245</v>
      </c>
    </row>
    <row r="16" spans="1:36" x14ac:dyDescent="0.25">
      <c r="A16" s="69">
        <v>15</v>
      </c>
      <c r="B16" s="94" t="s">
        <v>62</v>
      </c>
      <c r="C16" s="9">
        <v>830084684</v>
      </c>
      <c r="D16" s="169" t="s">
        <v>33</v>
      </c>
      <c r="E16" s="169" t="s">
        <v>36</v>
      </c>
      <c r="G16" s="69">
        <v>15</v>
      </c>
      <c r="H16" s="94" t="s">
        <v>62</v>
      </c>
      <c r="I16" s="164">
        <v>4808392174</v>
      </c>
      <c r="J16" s="164">
        <v>963422079</v>
      </c>
      <c r="L16" s="69">
        <v>15</v>
      </c>
      <c r="M16" s="94" t="s">
        <v>62</v>
      </c>
      <c r="N16" s="164">
        <v>6597253440</v>
      </c>
      <c r="O16" s="164">
        <v>2251510375</v>
      </c>
      <c r="Q16" s="87">
        <v>15</v>
      </c>
      <c r="R16" s="94" t="s">
        <v>62</v>
      </c>
      <c r="S16" s="164">
        <v>741625117</v>
      </c>
      <c r="T16" s="164">
        <v>34681060</v>
      </c>
      <c r="V16" s="69">
        <v>15</v>
      </c>
      <c r="W16" s="94" t="s">
        <v>62</v>
      </c>
      <c r="X16" s="164">
        <v>4345743065</v>
      </c>
      <c r="Y16" s="164">
        <v>741625117</v>
      </c>
      <c r="AA16" s="69">
        <v>15</v>
      </c>
      <c r="AB16" s="94" t="s">
        <v>62</v>
      </c>
      <c r="AC16" s="164">
        <v>6597253440</v>
      </c>
      <c r="AD16" s="164">
        <v>741625117</v>
      </c>
      <c r="AF16" s="69">
        <v>15</v>
      </c>
      <c r="AG16" s="94" t="s">
        <v>62</v>
      </c>
      <c r="AH16" s="164">
        <v>4808392174</v>
      </c>
      <c r="AI16" s="164">
        <v>963422079</v>
      </c>
      <c r="AJ16" s="164">
        <f t="shared" si="0"/>
        <v>3844970095</v>
      </c>
    </row>
    <row r="17" spans="1:36" x14ac:dyDescent="0.25">
      <c r="A17" s="69">
        <v>16</v>
      </c>
      <c r="B17" s="94" t="s">
        <v>49</v>
      </c>
      <c r="C17" s="9">
        <v>900944362</v>
      </c>
      <c r="D17" s="168" t="s">
        <v>33</v>
      </c>
      <c r="E17" s="168" t="s">
        <v>36</v>
      </c>
      <c r="G17" s="69">
        <v>16</v>
      </c>
      <c r="H17" s="94" t="s">
        <v>49</v>
      </c>
      <c r="I17" s="165">
        <v>584740206</v>
      </c>
      <c r="J17" s="165">
        <v>42266017</v>
      </c>
      <c r="L17" s="69">
        <v>16</v>
      </c>
      <c r="M17" s="94" t="s">
        <v>49</v>
      </c>
      <c r="N17" s="165">
        <v>588098608</v>
      </c>
      <c r="O17" s="165">
        <v>42266017</v>
      </c>
      <c r="Q17" s="69">
        <v>16</v>
      </c>
      <c r="R17" s="94" t="s">
        <v>49</v>
      </c>
      <c r="S17" s="165">
        <v>115326733</v>
      </c>
      <c r="T17" s="165">
        <v>12400</v>
      </c>
      <c r="V17" s="69">
        <v>16</v>
      </c>
      <c r="W17" s="94" t="s">
        <v>49</v>
      </c>
      <c r="X17" s="165">
        <v>545832591</v>
      </c>
      <c r="Y17" s="165">
        <v>115326733</v>
      </c>
      <c r="AA17" s="69">
        <v>16</v>
      </c>
      <c r="AB17" s="94" t="s">
        <v>49</v>
      </c>
      <c r="AC17" s="165">
        <v>588098608</v>
      </c>
      <c r="AD17" s="165">
        <v>115326733</v>
      </c>
      <c r="AF17" s="69">
        <v>16</v>
      </c>
      <c r="AG17" s="94" t="s">
        <v>49</v>
      </c>
      <c r="AH17" s="165">
        <v>584740206</v>
      </c>
      <c r="AI17" s="165">
        <v>42266017</v>
      </c>
      <c r="AJ17" s="165">
        <f t="shared" si="0"/>
        <v>542474189</v>
      </c>
    </row>
    <row r="18" spans="1:36" ht="25.5" x14ac:dyDescent="0.25">
      <c r="A18" s="69">
        <v>17</v>
      </c>
      <c r="B18" s="94" t="s">
        <v>61</v>
      </c>
      <c r="C18" s="9">
        <v>900239723</v>
      </c>
      <c r="D18" s="169" t="s">
        <v>33</v>
      </c>
      <c r="E18" s="169" t="s">
        <v>36</v>
      </c>
      <c r="G18" s="69">
        <v>17</v>
      </c>
      <c r="H18" s="94" t="s">
        <v>61</v>
      </c>
      <c r="I18" s="164">
        <v>364518044</v>
      </c>
      <c r="J18" s="164">
        <v>111385638</v>
      </c>
      <c r="L18" s="69">
        <v>17</v>
      </c>
      <c r="M18" s="94" t="s">
        <v>61</v>
      </c>
      <c r="N18" s="164">
        <v>415963571</v>
      </c>
      <c r="O18" s="164">
        <v>111385638</v>
      </c>
      <c r="Q18" s="87">
        <v>17</v>
      </c>
      <c r="R18" s="94" t="s">
        <v>61</v>
      </c>
      <c r="S18" s="164">
        <v>43044008</v>
      </c>
      <c r="T18" s="164">
        <v>1588917</v>
      </c>
      <c r="V18" s="69">
        <v>17</v>
      </c>
      <c r="W18" s="94" t="s">
        <v>61</v>
      </c>
      <c r="X18" s="164">
        <v>304577933</v>
      </c>
      <c r="Y18" s="164">
        <v>43044008</v>
      </c>
      <c r="AA18" s="69">
        <v>17</v>
      </c>
      <c r="AB18" s="94" t="s">
        <v>61</v>
      </c>
      <c r="AC18" s="164">
        <v>415963571</v>
      </c>
      <c r="AD18" s="164">
        <v>43044008</v>
      </c>
      <c r="AF18" s="69">
        <v>17</v>
      </c>
      <c r="AG18" s="94" t="s">
        <v>61</v>
      </c>
      <c r="AH18" s="164">
        <v>364518044</v>
      </c>
      <c r="AI18" s="164">
        <v>111385638</v>
      </c>
      <c r="AJ18" s="164">
        <f t="shared" si="0"/>
        <v>253132406</v>
      </c>
    </row>
    <row r="19" spans="1:36" x14ac:dyDescent="0.25">
      <c r="A19" s="69">
        <v>18</v>
      </c>
      <c r="B19" s="94" t="s">
        <v>54</v>
      </c>
      <c r="C19" s="9">
        <v>830083543</v>
      </c>
      <c r="D19" s="170" t="s">
        <v>33</v>
      </c>
      <c r="E19" s="170" t="s">
        <v>36</v>
      </c>
      <c r="G19" s="69">
        <v>18</v>
      </c>
      <c r="H19" s="94" t="s">
        <v>54</v>
      </c>
      <c r="I19" s="164">
        <v>683349086</v>
      </c>
      <c r="J19" s="164">
        <v>73517646</v>
      </c>
      <c r="L19" s="69">
        <v>18</v>
      </c>
      <c r="M19" s="94" t="s">
        <v>54</v>
      </c>
      <c r="N19" s="164">
        <v>752832259</v>
      </c>
      <c r="O19" s="164">
        <v>142378684</v>
      </c>
      <c r="Q19" s="69">
        <v>18</v>
      </c>
      <c r="R19" s="94" t="s">
        <v>54</v>
      </c>
      <c r="S19" s="164">
        <v>97906157</v>
      </c>
      <c r="T19" s="164">
        <v>117703</v>
      </c>
      <c r="V19" s="69">
        <v>18</v>
      </c>
      <c r="W19" s="94" t="s">
        <v>54</v>
      </c>
      <c r="X19" s="164">
        <v>610453575</v>
      </c>
      <c r="Y19" s="164">
        <v>97906157</v>
      </c>
      <c r="AA19" s="69">
        <v>18</v>
      </c>
      <c r="AB19" s="94" t="s">
        <v>54</v>
      </c>
      <c r="AC19" s="164">
        <v>752832259</v>
      </c>
      <c r="AD19" s="164">
        <v>97906157</v>
      </c>
      <c r="AF19" s="69">
        <v>18</v>
      </c>
      <c r="AG19" s="94" t="s">
        <v>54</v>
      </c>
      <c r="AH19" s="164">
        <v>683349086</v>
      </c>
      <c r="AI19" s="164">
        <v>73517646</v>
      </c>
      <c r="AJ19" s="164">
        <f t="shared" si="0"/>
        <v>609831440</v>
      </c>
    </row>
    <row r="20" spans="1:36" x14ac:dyDescent="0.25">
      <c r="A20" s="69">
        <v>19</v>
      </c>
      <c r="B20" s="94" t="s">
        <v>65</v>
      </c>
      <c r="C20" s="9">
        <v>900345967</v>
      </c>
      <c r="D20" s="170" t="s">
        <v>33</v>
      </c>
      <c r="E20" s="170" t="s">
        <v>36</v>
      </c>
      <c r="G20" s="69">
        <v>19</v>
      </c>
      <c r="H20" s="94" t="s">
        <v>65</v>
      </c>
      <c r="I20" s="164">
        <v>2340952150</v>
      </c>
      <c r="J20" s="164">
        <v>156229783</v>
      </c>
      <c r="L20" s="69">
        <v>19</v>
      </c>
      <c r="M20" s="94" t="s">
        <v>65</v>
      </c>
      <c r="N20" s="164">
        <v>2869457406</v>
      </c>
      <c r="O20" s="164">
        <v>606855676</v>
      </c>
      <c r="Q20" s="87">
        <v>19</v>
      </c>
      <c r="R20" s="94" t="s">
        <v>65</v>
      </c>
      <c r="S20" s="164">
        <v>475623805</v>
      </c>
      <c r="T20" s="164">
        <v>23130784</v>
      </c>
      <c r="V20" s="69">
        <v>19</v>
      </c>
      <c r="W20" s="94" t="s">
        <v>65</v>
      </c>
      <c r="X20" s="164">
        <v>2262601730</v>
      </c>
      <c r="Y20" s="164">
        <v>475623805</v>
      </c>
      <c r="AA20" s="69">
        <v>19</v>
      </c>
      <c r="AB20" s="94" t="s">
        <v>65</v>
      </c>
      <c r="AC20" s="164">
        <v>2869457406</v>
      </c>
      <c r="AD20" s="164">
        <v>475623805</v>
      </c>
      <c r="AF20" s="69">
        <v>19</v>
      </c>
      <c r="AG20" s="94" t="s">
        <v>65</v>
      </c>
      <c r="AH20" s="164">
        <v>2340952150</v>
      </c>
      <c r="AI20" s="164">
        <v>156229783</v>
      </c>
      <c r="AJ20" s="164">
        <f t="shared" si="0"/>
        <v>2184722367</v>
      </c>
    </row>
    <row r="21" spans="1:36" x14ac:dyDescent="0.25">
      <c r="A21" s="69">
        <v>20</v>
      </c>
      <c r="B21" s="94" t="s">
        <v>58</v>
      </c>
      <c r="C21" s="9">
        <v>900314911</v>
      </c>
      <c r="D21" s="169" t="s">
        <v>33</v>
      </c>
      <c r="E21" s="169" t="s">
        <v>36</v>
      </c>
      <c r="G21" s="69">
        <v>20</v>
      </c>
      <c r="H21" s="94" t="s">
        <v>58</v>
      </c>
      <c r="I21" s="164">
        <v>2385762693</v>
      </c>
      <c r="J21" s="164">
        <v>438660931</v>
      </c>
      <c r="L21" s="69">
        <v>20</v>
      </c>
      <c r="M21" s="94" t="s">
        <v>58</v>
      </c>
      <c r="N21" s="164">
        <v>3653359380</v>
      </c>
      <c r="O21" s="164">
        <v>946516931</v>
      </c>
      <c r="Q21" s="69">
        <v>20</v>
      </c>
      <c r="R21" s="94" t="s">
        <v>32</v>
      </c>
      <c r="S21" s="166">
        <v>618323863</v>
      </c>
      <c r="T21" s="166">
        <v>208955213</v>
      </c>
      <c r="V21" s="69">
        <v>20</v>
      </c>
      <c r="W21" s="94" t="s">
        <v>58</v>
      </c>
      <c r="X21" s="164">
        <v>2706842449</v>
      </c>
      <c r="Y21" s="164">
        <v>1300035926</v>
      </c>
      <c r="AA21" s="69">
        <v>20</v>
      </c>
      <c r="AB21" s="94" t="s">
        <v>58</v>
      </c>
      <c r="AC21" s="164">
        <v>3653359380</v>
      </c>
      <c r="AD21" s="164">
        <v>1300035926</v>
      </c>
      <c r="AF21" s="69">
        <v>20</v>
      </c>
      <c r="AG21" s="94" t="s">
        <v>58</v>
      </c>
      <c r="AH21" s="164">
        <v>2385762693</v>
      </c>
      <c r="AI21" s="164">
        <v>438660931</v>
      </c>
      <c r="AJ21" s="164">
        <f t="shared" si="0"/>
        <v>1947101762</v>
      </c>
    </row>
    <row r="22" spans="1:36" x14ac:dyDescent="0.25">
      <c r="A22" s="69">
        <v>21</v>
      </c>
      <c r="B22" s="94" t="s">
        <v>32</v>
      </c>
      <c r="C22" s="9">
        <v>830514033</v>
      </c>
      <c r="D22" s="168" t="s">
        <v>33</v>
      </c>
      <c r="E22" s="168" t="s">
        <v>36</v>
      </c>
      <c r="G22" s="69">
        <v>21</v>
      </c>
      <c r="H22" s="94" t="s">
        <v>32</v>
      </c>
      <c r="I22" s="166">
        <v>5878180071</v>
      </c>
      <c r="J22" s="166">
        <v>715875851</v>
      </c>
      <c r="L22" s="69">
        <v>21</v>
      </c>
      <c r="M22" s="94" t="s">
        <v>32</v>
      </c>
      <c r="N22" s="166">
        <v>6610735279</v>
      </c>
      <c r="O22" s="166">
        <v>3852756143</v>
      </c>
      <c r="Q22" s="87">
        <v>21</v>
      </c>
      <c r="R22" s="102" t="s">
        <v>66</v>
      </c>
      <c r="S22" s="163">
        <v>2327465156</v>
      </c>
      <c r="T22" s="163">
        <v>84130444</v>
      </c>
      <c r="V22" s="69">
        <v>21</v>
      </c>
      <c r="W22" s="94" t="s">
        <v>32</v>
      </c>
      <c r="X22" s="166">
        <v>2757979136</v>
      </c>
      <c r="Y22" s="166">
        <v>618323863</v>
      </c>
      <c r="AA22" s="69">
        <v>21</v>
      </c>
      <c r="AB22" s="94" t="s">
        <v>32</v>
      </c>
      <c r="AC22" s="166">
        <v>6610735279</v>
      </c>
      <c r="AD22" s="166">
        <v>618323863</v>
      </c>
      <c r="AF22" s="69">
        <v>21</v>
      </c>
      <c r="AG22" s="94" t="s">
        <v>32</v>
      </c>
      <c r="AH22" s="166">
        <v>5878180071</v>
      </c>
      <c r="AI22" s="166">
        <v>715875851</v>
      </c>
      <c r="AJ22" s="166">
        <f t="shared" si="0"/>
        <v>5162304220</v>
      </c>
    </row>
    <row r="23" spans="1:36" x14ac:dyDescent="0.25">
      <c r="A23" s="69">
        <v>22</v>
      </c>
      <c r="B23" s="102" t="s">
        <v>66</v>
      </c>
      <c r="C23" s="9">
        <v>800119214</v>
      </c>
      <c r="D23" s="135" t="s">
        <v>33</v>
      </c>
      <c r="E23" s="135" t="s">
        <v>59</v>
      </c>
      <c r="G23" s="69">
        <v>22</v>
      </c>
      <c r="H23" s="102" t="s">
        <v>66</v>
      </c>
      <c r="I23" s="163">
        <v>8919817451</v>
      </c>
      <c r="J23" s="163">
        <v>3507290855</v>
      </c>
      <c r="L23" s="69">
        <v>22</v>
      </c>
      <c r="M23" s="102" t="s">
        <v>66</v>
      </c>
      <c r="N23" s="163">
        <v>11425064329</v>
      </c>
      <c r="O23" s="163">
        <v>3558641655</v>
      </c>
      <c r="Q23" s="69">
        <v>22</v>
      </c>
      <c r="R23" s="94" t="s">
        <v>98</v>
      </c>
      <c r="S23" s="164">
        <v>497579245</v>
      </c>
      <c r="T23" s="164">
        <v>122259849</v>
      </c>
      <c r="V23" s="69">
        <v>22</v>
      </c>
      <c r="W23" s="102" t="s">
        <v>66</v>
      </c>
      <c r="X23" s="163">
        <v>7866422674</v>
      </c>
      <c r="Y23" s="163">
        <v>2327465156</v>
      </c>
      <c r="AA23" s="69">
        <v>22</v>
      </c>
      <c r="AB23" s="102" t="s">
        <v>66</v>
      </c>
      <c r="AC23" s="163">
        <v>11425064329</v>
      </c>
      <c r="AD23" s="163">
        <v>2327465156</v>
      </c>
      <c r="AF23" s="69">
        <v>22</v>
      </c>
      <c r="AG23" s="102" t="s">
        <v>66</v>
      </c>
      <c r="AH23" s="163">
        <v>8919817451</v>
      </c>
      <c r="AI23" s="163">
        <v>3507290855</v>
      </c>
      <c r="AJ23" s="163">
        <f t="shared" si="0"/>
        <v>5412526596</v>
      </c>
    </row>
    <row r="24" spans="1:36" x14ac:dyDescent="0.25">
      <c r="A24" s="69">
        <v>23</v>
      </c>
      <c r="B24" s="94" t="s">
        <v>98</v>
      </c>
      <c r="C24" s="9">
        <v>830100540</v>
      </c>
      <c r="D24" s="170" t="s">
        <v>33</v>
      </c>
      <c r="E24" s="170" t="s">
        <v>36</v>
      </c>
      <c r="G24" s="69">
        <v>23</v>
      </c>
      <c r="H24" s="94" t="s">
        <v>98</v>
      </c>
      <c r="I24" s="164">
        <v>5165173605</v>
      </c>
      <c r="J24" s="164">
        <v>1044917204</v>
      </c>
      <c r="L24" s="69">
        <v>23</v>
      </c>
      <c r="M24" s="94" t="s">
        <v>98</v>
      </c>
      <c r="N24" s="164">
        <v>5175812994</v>
      </c>
      <c r="O24" s="164">
        <v>2922260307</v>
      </c>
      <c r="Q24" s="87">
        <v>23</v>
      </c>
      <c r="R24" s="94" t="s">
        <v>99</v>
      </c>
      <c r="S24" s="164">
        <v>4269277378</v>
      </c>
      <c r="T24" s="164">
        <v>717238700</v>
      </c>
      <c r="V24" s="69">
        <v>23</v>
      </c>
      <c r="W24" s="94" t="s">
        <v>98</v>
      </c>
      <c r="X24" s="164">
        <v>2253552687</v>
      </c>
      <c r="Y24" s="164">
        <v>497579245</v>
      </c>
      <c r="AA24" s="69">
        <v>23</v>
      </c>
      <c r="AB24" s="94" t="s">
        <v>98</v>
      </c>
      <c r="AC24" s="164">
        <v>5175812994</v>
      </c>
      <c r="AD24" s="164">
        <v>497579245</v>
      </c>
      <c r="AF24" s="69">
        <v>23</v>
      </c>
      <c r="AG24" s="94" t="s">
        <v>98</v>
      </c>
      <c r="AH24" s="164">
        <v>5165173605</v>
      </c>
      <c r="AI24" s="164">
        <v>1044917204</v>
      </c>
      <c r="AJ24" s="164">
        <f t="shared" si="0"/>
        <v>4120256401</v>
      </c>
    </row>
    <row r="25" spans="1:36" x14ac:dyDescent="0.25">
      <c r="A25" s="69">
        <v>24</v>
      </c>
      <c r="B25" s="94" t="s">
        <v>99</v>
      </c>
      <c r="C25" s="9">
        <v>900103929</v>
      </c>
      <c r="D25" s="170" t="s">
        <v>33</v>
      </c>
      <c r="E25" s="170" t="s">
        <v>36</v>
      </c>
      <c r="G25" s="69">
        <v>24</v>
      </c>
      <c r="H25" s="94" t="s">
        <v>99</v>
      </c>
      <c r="I25" s="164">
        <v>8273098712</v>
      </c>
      <c r="J25" s="164">
        <v>2078640588</v>
      </c>
      <c r="L25" s="69">
        <v>24</v>
      </c>
      <c r="M25" s="94" t="s">
        <v>99</v>
      </c>
      <c r="N25" s="164">
        <v>12038211526</v>
      </c>
      <c r="O25" s="164">
        <v>6772474602</v>
      </c>
      <c r="Q25" s="69">
        <v>24</v>
      </c>
      <c r="R25" s="71" t="s">
        <v>57</v>
      </c>
      <c r="S25" s="159">
        <v>3225374041</v>
      </c>
      <c r="T25" s="159">
        <v>111806392</v>
      </c>
      <c r="V25" s="69">
        <v>24</v>
      </c>
      <c r="W25" s="94" t="s">
        <v>99</v>
      </c>
      <c r="X25" s="164">
        <v>5265736924</v>
      </c>
      <c r="Y25" s="164">
        <v>4269277378</v>
      </c>
      <c r="AA25" s="69">
        <v>24</v>
      </c>
      <c r="AB25" s="94" t="s">
        <v>99</v>
      </c>
      <c r="AC25" s="164">
        <v>12038211526</v>
      </c>
      <c r="AD25" s="164">
        <v>4269277378</v>
      </c>
      <c r="AF25" s="69">
        <v>24</v>
      </c>
      <c r="AG25" s="94" t="s">
        <v>99</v>
      </c>
      <c r="AH25" s="164">
        <v>8273098712</v>
      </c>
      <c r="AI25" s="164">
        <v>2078640588</v>
      </c>
      <c r="AJ25" s="164">
        <f t="shared" si="0"/>
        <v>6194458124</v>
      </c>
    </row>
    <row r="26" spans="1:36" x14ac:dyDescent="0.25">
      <c r="A26" s="69">
        <v>25</v>
      </c>
      <c r="B26" s="71" t="s">
        <v>57</v>
      </c>
      <c r="C26" s="9">
        <v>800203342</v>
      </c>
      <c r="D26" s="135" t="s">
        <v>33</v>
      </c>
      <c r="E26" s="135" t="s">
        <v>59</v>
      </c>
      <c r="G26" s="69">
        <v>25</v>
      </c>
      <c r="H26" s="71" t="s">
        <v>57</v>
      </c>
      <c r="I26" s="159">
        <v>14472403504</v>
      </c>
      <c r="J26" s="159">
        <v>3284885640</v>
      </c>
      <c r="L26" s="69">
        <v>25</v>
      </c>
      <c r="M26" s="71" t="s">
        <v>57</v>
      </c>
      <c r="N26" s="159">
        <v>14993414722</v>
      </c>
      <c r="O26" s="159">
        <v>5643633622</v>
      </c>
      <c r="V26" s="69">
        <v>25</v>
      </c>
      <c r="W26" s="71" t="s">
        <v>57</v>
      </c>
      <c r="X26" s="159">
        <v>9349781100</v>
      </c>
      <c r="Y26" s="159">
        <v>3225374041</v>
      </c>
      <c r="AA26" s="69">
        <v>25</v>
      </c>
      <c r="AB26" s="71" t="s">
        <v>57</v>
      </c>
      <c r="AC26" s="159">
        <v>14993414722</v>
      </c>
      <c r="AD26" s="159">
        <v>3225374041</v>
      </c>
      <c r="AF26" s="69">
        <v>25</v>
      </c>
      <c r="AG26" s="71" t="s">
        <v>57</v>
      </c>
      <c r="AH26" s="159">
        <v>14472403504</v>
      </c>
      <c r="AI26" s="159">
        <v>3284885640</v>
      </c>
      <c r="AJ26" s="159">
        <f t="shared" si="0"/>
        <v>11187517864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6"/>
  <sheetViews>
    <sheetView workbookViewId="0">
      <selection activeCell="F13" sqref="F13"/>
    </sheetView>
  </sheetViews>
  <sheetFormatPr baseColWidth="10" defaultColWidth="11.42578125" defaultRowHeight="12" x14ac:dyDescent="0.2"/>
  <cols>
    <col min="1" max="1" width="3.42578125" style="3" customWidth="1"/>
    <col min="2" max="2" width="26.42578125" style="2" customWidth="1"/>
    <col min="3" max="3" width="11.28515625" style="1" customWidth="1"/>
    <col min="4" max="4" width="13.85546875" style="1" customWidth="1"/>
    <col min="5" max="6" width="14.140625" style="1" customWidth="1"/>
    <col min="7" max="7" width="15" style="1" customWidth="1"/>
    <col min="8" max="8" width="13.85546875" style="1" customWidth="1"/>
    <col min="9" max="9" width="14.42578125" style="1" customWidth="1"/>
    <col min="10" max="10" width="12.140625" style="1" customWidth="1"/>
    <col min="11" max="11" width="11.85546875" style="59" customWidth="1"/>
    <col min="12" max="12" width="26.42578125" style="1" customWidth="1"/>
    <col min="13" max="13" width="9" style="59" customWidth="1"/>
    <col min="14" max="14" width="11.42578125" style="1" customWidth="1"/>
    <col min="15" max="16384" width="11.42578125" style="1"/>
  </cols>
  <sheetData>
    <row r="1" spans="1:13" ht="48" x14ac:dyDescent="0.2">
      <c r="A1" s="11" t="s">
        <v>0</v>
      </c>
      <c r="B1" s="11" t="s">
        <v>1</v>
      </c>
      <c r="C1" s="11" t="s">
        <v>2</v>
      </c>
      <c r="D1" s="11" t="s">
        <v>4</v>
      </c>
      <c r="E1" s="11" t="s">
        <v>5</v>
      </c>
      <c r="F1" s="11" t="s">
        <v>6</v>
      </c>
      <c r="G1" s="11" t="s">
        <v>7</v>
      </c>
      <c r="H1" s="11" t="s">
        <v>8</v>
      </c>
      <c r="I1" s="11" t="s">
        <v>9</v>
      </c>
      <c r="J1" s="11" t="s">
        <v>10</v>
      </c>
      <c r="K1" s="11" t="s">
        <v>12</v>
      </c>
      <c r="L1" s="11" t="s">
        <v>13</v>
      </c>
      <c r="M1" s="11" t="s">
        <v>14</v>
      </c>
    </row>
    <row r="2" spans="1:13" ht="25.5" x14ac:dyDescent="0.2">
      <c r="A2" s="87">
        <v>1</v>
      </c>
      <c r="B2" s="94" t="s">
        <v>43</v>
      </c>
      <c r="C2" s="9">
        <v>800143273</v>
      </c>
      <c r="D2" s="76">
        <v>39414690882</v>
      </c>
      <c r="E2" s="76">
        <v>2799974091</v>
      </c>
      <c r="F2" s="76">
        <v>48467746992</v>
      </c>
      <c r="G2" s="76">
        <v>17400757731</v>
      </c>
      <c r="H2" s="76">
        <v>31066989261</v>
      </c>
      <c r="I2" s="76">
        <v>17356088050</v>
      </c>
      <c r="J2" s="76">
        <v>1377601410</v>
      </c>
      <c r="K2" s="74">
        <v>771016</v>
      </c>
      <c r="L2" s="75" t="s">
        <v>39</v>
      </c>
      <c r="M2" s="96" t="s">
        <v>35</v>
      </c>
    </row>
    <row r="3" spans="1:13" ht="14.1" customHeight="1" x14ac:dyDescent="0.2">
      <c r="A3" s="87">
        <v>2</v>
      </c>
      <c r="B3" s="95" t="s">
        <v>44</v>
      </c>
      <c r="C3" s="9">
        <v>800143610</v>
      </c>
      <c r="D3" s="76">
        <v>12211452043</v>
      </c>
      <c r="E3" s="58">
        <v>3733560900</v>
      </c>
      <c r="F3" s="58">
        <v>27742301191</v>
      </c>
      <c r="G3" s="58">
        <v>11288777843</v>
      </c>
      <c r="H3" s="58">
        <v>16453523348</v>
      </c>
      <c r="I3" s="58">
        <v>4380488759</v>
      </c>
      <c r="J3" s="58">
        <v>775315429</v>
      </c>
      <c r="K3" s="74">
        <v>771016</v>
      </c>
      <c r="L3" s="75" t="s">
        <v>39</v>
      </c>
      <c r="M3" s="96" t="s">
        <v>35</v>
      </c>
    </row>
    <row r="4" spans="1:13" ht="12.75" x14ac:dyDescent="0.2">
      <c r="A4" s="87">
        <v>3</v>
      </c>
      <c r="B4" s="94" t="s">
        <v>45</v>
      </c>
      <c r="C4" s="9">
        <v>800146310</v>
      </c>
      <c r="D4" s="58">
        <v>8017692187</v>
      </c>
      <c r="E4" s="58">
        <v>444677339</v>
      </c>
      <c r="F4" s="58">
        <v>8372491859</v>
      </c>
      <c r="G4" s="58">
        <v>6106962734</v>
      </c>
      <c r="H4" s="58">
        <v>2265529125</v>
      </c>
      <c r="I4" s="58">
        <v>98000366</v>
      </c>
      <c r="J4" s="58">
        <v>28819856</v>
      </c>
      <c r="K4" s="74">
        <v>771016</v>
      </c>
      <c r="L4" s="75" t="s">
        <v>39</v>
      </c>
      <c r="M4" s="96" t="s">
        <v>35</v>
      </c>
    </row>
    <row r="5" spans="1:13" ht="12.75" x14ac:dyDescent="0.2">
      <c r="A5" s="87">
        <v>4</v>
      </c>
      <c r="B5" s="102" t="s">
        <v>47</v>
      </c>
      <c r="C5" s="9">
        <v>800174121</v>
      </c>
      <c r="D5" s="99">
        <v>1576919821</v>
      </c>
      <c r="E5" s="99">
        <v>59315203</v>
      </c>
      <c r="F5" s="99">
        <v>1676213679</v>
      </c>
      <c r="G5" s="99">
        <v>682408278</v>
      </c>
      <c r="H5" s="99">
        <v>993805401</v>
      </c>
      <c r="I5" s="99">
        <v>97791579</v>
      </c>
      <c r="J5" s="99">
        <v>249164</v>
      </c>
      <c r="K5" s="100">
        <v>81101500</v>
      </c>
      <c r="L5" s="75" t="s">
        <v>48</v>
      </c>
      <c r="M5" s="100" t="s">
        <v>35</v>
      </c>
    </row>
    <row r="6" spans="1:13" ht="12.75" x14ac:dyDescent="0.2">
      <c r="A6" s="87">
        <v>5</v>
      </c>
      <c r="B6" s="102" t="s">
        <v>50</v>
      </c>
      <c r="C6" s="9">
        <v>800254539</v>
      </c>
      <c r="D6" s="99">
        <v>4220409785</v>
      </c>
      <c r="E6" s="99">
        <v>1844946200</v>
      </c>
      <c r="F6" s="99">
        <v>5820229847</v>
      </c>
      <c r="G6" s="99">
        <v>1851177485</v>
      </c>
      <c r="H6" s="99">
        <v>3969052362</v>
      </c>
      <c r="I6" s="99">
        <v>907660945</v>
      </c>
      <c r="J6" s="99">
        <v>53385663</v>
      </c>
      <c r="K6" s="100">
        <v>81101500</v>
      </c>
      <c r="L6" s="75" t="s">
        <v>48</v>
      </c>
      <c r="M6" s="100" t="s">
        <v>35</v>
      </c>
    </row>
    <row r="7" spans="1:13" ht="12.75" x14ac:dyDescent="0.2">
      <c r="A7" s="87">
        <v>6</v>
      </c>
      <c r="B7" s="102" t="s">
        <v>51</v>
      </c>
      <c r="C7" s="9">
        <v>800256848</v>
      </c>
      <c r="D7" s="99">
        <v>13365875287</v>
      </c>
      <c r="E7" s="99">
        <v>6004596505</v>
      </c>
      <c r="F7" s="99">
        <v>14042100287</v>
      </c>
      <c r="G7" s="99">
        <v>9551737187</v>
      </c>
      <c r="H7" s="99">
        <v>4490363100</v>
      </c>
      <c r="I7" s="99">
        <v>982256908</v>
      </c>
      <c r="J7" s="99">
        <v>85726331</v>
      </c>
      <c r="K7" s="100">
        <v>81101500</v>
      </c>
      <c r="L7" s="75" t="s">
        <v>48</v>
      </c>
      <c r="M7" s="100" t="s">
        <v>35</v>
      </c>
    </row>
    <row r="8" spans="1:13" ht="12.75" x14ac:dyDescent="0.2">
      <c r="A8" s="87">
        <v>7</v>
      </c>
      <c r="B8" s="102" t="s">
        <v>63</v>
      </c>
      <c r="C8" s="9">
        <v>804006097</v>
      </c>
      <c r="D8" s="99">
        <v>2922048000</v>
      </c>
      <c r="E8" s="99">
        <v>740456000</v>
      </c>
      <c r="F8" s="99">
        <v>4577499000</v>
      </c>
      <c r="G8" s="99">
        <v>740456000</v>
      </c>
      <c r="H8" s="99">
        <v>3837043000</v>
      </c>
      <c r="I8" s="99">
        <v>236952000</v>
      </c>
      <c r="J8" s="99">
        <v>2339000</v>
      </c>
      <c r="K8" s="100">
        <v>81101500</v>
      </c>
      <c r="L8" s="75" t="s">
        <v>48</v>
      </c>
      <c r="M8" s="100" t="s">
        <v>35</v>
      </c>
    </row>
    <row r="9" spans="1:13" ht="12.75" x14ac:dyDescent="0.2">
      <c r="A9" s="87">
        <v>8</v>
      </c>
      <c r="B9" s="102" t="s">
        <v>60</v>
      </c>
      <c r="C9" s="9">
        <v>811015828</v>
      </c>
      <c r="D9" s="76">
        <v>4457604105</v>
      </c>
      <c r="E9" s="76">
        <v>804679616</v>
      </c>
      <c r="F9" s="76">
        <v>4464618305</v>
      </c>
      <c r="G9" s="76">
        <v>1260419362</v>
      </c>
      <c r="H9" s="76">
        <v>3204198943</v>
      </c>
      <c r="I9" s="76">
        <v>459220023</v>
      </c>
      <c r="J9" s="76">
        <v>62607</v>
      </c>
      <c r="K9" s="100">
        <v>81101500</v>
      </c>
      <c r="L9" s="75" t="s">
        <v>48</v>
      </c>
      <c r="M9" s="100" t="s">
        <v>35</v>
      </c>
    </row>
    <row r="10" spans="1:13" ht="12.75" x14ac:dyDescent="0.2">
      <c r="A10" s="87">
        <v>9</v>
      </c>
      <c r="B10" s="102" t="s">
        <v>64</v>
      </c>
      <c r="C10" s="9">
        <v>830060337</v>
      </c>
      <c r="D10" s="99">
        <v>5786155252</v>
      </c>
      <c r="E10" s="99">
        <v>18769065</v>
      </c>
      <c r="F10" s="99">
        <v>8118397633</v>
      </c>
      <c r="G10" s="99">
        <v>3383683898</v>
      </c>
      <c r="H10" s="99">
        <v>4734713735</v>
      </c>
      <c r="I10" s="99">
        <v>276997384</v>
      </c>
      <c r="J10" s="99">
        <v>28552952</v>
      </c>
      <c r="K10" s="100">
        <v>81101500</v>
      </c>
      <c r="L10" s="75" t="s">
        <v>48</v>
      </c>
      <c r="M10" s="100" t="s">
        <v>35</v>
      </c>
    </row>
    <row r="11" spans="1:13" ht="12.75" x14ac:dyDescent="0.2">
      <c r="A11" s="87">
        <v>10</v>
      </c>
      <c r="B11" s="102" t="s">
        <v>53</v>
      </c>
      <c r="C11" s="9">
        <v>900462686</v>
      </c>
      <c r="D11" s="99">
        <v>7033771586</v>
      </c>
      <c r="E11" s="99">
        <v>354322660</v>
      </c>
      <c r="F11" s="99">
        <v>7301771715</v>
      </c>
      <c r="G11" s="99">
        <v>1622322660</v>
      </c>
      <c r="H11" s="99">
        <v>5679449055</v>
      </c>
      <c r="I11" s="99">
        <v>455851068</v>
      </c>
      <c r="J11" s="99">
        <v>111252724</v>
      </c>
      <c r="K11" s="100">
        <v>81101500</v>
      </c>
      <c r="L11" s="75" t="s">
        <v>48</v>
      </c>
      <c r="M11" s="100" t="s">
        <v>35</v>
      </c>
    </row>
    <row r="12" spans="1:13" ht="12.75" x14ac:dyDescent="0.2">
      <c r="A12" s="87">
        <v>11</v>
      </c>
      <c r="B12" s="71" t="s">
        <v>55</v>
      </c>
      <c r="C12" s="9">
        <v>800196467</v>
      </c>
      <c r="D12" s="99">
        <v>27032499804</v>
      </c>
      <c r="E12" s="99">
        <v>6395228860</v>
      </c>
      <c r="F12" s="99">
        <v>49279486809</v>
      </c>
      <c r="G12" s="99">
        <v>12300267323</v>
      </c>
      <c r="H12" s="99">
        <v>36979219486</v>
      </c>
      <c r="I12" s="99">
        <v>9327753224</v>
      </c>
      <c r="J12" s="99">
        <v>484734147</v>
      </c>
      <c r="K12" s="100">
        <v>81101500</v>
      </c>
      <c r="L12" s="75" t="s">
        <v>48</v>
      </c>
      <c r="M12" s="100" t="s">
        <v>35</v>
      </c>
    </row>
    <row r="13" spans="1:13" ht="12.75" x14ac:dyDescent="0.2">
      <c r="A13" s="87">
        <v>12</v>
      </c>
      <c r="B13" s="71" t="s">
        <v>56</v>
      </c>
      <c r="C13" s="9">
        <v>800198324</v>
      </c>
      <c r="D13" s="99">
        <v>17179765402</v>
      </c>
      <c r="E13" s="99">
        <v>3039893442</v>
      </c>
      <c r="F13" s="99">
        <v>27644494607</v>
      </c>
      <c r="G13" s="99">
        <v>10305363350</v>
      </c>
      <c r="H13" s="99">
        <v>17339131257</v>
      </c>
      <c r="I13" s="99">
        <v>9236043657</v>
      </c>
      <c r="J13" s="99">
        <v>2043841990</v>
      </c>
      <c r="K13" s="100">
        <v>81101500</v>
      </c>
      <c r="L13" s="75" t="s">
        <v>48</v>
      </c>
      <c r="M13" s="100" t="s">
        <v>35</v>
      </c>
    </row>
    <row r="14" spans="1:13" ht="15" customHeight="1" x14ac:dyDescent="0.2">
      <c r="A14" s="87">
        <v>13</v>
      </c>
      <c r="B14" s="71" t="s">
        <v>57</v>
      </c>
      <c r="C14" s="9">
        <v>800203342</v>
      </c>
      <c r="D14" s="99">
        <v>14472403504</v>
      </c>
      <c r="E14" s="99">
        <v>3284885640</v>
      </c>
      <c r="F14" s="99">
        <v>14993414722</v>
      </c>
      <c r="G14" s="99">
        <v>5643633622</v>
      </c>
      <c r="H14" s="99">
        <v>9349781100</v>
      </c>
      <c r="I14" s="99">
        <v>3225374041</v>
      </c>
      <c r="J14" s="99">
        <v>111806392</v>
      </c>
      <c r="K14" s="100">
        <v>81101500</v>
      </c>
      <c r="L14" s="75" t="s">
        <v>48</v>
      </c>
      <c r="M14" s="100" t="s">
        <v>35</v>
      </c>
    </row>
    <row r="15" spans="1:13" ht="25.5" x14ac:dyDescent="0.2">
      <c r="A15" s="87">
        <v>14</v>
      </c>
      <c r="B15" s="94" t="s">
        <v>41</v>
      </c>
      <c r="C15" s="9">
        <v>800185395</v>
      </c>
      <c r="D15" s="72">
        <v>2662238091</v>
      </c>
      <c r="E15" s="72">
        <v>292609846</v>
      </c>
      <c r="F15" s="72">
        <v>2866552218</v>
      </c>
      <c r="G15" s="72">
        <v>1012481642</v>
      </c>
      <c r="H15" s="72">
        <v>1854070576</v>
      </c>
      <c r="I15" s="72">
        <v>-232899687</v>
      </c>
      <c r="J15" s="72">
        <v>3616329</v>
      </c>
      <c r="K15" s="74">
        <v>77101500</v>
      </c>
      <c r="L15" s="117" t="s">
        <v>34</v>
      </c>
      <c r="M15" s="73" t="s">
        <v>35</v>
      </c>
    </row>
    <row r="16" spans="1:13" ht="25.5" x14ac:dyDescent="0.2">
      <c r="A16" s="87">
        <v>15</v>
      </c>
      <c r="B16" s="94" t="s">
        <v>62</v>
      </c>
      <c r="C16" s="9">
        <v>830084684</v>
      </c>
      <c r="D16" s="72">
        <v>4808392174</v>
      </c>
      <c r="E16" s="72">
        <v>963422079</v>
      </c>
      <c r="F16" s="72">
        <v>6597253440</v>
      </c>
      <c r="G16" s="72">
        <v>2251510375</v>
      </c>
      <c r="H16" s="72">
        <v>4345743065</v>
      </c>
      <c r="I16" s="72">
        <v>741625117</v>
      </c>
      <c r="J16" s="72">
        <v>34681060</v>
      </c>
      <c r="K16" s="74">
        <v>77101500</v>
      </c>
      <c r="L16" s="117" t="s">
        <v>34</v>
      </c>
      <c r="M16" s="73" t="s">
        <v>35</v>
      </c>
    </row>
    <row r="17" spans="1:13" ht="25.5" x14ac:dyDescent="0.2">
      <c r="A17" s="87">
        <v>16</v>
      </c>
      <c r="B17" s="94" t="s">
        <v>49</v>
      </c>
      <c r="C17" s="9">
        <v>900944362</v>
      </c>
      <c r="D17" s="72">
        <v>584740206</v>
      </c>
      <c r="E17" s="72">
        <v>42266017</v>
      </c>
      <c r="F17" s="72">
        <v>588098608</v>
      </c>
      <c r="G17" s="72">
        <v>42266017</v>
      </c>
      <c r="H17" s="72">
        <v>545832591</v>
      </c>
      <c r="I17" s="72">
        <v>115326733</v>
      </c>
      <c r="J17" s="72">
        <v>12400</v>
      </c>
      <c r="K17" s="74">
        <v>77101500</v>
      </c>
      <c r="L17" s="117" t="s">
        <v>34</v>
      </c>
      <c r="M17" s="73" t="s">
        <v>35</v>
      </c>
    </row>
    <row r="18" spans="1:13" ht="25.5" x14ac:dyDescent="0.2">
      <c r="A18" s="87">
        <v>17</v>
      </c>
      <c r="B18" s="94" t="s">
        <v>61</v>
      </c>
      <c r="C18" s="9">
        <v>900239723</v>
      </c>
      <c r="D18" s="72">
        <v>364518044</v>
      </c>
      <c r="E18" s="72">
        <v>111385638</v>
      </c>
      <c r="F18" s="72">
        <v>415963571</v>
      </c>
      <c r="G18" s="72">
        <v>111385638</v>
      </c>
      <c r="H18" s="72">
        <v>304577933</v>
      </c>
      <c r="I18" s="72">
        <v>43044008</v>
      </c>
      <c r="J18" s="72">
        <v>1588917</v>
      </c>
      <c r="K18" s="74">
        <v>77101500</v>
      </c>
      <c r="L18" s="117" t="s">
        <v>34</v>
      </c>
      <c r="M18" s="73" t="s">
        <v>35</v>
      </c>
    </row>
    <row r="19" spans="1:13" ht="12.75" x14ac:dyDescent="0.2">
      <c r="A19" s="87">
        <v>18</v>
      </c>
      <c r="B19" s="94" t="s">
        <v>54</v>
      </c>
      <c r="C19" s="9">
        <v>830083543</v>
      </c>
      <c r="D19" s="72">
        <v>683349086</v>
      </c>
      <c r="E19" s="72">
        <v>73517646</v>
      </c>
      <c r="F19" s="72">
        <v>752832259</v>
      </c>
      <c r="G19" s="72">
        <v>142378684</v>
      </c>
      <c r="H19" s="72">
        <v>610453575</v>
      </c>
      <c r="I19" s="72">
        <v>97906157</v>
      </c>
      <c r="J19" s="72">
        <v>117703</v>
      </c>
      <c r="K19" s="74">
        <v>77101500</v>
      </c>
      <c r="L19" s="117" t="s">
        <v>34</v>
      </c>
      <c r="M19" s="73" t="s">
        <v>35</v>
      </c>
    </row>
    <row r="20" spans="1:13" ht="12.75" x14ac:dyDescent="0.2">
      <c r="A20" s="87">
        <v>19</v>
      </c>
      <c r="B20" s="94" t="s">
        <v>65</v>
      </c>
      <c r="C20" s="9">
        <v>900345967</v>
      </c>
      <c r="D20" s="72">
        <v>2340952150</v>
      </c>
      <c r="E20" s="72">
        <v>156229783</v>
      </c>
      <c r="F20" s="72">
        <v>2869457406</v>
      </c>
      <c r="G20" s="72">
        <v>606855676</v>
      </c>
      <c r="H20" s="72">
        <v>2262601730</v>
      </c>
      <c r="I20" s="72">
        <v>475623805</v>
      </c>
      <c r="J20" s="72">
        <v>23130784</v>
      </c>
      <c r="K20" s="74">
        <v>77101500</v>
      </c>
      <c r="L20" s="117" t="s">
        <v>34</v>
      </c>
      <c r="M20" s="73" t="s">
        <v>35</v>
      </c>
    </row>
    <row r="21" spans="1:13" ht="12.75" x14ac:dyDescent="0.2">
      <c r="A21" s="87">
        <v>20</v>
      </c>
      <c r="B21" s="94" t="s">
        <v>58</v>
      </c>
      <c r="C21" s="9">
        <v>900314911</v>
      </c>
      <c r="D21" s="119">
        <v>2385762693</v>
      </c>
      <c r="E21" s="119">
        <v>438660931</v>
      </c>
      <c r="F21" s="119">
        <v>3653359380</v>
      </c>
      <c r="G21" s="119">
        <v>946516931</v>
      </c>
      <c r="H21" s="119">
        <v>2706842449</v>
      </c>
      <c r="I21" s="119">
        <v>1300035926</v>
      </c>
      <c r="J21" s="119">
        <v>0</v>
      </c>
      <c r="K21" s="74">
        <v>77101500</v>
      </c>
      <c r="L21" s="117" t="s">
        <v>34</v>
      </c>
      <c r="M21" s="73" t="s">
        <v>35</v>
      </c>
    </row>
    <row r="22" spans="1:13" ht="12.75" x14ac:dyDescent="0.2">
      <c r="A22" s="87">
        <v>21</v>
      </c>
      <c r="B22" s="94" t="s">
        <v>32</v>
      </c>
      <c r="C22" s="9">
        <v>830514033</v>
      </c>
      <c r="D22" s="119">
        <v>5878180071</v>
      </c>
      <c r="E22" s="119">
        <v>715875851</v>
      </c>
      <c r="F22" s="119">
        <v>6610735279</v>
      </c>
      <c r="G22" s="119">
        <v>3852756143</v>
      </c>
      <c r="H22" s="119">
        <v>2757979136</v>
      </c>
      <c r="I22" s="119">
        <v>618323863</v>
      </c>
      <c r="J22" s="119">
        <v>208955213</v>
      </c>
      <c r="K22" s="74">
        <v>77101500</v>
      </c>
      <c r="L22" s="117" t="s">
        <v>34</v>
      </c>
      <c r="M22" s="73" t="s">
        <v>35</v>
      </c>
    </row>
    <row r="23" spans="1:13" ht="12.75" x14ac:dyDescent="0.2">
      <c r="A23" s="87">
        <v>22</v>
      </c>
      <c r="B23" s="102" t="s">
        <v>66</v>
      </c>
      <c r="C23" s="9">
        <v>800119214</v>
      </c>
      <c r="D23" s="99">
        <v>8919817451</v>
      </c>
      <c r="E23" s="99">
        <v>3507290855</v>
      </c>
      <c r="F23" s="99">
        <v>11425064329</v>
      </c>
      <c r="G23" s="99">
        <v>3558641655</v>
      </c>
      <c r="H23" s="99">
        <v>7866422674</v>
      </c>
      <c r="I23" s="99">
        <v>2327465156</v>
      </c>
      <c r="J23" s="99">
        <v>84130444</v>
      </c>
      <c r="K23" s="74">
        <v>77101500</v>
      </c>
      <c r="L23" s="117" t="s">
        <v>34</v>
      </c>
      <c r="M23" s="100" t="s">
        <v>35</v>
      </c>
    </row>
    <row r="24" spans="1:13" ht="25.5" x14ac:dyDescent="0.2">
      <c r="A24" s="87">
        <v>23</v>
      </c>
      <c r="B24" s="94" t="s">
        <v>98</v>
      </c>
      <c r="C24" s="9">
        <v>830100540</v>
      </c>
      <c r="D24" s="119">
        <v>5165173605</v>
      </c>
      <c r="E24" s="119">
        <v>1044917204</v>
      </c>
      <c r="F24" s="119">
        <v>5175812994</v>
      </c>
      <c r="G24" s="119">
        <v>2922260307</v>
      </c>
      <c r="H24" s="119">
        <v>2253552687</v>
      </c>
      <c r="I24" s="119">
        <v>497579245</v>
      </c>
      <c r="J24" s="119">
        <v>122259849</v>
      </c>
      <c r="K24" s="74">
        <v>77101500</v>
      </c>
      <c r="L24" s="117" t="s">
        <v>34</v>
      </c>
      <c r="M24" s="73" t="s">
        <v>35</v>
      </c>
    </row>
    <row r="25" spans="1:13" ht="12.75" x14ac:dyDescent="0.2">
      <c r="A25" s="87">
        <v>24</v>
      </c>
      <c r="B25" s="94" t="s">
        <v>99</v>
      </c>
      <c r="C25" s="9">
        <v>900103929</v>
      </c>
      <c r="D25" s="119">
        <v>8273098712</v>
      </c>
      <c r="E25" s="119">
        <v>2078640588</v>
      </c>
      <c r="F25" s="119">
        <v>12038211526</v>
      </c>
      <c r="G25" s="119">
        <v>6772474602</v>
      </c>
      <c r="H25" s="119">
        <v>5265736924</v>
      </c>
      <c r="I25" s="119">
        <v>4269277378</v>
      </c>
      <c r="J25" s="119">
        <v>717238700</v>
      </c>
      <c r="K25" s="74">
        <v>77101500</v>
      </c>
      <c r="L25" s="117" t="s">
        <v>34</v>
      </c>
      <c r="M25" s="73" t="s">
        <v>35</v>
      </c>
    </row>
    <row r="26" spans="1:13" ht="12.75" x14ac:dyDescent="0.2">
      <c r="A26" s="87">
        <v>25</v>
      </c>
      <c r="B26" s="71" t="s">
        <v>57</v>
      </c>
      <c r="C26" s="9">
        <v>800203342</v>
      </c>
      <c r="D26" s="119">
        <v>14472403504</v>
      </c>
      <c r="E26" s="119">
        <v>3284885640</v>
      </c>
      <c r="F26" s="119">
        <v>14993414722</v>
      </c>
      <c r="G26" s="119">
        <v>5643633622</v>
      </c>
      <c r="H26" s="119">
        <v>9349781100</v>
      </c>
      <c r="I26" s="119">
        <v>3225374041</v>
      </c>
      <c r="J26" s="119">
        <v>111806392</v>
      </c>
      <c r="K26" s="153">
        <v>77101600</v>
      </c>
      <c r="L26" s="154" t="s">
        <v>39</v>
      </c>
      <c r="M26" s="101" t="s">
        <v>35</v>
      </c>
    </row>
  </sheetData>
  <pageMargins left="0.70866141732283472" right="0.31496062992125984" top="0.74803149606299213" bottom="0.74803149606299213" header="0.31496062992125984" footer="0.31496062992125984"/>
  <pageSetup paperSize="14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56"/>
  <sheetViews>
    <sheetView workbookViewId="0">
      <selection activeCell="B1" sqref="B1"/>
    </sheetView>
  </sheetViews>
  <sheetFormatPr baseColWidth="10" defaultColWidth="11.42578125" defaultRowHeight="12.75" x14ac:dyDescent="0.25"/>
  <cols>
    <col min="1" max="1" width="3.42578125" style="4" bestFit="1" customWidth="1"/>
    <col min="2" max="2" width="35.42578125" style="4" customWidth="1"/>
    <col min="3" max="3" width="13.5703125" style="4" bestFit="1" customWidth="1"/>
    <col min="4" max="4" width="14.42578125" style="4" customWidth="1"/>
    <col min="5" max="5" width="13.28515625" style="4" customWidth="1"/>
    <col min="6" max="6" width="3.85546875" style="4" customWidth="1"/>
    <col min="7" max="7" width="11.42578125" style="4" customWidth="1"/>
    <col min="8" max="8" width="11" style="4" customWidth="1"/>
    <col min="9" max="10" width="11.42578125" style="4"/>
    <col min="11" max="11" width="5.42578125" style="4" customWidth="1"/>
    <col min="12" max="16384" width="11.42578125" style="4"/>
  </cols>
  <sheetData>
    <row r="1" spans="1:31" ht="31.5" customHeight="1" x14ac:dyDescent="0.25">
      <c r="A1" s="14" t="s">
        <v>0</v>
      </c>
      <c r="B1" s="14" t="s">
        <v>1</v>
      </c>
      <c r="C1" s="14" t="s">
        <v>4</v>
      </c>
      <c r="D1" s="14" t="s">
        <v>5</v>
      </c>
      <c r="E1" s="12" t="s">
        <v>27</v>
      </c>
      <c r="G1" s="12" t="s">
        <v>27</v>
      </c>
    </row>
    <row r="2" spans="1:31" ht="21.75" customHeight="1" x14ac:dyDescent="0.25">
      <c r="A2" s="69">
        <v>1</v>
      </c>
      <c r="B2" s="70" t="str">
        <f>+'RESUMEN FINAL'!B2</f>
        <v>MONTAJES Y CONSTRUCCIONES FERMAR S.A.S</v>
      </c>
      <c r="C2" s="72">
        <f>+'RESUMEN FINAL'!D2</f>
        <v>39414690882</v>
      </c>
      <c r="D2" s="72">
        <f>+'RESUMEN FINAL'!E2</f>
        <v>2799974091</v>
      </c>
      <c r="E2" s="82">
        <f t="shared" ref="E2:E26" si="0">+C2/D2</f>
        <v>14.076805570698404</v>
      </c>
      <c r="G2" s="174">
        <v>2.2259406232992172</v>
      </c>
      <c r="I2" s="104" t="s">
        <v>68</v>
      </c>
      <c r="J2" s="105">
        <f>+COUNT($G$2:$G$26)</f>
        <v>25</v>
      </c>
      <c r="L2" s="106" t="s">
        <v>68</v>
      </c>
      <c r="M2" s="105">
        <f>+COUNT($G$2:$G$25)</f>
        <v>24</v>
      </c>
      <c r="O2" s="123" t="s">
        <v>68</v>
      </c>
      <c r="P2" s="105">
        <f>+COUNT($G$2:$G$24)</f>
        <v>23</v>
      </c>
      <c r="R2" s="124" t="s">
        <v>68</v>
      </c>
      <c r="S2" s="105">
        <f>+COUNT($G$2:$G$22)</f>
        <v>21</v>
      </c>
      <c r="U2" s="177" t="s">
        <v>68</v>
      </c>
      <c r="V2" s="105">
        <f>+COUNT($G$2:$G$21)</f>
        <v>20</v>
      </c>
      <c r="X2" s="120" t="s">
        <v>68</v>
      </c>
      <c r="Y2" s="105">
        <f>+COUNT($G$2:$G$19)</f>
        <v>18</v>
      </c>
      <c r="AA2" s="180" t="s">
        <v>68</v>
      </c>
      <c r="AB2" s="105">
        <f>+COUNT($G$2:$G$17)</f>
        <v>16</v>
      </c>
      <c r="AD2" s="181" t="s">
        <v>68</v>
      </c>
      <c r="AE2" s="105">
        <f>+COUNT($G$2:$G$16)</f>
        <v>15</v>
      </c>
    </row>
    <row r="3" spans="1:31" ht="11.25" customHeight="1" x14ac:dyDescent="0.25">
      <c r="A3" s="69">
        <v>2</v>
      </c>
      <c r="B3" s="70" t="str">
        <f>+'RESUMEN FINAL'!B3</f>
        <v>SOFORESTA S.A.S.</v>
      </c>
      <c r="C3" s="72">
        <f>+'RESUMEN FINAL'!D3</f>
        <v>12211452043</v>
      </c>
      <c r="D3" s="72">
        <f>+'RESUMEN FINAL'!E3</f>
        <v>3733560900</v>
      </c>
      <c r="E3" s="82">
        <f t="shared" si="0"/>
        <v>3.2707252861470666</v>
      </c>
      <c r="G3" s="174">
        <v>2.2875516830788887</v>
      </c>
      <c r="I3" s="105" t="s">
        <v>69</v>
      </c>
      <c r="J3" s="107">
        <f>+QUARTILE($G$2:$G$26,0)</f>
        <v>2.2259406232992172</v>
      </c>
      <c r="L3" s="105" t="s">
        <v>69</v>
      </c>
      <c r="M3" s="107">
        <f>+QUARTILE($G$2:$G$25,0)</f>
        <v>2.2259406232992172</v>
      </c>
      <c r="O3" s="105" t="s">
        <v>69</v>
      </c>
      <c r="P3" s="107">
        <f>+QUARTILE($G$2:$G$24,0)</f>
        <v>2.2259406232992172</v>
      </c>
      <c r="R3" s="105" t="s">
        <v>69</v>
      </c>
      <c r="S3" s="107">
        <f>+QUARTILE($G$2:$G$22,0)</f>
        <v>2.2259406232992172</v>
      </c>
      <c r="U3" s="105" t="s">
        <v>69</v>
      </c>
      <c r="V3" s="107">
        <f>+QUARTILE($G$2:$G$21,0)</f>
        <v>2.2259406232992172</v>
      </c>
      <c r="X3" s="105" t="s">
        <v>69</v>
      </c>
      <c r="Y3" s="107">
        <f>+QUARTILE($G$2:$G$19,0)</f>
        <v>2.2259406232992172</v>
      </c>
      <c r="AA3" s="105" t="s">
        <v>69</v>
      </c>
      <c r="AB3" s="107">
        <f>+QUARTILE($G$2:$G$17,0)</f>
        <v>2.2259406232992172</v>
      </c>
      <c r="AD3" s="105" t="s">
        <v>69</v>
      </c>
      <c r="AE3" s="107">
        <f>+QUARTILE($G$2:$G$16,0)</f>
        <v>2.2259406232992172</v>
      </c>
    </row>
    <row r="4" spans="1:31" ht="11.25" customHeight="1" x14ac:dyDescent="0.25">
      <c r="A4" s="69">
        <v>3</v>
      </c>
      <c r="B4" s="70" t="str">
        <f>+'RESUMEN FINAL'!B4</f>
        <v>AZUL URBANO LIMITADA</v>
      </c>
      <c r="C4" s="72">
        <f>+'RESUMEN FINAL'!D4</f>
        <v>8017692187</v>
      </c>
      <c r="D4" s="72">
        <f>+'RESUMEN FINAL'!E4</f>
        <v>444677339</v>
      </c>
      <c r="E4" s="82">
        <f t="shared" si="0"/>
        <v>18.030359282598837</v>
      </c>
      <c r="G4" s="174">
        <v>2.543221483409023</v>
      </c>
      <c r="I4" s="105" t="s">
        <v>70</v>
      </c>
      <c r="J4" s="107">
        <f>+QUARTILE($G$2:$G$26,1)</f>
        <v>3.9800525207487194</v>
      </c>
      <c r="L4" s="105" t="s">
        <v>70</v>
      </c>
      <c r="M4" s="107">
        <f>+QUARTILE($G$2:$G$25,1)</f>
        <v>3.9716098282377823</v>
      </c>
      <c r="O4" s="105" t="s">
        <v>70</v>
      </c>
      <c r="P4" s="107">
        <f>+QUARTILE($G$2:$G$24,1)</f>
        <v>3.9631671357268452</v>
      </c>
      <c r="R4" s="105" t="s">
        <v>70</v>
      </c>
      <c r="S4" s="107">
        <f>+QUARTILE($G$2:$G$22,1)</f>
        <v>3.946281750704971</v>
      </c>
      <c r="U4" s="105" t="s">
        <v>70</v>
      </c>
      <c r="V4" s="107">
        <f>+QUARTILE($G$2:$G$21,1)</f>
        <v>3.7778554888514675</v>
      </c>
      <c r="X4" s="105" t="s">
        <v>70</v>
      </c>
      <c r="Y4" s="107">
        <f>+QUARTILE($G$2:$G$19,1)</f>
        <v>3.4410029651444609</v>
      </c>
      <c r="AA4" s="105" t="s">
        <v>70</v>
      </c>
      <c r="AB4" s="107">
        <f>+QUARTILE($G$2:$G$17,1)</f>
        <v>3.2721138490049846</v>
      </c>
      <c r="AD4" s="108" t="s">
        <v>70</v>
      </c>
      <c r="AE4" s="107">
        <f>+QUARTILE($G$2:$G$16,1)</f>
        <v>3.2716509947190122</v>
      </c>
    </row>
    <row r="5" spans="1:31" ht="11.25" customHeight="1" x14ac:dyDescent="0.25">
      <c r="A5" s="69">
        <v>4</v>
      </c>
      <c r="B5" s="70" t="str">
        <f>+'RESUMEN FINAL'!B5</f>
        <v>C.I. HIDRO GEO S.A.S.</v>
      </c>
      <c r="C5" s="72">
        <f>+'RESUMEN FINAL'!D5</f>
        <v>1576919821</v>
      </c>
      <c r="D5" s="72">
        <f>+'RESUMEN FINAL'!E5</f>
        <v>59315203</v>
      </c>
      <c r="E5" s="82">
        <f t="shared" si="0"/>
        <v>26.585423993238294</v>
      </c>
      <c r="G5" s="174">
        <v>3.2707252861470666</v>
      </c>
      <c r="I5" s="105" t="s">
        <v>71</v>
      </c>
      <c r="J5" s="107">
        <f>+QUARTILE($G$2:$G$26,2)</f>
        <v>5.4387398658030932</v>
      </c>
      <c r="L5" s="105" t="s">
        <v>71</v>
      </c>
      <c r="M5" s="107">
        <f>+QUARTILE($G$2:$G$25,2)</f>
        <v>5.2148453215240238</v>
      </c>
      <c r="O5" s="105" t="s">
        <v>71</v>
      </c>
      <c r="P5" s="107">
        <f>+QUARTILE($G$2:$G$24,2)</f>
        <v>4.9909507772449544</v>
      </c>
      <c r="R5" s="105" t="s">
        <v>71</v>
      </c>
      <c r="S5" s="107">
        <f>+QUARTILE($G$2:$G$22,2)</f>
        <v>4.9431415094204922</v>
      </c>
      <c r="U5" s="105" t="s">
        <v>71</v>
      </c>
      <c r="V5" s="107">
        <f>+QUARTILE($G$2:$G$21,2)</f>
        <v>4.6744485851847344</v>
      </c>
      <c r="X5" s="105" t="s">
        <v>71</v>
      </c>
      <c r="Y5" s="107">
        <f>+QUARTILE($G$2:$G$19,2)</f>
        <v>4.4057556609489756</v>
      </c>
      <c r="AA5" s="105" t="s">
        <v>71</v>
      </c>
      <c r="AB5" s="107">
        <f>+QUARTILE($G$2:$G$17,2)</f>
        <v>4.3163674643700922</v>
      </c>
      <c r="AD5" s="105" t="s">
        <v>71</v>
      </c>
      <c r="AE5" s="107">
        <f>+QUARTILE($G$2:$G$16,2)</f>
        <v>4.2269792677912079</v>
      </c>
    </row>
    <row r="6" spans="1:31" ht="11.25" customHeight="1" x14ac:dyDescent="0.25">
      <c r="A6" s="69">
        <v>5</v>
      </c>
      <c r="B6" s="70" t="str">
        <f>+'RESUMEN FINAL'!B6</f>
        <v>DESARROLLAMOS INGENIERIA S.A.S.</v>
      </c>
      <c r="C6" s="72">
        <f>+'RESUMEN FINAL'!D6</f>
        <v>4220409785</v>
      </c>
      <c r="D6" s="72">
        <f>+'RESUMEN FINAL'!E6</f>
        <v>1844946200</v>
      </c>
      <c r="E6" s="82">
        <f t="shared" si="0"/>
        <v>2.2875516830788887</v>
      </c>
      <c r="G6" s="174">
        <v>3.2725767032909574</v>
      </c>
      <c r="I6" s="105" t="s">
        <v>72</v>
      </c>
      <c r="J6" s="107">
        <f>+QUARTILE($G$2:$G$26,3)</f>
        <v>13.834760109995697</v>
      </c>
      <c r="L6" s="105" t="s">
        <v>72</v>
      </c>
      <c r="M6" s="107">
        <f>+QUARTILE($G$2:$G$25,3)</f>
        <v>10.429966209274385</v>
      </c>
      <c r="O6" s="105" t="s">
        <v>72</v>
      </c>
      <c r="P6" s="107">
        <f>+QUARTILE($G$2:$G$24,3)</f>
        <v>9.1966434107911859</v>
      </c>
      <c r="R6" s="105" t="s">
        <v>72</v>
      </c>
      <c r="S6" s="107">
        <f>+QUARTILE($G$2:$G$22,3)</f>
        <v>8.2111724578903278</v>
      </c>
      <c r="U6" s="105" t="s">
        <v>72</v>
      </c>
      <c r="V6" s="107">
        <f>+QUARTILE($G$2:$G$21,3)</f>
        <v>6.291370649290001</v>
      </c>
      <c r="X6" s="105" t="s">
        <v>72</v>
      </c>
      <c r="Y6" s="107">
        <f>+QUARTILE($G$2:$G$19,3)</f>
        <v>5.5143858092145104</v>
      </c>
      <c r="AA6" s="105" t="s">
        <v>72</v>
      </c>
      <c r="AB6" s="107">
        <f>+QUARTILE($G$2:$G$17,3)</f>
        <v>5.1028980493844891</v>
      </c>
      <c r="AD6" s="105" t="s">
        <v>72</v>
      </c>
      <c r="AE6" s="107">
        <f>+QUARTILE($G$2:$G$16,3)</f>
        <v>4.9670461433327233</v>
      </c>
    </row>
    <row r="7" spans="1:31" ht="11.25" customHeight="1" x14ac:dyDescent="0.25">
      <c r="A7" s="69">
        <v>6</v>
      </c>
      <c r="B7" s="70" t="str">
        <f>+'RESUMEN FINAL'!B7</f>
        <v>ETEL LTDA EN REORGANIZACION</v>
      </c>
      <c r="C7" s="72">
        <f>+'RESUMEN FINAL'!D7</f>
        <v>13365875287</v>
      </c>
      <c r="D7" s="72">
        <f>+'RESUMEN FINAL'!E7</f>
        <v>6004596505</v>
      </c>
      <c r="E7" s="82">
        <f t="shared" si="0"/>
        <v>2.2259406232992172</v>
      </c>
      <c r="G7" s="174">
        <v>3.946281750704971</v>
      </c>
      <c r="I7" s="105" t="s">
        <v>73</v>
      </c>
      <c r="J7" s="107">
        <f>+QUARTILE($G$2:$G$26,4)</f>
        <v>308.28148615820766</v>
      </c>
      <c r="L7" s="105" t="s">
        <v>73</v>
      </c>
      <c r="M7" s="107">
        <f>+QUARTILE($G$2:$G$25,4)</f>
        <v>26.585423993238294</v>
      </c>
      <c r="O7" s="105" t="s">
        <v>73</v>
      </c>
      <c r="P7" s="107">
        <f>+QUARTILE($G$2:$G$24,4)</f>
        <v>19.851317400924909</v>
      </c>
      <c r="R7" s="105" t="s">
        <v>73</v>
      </c>
      <c r="S7" s="107">
        <f>+QUARTILE($G$2:$G$22,4)</f>
        <v>14.984032525987699</v>
      </c>
      <c r="U7" s="105" t="s">
        <v>73</v>
      </c>
      <c r="V7" s="107">
        <f>+QUARTILE($G$2:$G$21,4)</f>
        <v>14.076805570698404</v>
      </c>
      <c r="X7" s="105" t="s">
        <v>73</v>
      </c>
      <c r="Y7" s="107">
        <f>+QUARTILE($G$2:$G$19,4)</f>
        <v>9.2950349090339479</v>
      </c>
      <c r="AA7" s="105" t="s">
        <v>73</v>
      </c>
      <c r="AB7" s="107">
        <f>+QUARTILE($G$2:$G$17,4)</f>
        <v>8.2111724578903278</v>
      </c>
      <c r="AD7" s="105" t="s">
        <v>73</v>
      </c>
      <c r="AE7" s="107">
        <f>+QUARTILE($G$2:$G$16,4)</f>
        <v>5.6514367130898924</v>
      </c>
    </row>
    <row r="8" spans="1:31" ht="11.25" customHeight="1" x14ac:dyDescent="0.25">
      <c r="A8" s="69">
        <v>7</v>
      </c>
      <c r="B8" s="70" t="str">
        <f>+'RESUMEN FINAL'!B8</f>
        <v>NEW GAS AND OIL S.A.S</v>
      </c>
      <c r="C8" s="72">
        <f>+'RESUMEN FINAL'!D8</f>
        <v>2922048000</v>
      </c>
      <c r="D8" s="72">
        <f>+'RESUMEN FINAL'!E8</f>
        <v>740456000</v>
      </c>
      <c r="E8" s="82">
        <f t="shared" si="0"/>
        <v>3.946281750704971</v>
      </c>
      <c r="G8" s="174">
        <v>3.9800525207487194</v>
      </c>
      <c r="I8" s="105" t="s">
        <v>74</v>
      </c>
      <c r="J8" s="107">
        <f>+J6-J4</f>
        <v>9.8547075892469778</v>
      </c>
      <c r="L8" s="105" t="s">
        <v>74</v>
      </c>
      <c r="M8" s="107">
        <f>+M6-M4</f>
        <v>6.4583563810366025</v>
      </c>
      <c r="O8" s="105" t="s">
        <v>74</v>
      </c>
      <c r="P8" s="107">
        <f>+P6-P4</f>
        <v>5.2334762750643407</v>
      </c>
      <c r="R8" s="105" t="s">
        <v>74</v>
      </c>
      <c r="S8" s="107">
        <f>+S6-S4</f>
        <v>4.2648907071853568</v>
      </c>
      <c r="U8" s="105" t="s">
        <v>74</v>
      </c>
      <c r="V8" s="107">
        <f>+V6-V4</f>
        <v>2.5135151604385335</v>
      </c>
      <c r="X8" s="105" t="s">
        <v>74</v>
      </c>
      <c r="Y8" s="107">
        <f>+Y6-Y4</f>
        <v>2.0733828440700495</v>
      </c>
      <c r="AA8" s="105" t="s">
        <v>74</v>
      </c>
      <c r="AB8" s="107">
        <f>+AB6-AB4</f>
        <v>1.8307842003795045</v>
      </c>
      <c r="AD8" s="105" t="s">
        <v>74</v>
      </c>
      <c r="AE8" s="107">
        <f>+AE6-AE4</f>
        <v>1.6953951486137111</v>
      </c>
    </row>
    <row r="9" spans="1:31" ht="32.25" customHeight="1" x14ac:dyDescent="0.25">
      <c r="A9" s="69">
        <v>8</v>
      </c>
      <c r="B9" s="70" t="str">
        <f>+'RESUMEN FINAL'!B9</f>
        <v>INGENIERÍA Y CONSTRUCCIÓN PALACIO BAENA S.A.S.</v>
      </c>
      <c r="C9" s="72">
        <f>+'RESUMEN FINAL'!D9</f>
        <v>4457604105</v>
      </c>
      <c r="D9" s="72">
        <f>+'RESUMEN FINAL'!E9</f>
        <v>804679616</v>
      </c>
      <c r="E9" s="82">
        <f t="shared" si="0"/>
        <v>5.5396011236849825</v>
      </c>
      <c r="G9" s="174">
        <v>4.2269792677912079</v>
      </c>
      <c r="I9" s="105" t="s">
        <v>75</v>
      </c>
      <c r="J9" s="107">
        <f>+J4-(J8*1.5)</f>
        <v>-10.802008863121747</v>
      </c>
      <c r="L9" s="105" t="s">
        <v>75</v>
      </c>
      <c r="M9" s="107">
        <f>+M4-(M8*1.5)</f>
        <v>-5.7159247433171219</v>
      </c>
      <c r="O9" s="105" t="s">
        <v>75</v>
      </c>
      <c r="P9" s="107">
        <f>+P4-(P8*1.5)</f>
        <v>-3.8870472768696658</v>
      </c>
      <c r="R9" s="105" t="s">
        <v>75</v>
      </c>
      <c r="S9" s="107">
        <f>+S4-(S8*1.5)</f>
        <v>-2.4510543100730642</v>
      </c>
      <c r="U9" s="105" t="s">
        <v>75</v>
      </c>
      <c r="V9" s="107">
        <f>+V4-(V8*1.5)</f>
        <v>7.5827481936672214E-3</v>
      </c>
      <c r="X9" s="105" t="s">
        <v>75</v>
      </c>
      <c r="Y9" s="107">
        <f>+Y4-(Y8*1.5)</f>
        <v>0.33092869903938693</v>
      </c>
      <c r="AA9" s="105" t="s">
        <v>75</v>
      </c>
      <c r="AB9" s="107">
        <f>+AB4-(AB8*1.5)</f>
        <v>0.52593754843572782</v>
      </c>
      <c r="AD9" s="105" t="s">
        <v>75</v>
      </c>
      <c r="AE9" s="107">
        <f>+AE4-(AE8*1.5)</f>
        <v>0.72855827179844557</v>
      </c>
    </row>
    <row r="10" spans="1:31" ht="11.25" customHeight="1" x14ac:dyDescent="0.25">
      <c r="A10" s="69">
        <v>9</v>
      </c>
      <c r="B10" s="70" t="str">
        <f>+'RESUMEN FINAL'!B10</f>
        <v>O R INGENIERIA S A S</v>
      </c>
      <c r="C10" s="72">
        <f>+'RESUMEN FINAL'!D10</f>
        <v>5786155252</v>
      </c>
      <c r="D10" s="72">
        <f>+'RESUMEN FINAL'!E10</f>
        <v>18769065</v>
      </c>
      <c r="E10" s="82">
        <f t="shared" si="0"/>
        <v>308.28148615820766</v>
      </c>
      <c r="G10" s="174">
        <v>4.4057556609489756</v>
      </c>
      <c r="H10" s="37"/>
      <c r="I10" s="109" t="s">
        <v>76</v>
      </c>
      <c r="J10" s="104">
        <f>+J6+(J8*1.5)</f>
        <v>28.616821493866162</v>
      </c>
      <c r="L10" s="109" t="s">
        <v>76</v>
      </c>
      <c r="M10" s="104">
        <f>+M6+(M8*1.5)</f>
        <v>20.117500780829289</v>
      </c>
      <c r="O10" s="109" t="s">
        <v>76</v>
      </c>
      <c r="P10" s="104">
        <f>+P6+(P8*1.5)</f>
        <v>17.046857823387697</v>
      </c>
      <c r="R10" s="109" t="s">
        <v>76</v>
      </c>
      <c r="S10" s="107">
        <f>+S6+(S8*1.5)</f>
        <v>14.608508518668362</v>
      </c>
      <c r="U10" s="109" t="s">
        <v>76</v>
      </c>
      <c r="V10" s="107">
        <f>+V6+(V8*1.5)</f>
        <v>10.0616433899478</v>
      </c>
      <c r="X10" s="109" t="s">
        <v>76</v>
      </c>
      <c r="Y10" s="107">
        <f>+Y6+(Y8*1.5)</f>
        <v>8.6244600753195844</v>
      </c>
      <c r="AA10" s="109" t="s">
        <v>76</v>
      </c>
      <c r="AB10" s="107">
        <f>+AB6+(AB8*1.5)</f>
        <v>7.8490743499537459</v>
      </c>
      <c r="AD10" s="109" t="s">
        <v>76</v>
      </c>
      <c r="AE10" s="107">
        <f>+AE6+(AE8*1.5)</f>
        <v>7.51013886625329</v>
      </c>
    </row>
    <row r="11" spans="1:31" ht="11.25" customHeight="1" x14ac:dyDescent="0.25">
      <c r="A11" s="69">
        <v>10</v>
      </c>
      <c r="B11" s="70" t="str">
        <f>+'RESUMEN FINAL'!B11</f>
        <v>G63 INFRAESTRUCTURA Y SERVICIOS S.A.S</v>
      </c>
      <c r="C11" s="72">
        <f>+'RESUMEN FINAL'!D11</f>
        <v>7033771586</v>
      </c>
      <c r="D11" s="72">
        <f>+'RESUMEN FINAL'!E11</f>
        <v>354322660</v>
      </c>
      <c r="E11" s="82">
        <f t="shared" si="0"/>
        <v>19.851317400924909</v>
      </c>
      <c r="G11" s="174">
        <v>4.4057556609489756</v>
      </c>
      <c r="I11" s="109" t="s">
        <v>77</v>
      </c>
      <c r="J11" s="109">
        <f>+MEDIAN(G$2:$G$26)</f>
        <v>5.4387398658030932</v>
      </c>
      <c r="L11" s="109" t="s">
        <v>77</v>
      </c>
      <c r="M11" s="109">
        <f>+MEDIAN($G$2:J$25)</f>
        <v>5.4891704947440374</v>
      </c>
      <c r="O11" s="109" t="s">
        <v>77</v>
      </c>
      <c r="P11" s="109">
        <f>+MEDIAN($G$2:G$24)</f>
        <v>4.9909507772449544</v>
      </c>
      <c r="R11" s="109" t="s">
        <v>77</v>
      </c>
      <c r="S11" s="109">
        <f>+MEDIAN($G$2:$G$22)</f>
        <v>4.9431415094204922</v>
      </c>
      <c r="U11" s="109" t="s">
        <v>77</v>
      </c>
      <c r="V11" s="109">
        <f>+MEDIAN($G$2:$G$21)</f>
        <v>4.6744485851847344</v>
      </c>
      <c r="X11" s="109" t="s">
        <v>77</v>
      </c>
      <c r="Y11" s="109">
        <f>+MEDIAN($G$2:$G$19)</f>
        <v>4.4057556609489756</v>
      </c>
      <c r="AA11" s="109" t="s">
        <v>77</v>
      </c>
      <c r="AB11" s="109">
        <f>+MEDIAN($G$2:$G$17)</f>
        <v>4.3163674643700922</v>
      </c>
      <c r="AD11" s="109" t="s">
        <v>77</v>
      </c>
      <c r="AE11" s="109">
        <f>+MEDIAN($G$2:$G$16)</f>
        <v>4.2269792677912079</v>
      </c>
    </row>
    <row r="12" spans="1:31" ht="11.25" customHeight="1" x14ac:dyDescent="0.25">
      <c r="A12" s="69">
        <v>11</v>
      </c>
      <c r="B12" s="70" t="str">
        <f>+'RESUMEN FINAL'!B12</f>
        <v>INGENIERIA JOULES M. E. C. S.A.S.</v>
      </c>
      <c r="C12" s="72">
        <f>+'RESUMEN FINAL'!D12</f>
        <v>27032499804</v>
      </c>
      <c r="D12" s="72">
        <f>+'RESUMEN FINAL'!E12</f>
        <v>6395228860</v>
      </c>
      <c r="E12" s="82">
        <f t="shared" si="0"/>
        <v>4.2269792677912079</v>
      </c>
      <c r="G12" s="174">
        <v>4.9431415094204922</v>
      </c>
      <c r="I12" s="105" t="s">
        <v>78</v>
      </c>
      <c r="J12" s="109">
        <f>+AVERAGE($G$2:$G$26)</f>
        <v>20.135094198029424</v>
      </c>
      <c r="L12" s="105" t="s">
        <v>78</v>
      </c>
      <c r="M12" s="109">
        <f>+AVERAGE($G$2:$G$25)</f>
        <v>8.1289945330219968</v>
      </c>
      <c r="O12" s="105" t="s">
        <v>78</v>
      </c>
      <c r="P12" s="109">
        <f>+AVERAGE($G$2:$G$24)</f>
        <v>7.3265410782299831</v>
      </c>
      <c r="R12" s="105" t="s">
        <v>78</v>
      </c>
      <c r="S12" s="109">
        <f>+AVERAGE($G$2:$G$22)</f>
        <v>6.2204175293221855</v>
      </c>
      <c r="U12" s="105" t="s">
        <v>78</v>
      </c>
      <c r="V12" s="109">
        <f>+AVERAGE($G$2:$G$21)</f>
        <v>5.78223677948891</v>
      </c>
      <c r="X12" s="105" t="s">
        <v>78</v>
      </c>
      <c r="Y12" s="109">
        <f>+AVERAGE($G$2:$G$19)</f>
        <v>4.8740649949491175</v>
      </c>
      <c r="AA12" s="105" t="s">
        <v>78</v>
      </c>
      <c r="AB12" s="109">
        <f>+AVERAGE($G$2:$G$17)</f>
        <v>4.3337426929688592</v>
      </c>
      <c r="AD12" s="105" t="s">
        <v>78</v>
      </c>
      <c r="AE12" s="109">
        <f>+AVERAGE($G$2:$G$16)</f>
        <v>4.0752473753074279</v>
      </c>
    </row>
    <row r="13" spans="1:31" ht="11.25" customHeight="1" x14ac:dyDescent="0.25">
      <c r="A13" s="69">
        <v>12</v>
      </c>
      <c r="B13" s="70" t="str">
        <f>+'RESUMEN FINAL'!B13</f>
        <v>CONSTRUCCIONES AL DIA SAS</v>
      </c>
      <c r="C13" s="72">
        <f>+'RESUMEN FINAL'!D13</f>
        <v>17179765402</v>
      </c>
      <c r="D13" s="72">
        <f>+'RESUMEN FINAL'!E13</f>
        <v>3039893442</v>
      </c>
      <c r="E13" s="82">
        <f t="shared" si="0"/>
        <v>5.6514367130898924</v>
      </c>
      <c r="G13" s="174">
        <v>4.9909507772449544</v>
      </c>
      <c r="I13" s="105" t="s">
        <v>79</v>
      </c>
      <c r="J13" s="107">
        <f>+STDEVA($G$2:$G$26,0)</f>
        <v>59.274311411915413</v>
      </c>
      <c r="L13" s="105" t="s">
        <v>79</v>
      </c>
      <c r="M13" s="107">
        <f>+STDEVA($G$2:$G$25,0)</f>
        <v>6.5251143045077029</v>
      </c>
      <c r="O13" s="105" t="s">
        <v>79</v>
      </c>
      <c r="P13" s="107">
        <f>+STDEVA($G$2:$G$24,0)</f>
        <v>5.3340777646281783</v>
      </c>
      <c r="R13" s="105" t="s">
        <v>79</v>
      </c>
      <c r="S13" s="107">
        <f>+STDEVA($G$2:$G$22,0)</f>
        <v>4.0400530963602304</v>
      </c>
      <c r="U13" s="105" t="s">
        <v>79</v>
      </c>
      <c r="V13" s="107">
        <f>+STDEVA($G$2:$G$21,0)</f>
        <v>3.5848917291870834</v>
      </c>
      <c r="X13" s="105" t="s">
        <v>79</v>
      </c>
      <c r="Y13" s="107">
        <f>+STDEVA($G$2:$G$19,0)</f>
        <v>2.3476230942697982</v>
      </c>
      <c r="AA13" s="105" t="s">
        <v>79</v>
      </c>
      <c r="AB13" s="107">
        <f>+STDEVA($G$2:$G$17,0)</f>
        <v>1.8082188962799615</v>
      </c>
      <c r="AD13" s="105" t="s">
        <v>79</v>
      </c>
      <c r="AE13" s="107">
        <f>+STDEVA($G$2:$G$16,0)</f>
        <v>1.5093232908271912</v>
      </c>
    </row>
    <row r="14" spans="1:31" ht="11.25" customHeight="1" x14ac:dyDescent="0.25">
      <c r="A14" s="69">
        <v>13</v>
      </c>
      <c r="B14" s="70" t="str">
        <f>+'RESUMEN FINAL'!B14</f>
        <v>GRUCON S.A.S.</v>
      </c>
      <c r="C14" s="72">
        <f>+'RESUMEN FINAL'!D14</f>
        <v>14472403504</v>
      </c>
      <c r="D14" s="72">
        <f>+'RESUMEN FINAL'!E14</f>
        <v>3284885640</v>
      </c>
      <c r="E14" s="82">
        <f t="shared" si="0"/>
        <v>4.4057556609489756</v>
      </c>
      <c r="G14" s="174">
        <v>5.4387398658030932</v>
      </c>
      <c r="M14" s="41"/>
    </row>
    <row r="15" spans="1:31" ht="11.25" customHeight="1" x14ac:dyDescent="0.25">
      <c r="A15" s="69">
        <v>14</v>
      </c>
      <c r="B15" s="70" t="str">
        <f>+'RESUMEN FINAL'!B15</f>
        <v>ANDEAN GEOLOGICAL SERVICES LIMITADA A.G.S.</v>
      </c>
      <c r="C15" s="72">
        <f>+'RESUMEN FINAL'!D15</f>
        <v>2662238091</v>
      </c>
      <c r="D15" s="72">
        <f>+'RESUMEN FINAL'!E15</f>
        <v>292609846</v>
      </c>
      <c r="E15" s="82">
        <f t="shared" si="0"/>
        <v>9.0982519125484238</v>
      </c>
      <c r="G15" s="174">
        <v>5.5396011236849825</v>
      </c>
      <c r="M15" s="41"/>
    </row>
    <row r="16" spans="1:31" x14ac:dyDescent="0.25">
      <c r="A16" s="69">
        <v>15</v>
      </c>
      <c r="B16" s="70" t="str">
        <f>+'RESUMEN FINAL'!B16</f>
        <v>JAM INGENIERIA Y MEDIO AMBIENTE SAS</v>
      </c>
      <c r="C16" s="72">
        <f>+'RESUMEN FINAL'!D16</f>
        <v>4808392174</v>
      </c>
      <c r="D16" s="72">
        <f>+'RESUMEN FINAL'!E16</f>
        <v>963422079</v>
      </c>
      <c r="E16" s="82">
        <f t="shared" si="0"/>
        <v>4.9909507772449544</v>
      </c>
      <c r="G16" s="174">
        <v>5.6514367130898924</v>
      </c>
      <c r="M16" s="41"/>
    </row>
    <row r="17" spans="1:13" x14ac:dyDescent="0.25">
      <c r="A17" s="69">
        <v>16</v>
      </c>
      <c r="B17" s="70" t="str">
        <f>+'RESUMEN FINAL'!B17</f>
        <v>CRATOS SOLUCIONES INTEGRALES SAS</v>
      </c>
      <c r="C17" s="72">
        <f>+'RESUMEN FINAL'!D17</f>
        <v>584740206</v>
      </c>
      <c r="D17" s="72">
        <f>+'RESUMEN FINAL'!E17</f>
        <v>42266017</v>
      </c>
      <c r="E17" s="82">
        <f t="shared" si="0"/>
        <v>13.834760109995697</v>
      </c>
      <c r="G17" s="122">
        <v>8.2111724578903278</v>
      </c>
      <c r="K17" s="37"/>
      <c r="M17" s="41"/>
    </row>
    <row r="18" spans="1:13" ht="25.5" x14ac:dyDescent="0.25">
      <c r="A18" s="69">
        <v>17</v>
      </c>
      <c r="B18" s="70" t="str">
        <f>+'RESUMEN FINAL'!B18</f>
        <v>INGENIERIA Y GESTION DE LA INFORMACION LIMITADA INGFOCOL</v>
      </c>
      <c r="C18" s="72">
        <f>+'RESUMEN FINAL'!D18</f>
        <v>364518044</v>
      </c>
      <c r="D18" s="72">
        <f>+'RESUMEN FINAL'!E18</f>
        <v>111385638</v>
      </c>
      <c r="E18" s="82">
        <f t="shared" si="0"/>
        <v>3.2725767032909574</v>
      </c>
      <c r="G18" s="179">
        <v>9.0982519125484238</v>
      </c>
      <c r="H18" s="37"/>
      <c r="I18" s="38"/>
      <c r="J18" s="37"/>
      <c r="M18" s="41"/>
    </row>
    <row r="19" spans="1:13" x14ac:dyDescent="0.25">
      <c r="A19" s="69">
        <v>18</v>
      </c>
      <c r="B19" s="70" t="str">
        <f>+'RESUMEN FINAL'!B19</f>
        <v>HIDRODUCTOS S.A.S</v>
      </c>
      <c r="C19" s="72">
        <f>+'RESUMEN FINAL'!D19</f>
        <v>683349086</v>
      </c>
      <c r="D19" s="72">
        <f>+'RESUMEN FINAL'!E19</f>
        <v>73517646</v>
      </c>
      <c r="E19" s="82">
        <f t="shared" si="0"/>
        <v>9.2950349090339479</v>
      </c>
      <c r="G19" s="179">
        <v>9.2950349090339479</v>
      </c>
      <c r="H19" s="37"/>
      <c r="I19" s="54"/>
      <c r="L19" s="67"/>
      <c r="M19" s="41"/>
    </row>
    <row r="20" spans="1:13" x14ac:dyDescent="0.25">
      <c r="A20" s="69">
        <v>19</v>
      </c>
      <c r="B20" s="70" t="str">
        <f>+'RESUMEN FINAL'!B20</f>
        <v>RM INGENIEROS S.A.S</v>
      </c>
      <c r="C20" s="72">
        <f>+'RESUMEN FINAL'!D20</f>
        <v>2340952150</v>
      </c>
      <c r="D20" s="72">
        <f>+'RESUMEN FINAL'!E20</f>
        <v>156229783</v>
      </c>
      <c r="E20" s="82">
        <f t="shared" si="0"/>
        <v>14.984032525987699</v>
      </c>
      <c r="G20" s="178">
        <v>13.834760109995697</v>
      </c>
      <c r="M20" s="41"/>
    </row>
    <row r="21" spans="1:13" x14ac:dyDescent="0.25">
      <c r="A21" s="69">
        <v>20</v>
      </c>
      <c r="B21" s="70" t="str">
        <f>+'RESUMEN FINAL'!B21</f>
        <v>HYMAC INGENIERIA SAS</v>
      </c>
      <c r="C21" s="72">
        <f>+'RESUMEN FINAL'!D21</f>
        <v>2385762693</v>
      </c>
      <c r="D21" s="72">
        <f>+'RESUMEN FINAL'!E21</f>
        <v>438660931</v>
      </c>
      <c r="E21" s="82">
        <f t="shared" si="0"/>
        <v>5.4387398658030932</v>
      </c>
      <c r="G21" s="178">
        <v>14.076805570698404</v>
      </c>
      <c r="H21" s="37"/>
      <c r="I21" s="38"/>
      <c r="J21" s="37"/>
      <c r="K21" s="37"/>
      <c r="M21" s="41"/>
    </row>
    <row r="22" spans="1:13" x14ac:dyDescent="0.25">
      <c r="A22" s="69">
        <v>21</v>
      </c>
      <c r="B22" s="70" t="str">
        <f>+'RESUMEN FINAL'!B22</f>
        <v>AITEC S.A.S</v>
      </c>
      <c r="C22" s="72">
        <f>+'RESUMEN FINAL'!D22</f>
        <v>5878180071</v>
      </c>
      <c r="D22" s="72">
        <f>+'RESUMEN FINAL'!E22</f>
        <v>715875851</v>
      </c>
      <c r="E22" s="82">
        <f t="shared" si="0"/>
        <v>8.2111724578903278</v>
      </c>
      <c r="G22" s="176">
        <v>14.984032525987699</v>
      </c>
      <c r="M22" s="41"/>
    </row>
    <row r="23" spans="1:13" x14ac:dyDescent="0.25">
      <c r="A23" s="69">
        <v>22</v>
      </c>
      <c r="B23" s="70" t="str">
        <f>+'RESUMEN FINAL'!B23</f>
        <v>PROYECTAR INGENIERIA S.A.S.</v>
      </c>
      <c r="C23" s="72">
        <f>+'RESUMEN FINAL'!D23</f>
        <v>8919817451</v>
      </c>
      <c r="D23" s="72">
        <f>+'RESUMEN FINAL'!E23</f>
        <v>3507290855</v>
      </c>
      <c r="E23" s="82">
        <f t="shared" si="0"/>
        <v>2.543221483409023</v>
      </c>
      <c r="G23" s="175">
        <v>18.030359282598837</v>
      </c>
      <c r="M23" s="41"/>
    </row>
    <row r="24" spans="1:13" x14ac:dyDescent="0.25">
      <c r="A24" s="69">
        <v>23</v>
      </c>
      <c r="B24" s="70" t="str">
        <f>+'RESUMEN FINAL'!B24</f>
        <v>INGENIERIA CIVIL Y GEODESIA SAS INCIGE SAS</v>
      </c>
      <c r="C24" s="72">
        <f>+'RESUMEN FINAL'!D24</f>
        <v>5165173605</v>
      </c>
      <c r="D24" s="72">
        <f>+'RESUMEN FINAL'!E24</f>
        <v>1044917204</v>
      </c>
      <c r="E24" s="82">
        <f t="shared" si="0"/>
        <v>4.9431415094204922</v>
      </c>
      <c r="G24" s="175">
        <v>19.851317400924909</v>
      </c>
      <c r="M24" s="41"/>
    </row>
    <row r="25" spans="1:13" x14ac:dyDescent="0.25">
      <c r="A25" s="69">
        <v>24</v>
      </c>
      <c r="B25" s="70" t="str">
        <f>+'RESUMEN FINAL'!B25</f>
        <v>ECODES INGENIERIA SAS</v>
      </c>
      <c r="C25" s="72">
        <f>+'RESUMEN FINAL'!D25</f>
        <v>8273098712</v>
      </c>
      <c r="D25" s="72">
        <f>+'RESUMEN FINAL'!E25</f>
        <v>2078640588</v>
      </c>
      <c r="E25" s="82">
        <f t="shared" si="0"/>
        <v>3.9800525207487194</v>
      </c>
      <c r="G25" s="145">
        <v>26.585423993238294</v>
      </c>
      <c r="M25" s="41"/>
    </row>
    <row r="26" spans="1:13" x14ac:dyDescent="0.25">
      <c r="A26" s="69">
        <v>25</v>
      </c>
      <c r="B26" s="70" t="str">
        <f>+'RESUMEN FINAL'!B26</f>
        <v>GRUCON S.A.S.</v>
      </c>
      <c r="C26" s="72">
        <f>+'RESUMEN FINAL'!D26</f>
        <v>14472403504</v>
      </c>
      <c r="D26" s="72">
        <f>+'RESUMEN FINAL'!E26</f>
        <v>3284885640</v>
      </c>
      <c r="E26" s="82">
        <f t="shared" si="0"/>
        <v>4.4057556609489756</v>
      </c>
      <c r="G26" s="121">
        <v>308.28148615820766</v>
      </c>
      <c r="M26" s="41"/>
    </row>
    <row r="27" spans="1:13" x14ac:dyDescent="0.25">
      <c r="A27" s="40"/>
      <c r="B27" s="140"/>
      <c r="C27" s="81"/>
      <c r="D27" s="81"/>
      <c r="E27" s="142"/>
      <c r="M27" s="41"/>
    </row>
    <row r="28" spans="1:13" x14ac:dyDescent="0.25">
      <c r="A28" s="40"/>
      <c r="B28" s="140"/>
      <c r="C28" s="81"/>
      <c r="D28" s="81"/>
      <c r="E28" s="142"/>
      <c r="M28" s="41"/>
    </row>
    <row r="29" spans="1:13" x14ac:dyDescent="0.25">
      <c r="A29" s="40"/>
      <c r="B29" s="140"/>
      <c r="C29" s="81"/>
      <c r="D29" s="81"/>
      <c r="E29" s="142"/>
      <c r="M29" s="41"/>
    </row>
    <row r="30" spans="1:13" x14ac:dyDescent="0.25">
      <c r="M30" s="41"/>
    </row>
    <row r="31" spans="1:13" ht="25.5" x14ac:dyDescent="0.25">
      <c r="A31" s="14" t="s">
        <v>0</v>
      </c>
      <c r="B31" s="14" t="s">
        <v>1</v>
      </c>
      <c r="C31" s="14" t="s">
        <v>4</v>
      </c>
      <c r="D31" s="14" t="s">
        <v>5</v>
      </c>
      <c r="E31" s="14" t="s">
        <v>27</v>
      </c>
      <c r="I31" s="38"/>
      <c r="J31" s="37"/>
      <c r="M31" s="41"/>
    </row>
    <row r="32" spans="1:13" x14ac:dyDescent="0.25">
      <c r="A32" s="69">
        <v>1</v>
      </c>
      <c r="B32" s="70" t="s">
        <v>43</v>
      </c>
      <c r="C32" s="119">
        <v>39414690882</v>
      </c>
      <c r="D32" s="119">
        <v>2799974091</v>
      </c>
      <c r="E32" s="82">
        <v>14.076805570698404</v>
      </c>
      <c r="M32" s="41"/>
    </row>
    <row r="33" spans="1:13" x14ac:dyDescent="0.25">
      <c r="A33" s="69">
        <v>2</v>
      </c>
      <c r="B33" s="70" t="s">
        <v>44</v>
      </c>
      <c r="C33" s="139">
        <v>12211452043</v>
      </c>
      <c r="D33" s="139">
        <v>3733560900</v>
      </c>
      <c r="E33" s="82">
        <v>3.2707252861470666</v>
      </c>
      <c r="M33" s="41"/>
    </row>
    <row r="34" spans="1:13" x14ac:dyDescent="0.25">
      <c r="A34" s="69">
        <v>3</v>
      </c>
      <c r="B34" s="70" t="s">
        <v>45</v>
      </c>
      <c r="C34" s="126">
        <v>8017692187</v>
      </c>
      <c r="D34" s="126">
        <v>444677339</v>
      </c>
      <c r="E34" s="82">
        <v>18.030359282598837</v>
      </c>
      <c r="M34" s="41"/>
    </row>
    <row r="35" spans="1:13" x14ac:dyDescent="0.25">
      <c r="A35" s="69">
        <v>4</v>
      </c>
      <c r="B35" s="77" t="s">
        <v>47</v>
      </c>
      <c r="C35" s="130">
        <v>1576919821</v>
      </c>
      <c r="D35" s="127">
        <v>59315203</v>
      </c>
      <c r="E35" s="82">
        <v>26.585423993238294</v>
      </c>
      <c r="M35" s="41"/>
    </row>
    <row r="36" spans="1:13" x14ac:dyDescent="0.25">
      <c r="A36" s="69">
        <v>5</v>
      </c>
      <c r="B36" s="70" t="s">
        <v>50</v>
      </c>
      <c r="C36" s="127">
        <v>4220409785</v>
      </c>
      <c r="D36" s="127">
        <v>1844946200</v>
      </c>
      <c r="E36" s="82">
        <v>2.2875516830788887</v>
      </c>
      <c r="M36" s="41"/>
    </row>
    <row r="37" spans="1:13" x14ac:dyDescent="0.25">
      <c r="A37" s="69">
        <v>6</v>
      </c>
      <c r="B37" s="70" t="s">
        <v>51</v>
      </c>
      <c r="C37" s="127">
        <v>13365875287</v>
      </c>
      <c r="D37" s="127">
        <v>6004596505</v>
      </c>
      <c r="E37" s="82">
        <v>2.2259406232992172</v>
      </c>
      <c r="M37" s="41"/>
    </row>
    <row r="38" spans="1:13" x14ac:dyDescent="0.25">
      <c r="A38" s="69">
        <v>7</v>
      </c>
      <c r="B38" s="70" t="s">
        <v>63</v>
      </c>
      <c r="C38" s="128">
        <v>2922048000</v>
      </c>
      <c r="D38" s="128">
        <v>740456000</v>
      </c>
      <c r="E38" s="82">
        <v>3.946281750704971</v>
      </c>
      <c r="M38" s="41"/>
    </row>
    <row r="39" spans="1:13" ht="25.5" x14ac:dyDescent="0.25">
      <c r="A39" s="69">
        <v>8</v>
      </c>
      <c r="B39" s="70" t="s">
        <v>60</v>
      </c>
      <c r="C39" s="126">
        <v>4457604105</v>
      </c>
      <c r="D39" s="126">
        <v>804679616</v>
      </c>
      <c r="E39" s="82">
        <v>5.5396011236849825</v>
      </c>
      <c r="M39" s="41"/>
    </row>
    <row r="40" spans="1:13" x14ac:dyDescent="0.25">
      <c r="A40" s="69">
        <v>9</v>
      </c>
      <c r="B40" s="70" t="s">
        <v>64</v>
      </c>
      <c r="C40" s="129">
        <v>5786155252</v>
      </c>
      <c r="D40" s="129">
        <v>18769065</v>
      </c>
      <c r="E40" s="82">
        <v>308.28148615820766</v>
      </c>
    </row>
    <row r="41" spans="1:13" x14ac:dyDescent="0.25">
      <c r="A41" s="69">
        <v>10</v>
      </c>
      <c r="B41" s="70" t="s">
        <v>53</v>
      </c>
      <c r="C41" s="129">
        <v>7033771586</v>
      </c>
      <c r="D41" s="129">
        <v>354322660</v>
      </c>
      <c r="E41" s="82">
        <v>19.851317400924909</v>
      </c>
    </row>
    <row r="42" spans="1:13" ht="26.25" customHeight="1" x14ac:dyDescent="0.25">
      <c r="A42" s="69">
        <v>11</v>
      </c>
      <c r="B42" s="70" t="s">
        <v>55</v>
      </c>
      <c r="C42" s="129">
        <v>27032499804</v>
      </c>
      <c r="D42" s="129">
        <v>6395228860</v>
      </c>
      <c r="E42" s="82">
        <v>4.2269792677912079</v>
      </c>
    </row>
    <row r="43" spans="1:13" x14ac:dyDescent="0.25">
      <c r="A43" s="69">
        <v>12</v>
      </c>
      <c r="B43" s="70" t="s">
        <v>56</v>
      </c>
      <c r="C43" s="129">
        <v>17179765402</v>
      </c>
      <c r="D43" s="129">
        <v>3039893442</v>
      </c>
      <c r="E43" s="82">
        <v>5.6514367130898924</v>
      </c>
    </row>
    <row r="44" spans="1:13" x14ac:dyDescent="0.25">
      <c r="A44" s="69">
        <v>13</v>
      </c>
      <c r="B44" s="70" t="s">
        <v>57</v>
      </c>
      <c r="C44" s="129">
        <v>14472403504</v>
      </c>
      <c r="D44" s="129">
        <v>3284885640</v>
      </c>
      <c r="E44" s="82">
        <v>4.4057556609489756</v>
      </c>
    </row>
    <row r="45" spans="1:13" x14ac:dyDescent="0.25">
      <c r="A45" s="69">
        <v>14</v>
      </c>
      <c r="B45" s="70" t="s">
        <v>41</v>
      </c>
      <c r="C45" s="129">
        <v>2662238091</v>
      </c>
      <c r="D45" s="129">
        <v>292609846</v>
      </c>
      <c r="E45" s="82">
        <v>9.0982519125484238</v>
      </c>
    </row>
    <row r="46" spans="1:13" x14ac:dyDescent="0.25">
      <c r="A46" s="69">
        <v>15</v>
      </c>
      <c r="B46" s="70" t="s">
        <v>62</v>
      </c>
      <c r="C46" s="129">
        <v>4808392174</v>
      </c>
      <c r="D46" s="129">
        <v>963422079</v>
      </c>
      <c r="E46" s="82">
        <v>4.9909507772449544</v>
      </c>
    </row>
    <row r="47" spans="1:13" x14ac:dyDescent="0.25">
      <c r="A47" s="69">
        <v>16</v>
      </c>
      <c r="B47" s="70" t="s">
        <v>49</v>
      </c>
      <c r="C47" s="129">
        <v>584740206</v>
      </c>
      <c r="D47" s="129">
        <v>42266017</v>
      </c>
      <c r="E47" s="82">
        <v>13.834760109995697</v>
      </c>
    </row>
    <row r="48" spans="1:13" ht="25.5" x14ac:dyDescent="0.25">
      <c r="A48" s="69">
        <v>17</v>
      </c>
      <c r="B48" s="70" t="s">
        <v>61</v>
      </c>
      <c r="C48" s="129">
        <v>364518044</v>
      </c>
      <c r="D48" s="129">
        <v>111385638</v>
      </c>
      <c r="E48" s="82">
        <v>3.2725767032909574</v>
      </c>
    </row>
    <row r="49" spans="1:5" x14ac:dyDescent="0.25">
      <c r="A49" s="69">
        <v>18</v>
      </c>
      <c r="B49" s="70" t="s">
        <v>54</v>
      </c>
      <c r="C49" s="129">
        <v>683349086</v>
      </c>
      <c r="D49" s="129">
        <v>73517646</v>
      </c>
      <c r="E49" s="82">
        <v>9.2950349090339479</v>
      </c>
    </row>
    <row r="50" spans="1:5" x14ac:dyDescent="0.25">
      <c r="A50" s="69">
        <v>19</v>
      </c>
      <c r="B50" s="70" t="s">
        <v>65</v>
      </c>
      <c r="C50" s="129">
        <v>2340952150</v>
      </c>
      <c r="D50" s="129">
        <v>156229783</v>
      </c>
      <c r="E50" s="82">
        <v>14.984032525987699</v>
      </c>
    </row>
    <row r="51" spans="1:5" x14ac:dyDescent="0.25">
      <c r="A51" s="69">
        <v>20</v>
      </c>
      <c r="B51" s="70" t="s">
        <v>58</v>
      </c>
      <c r="C51" s="129">
        <v>2385762693</v>
      </c>
      <c r="D51" s="129">
        <v>438660931</v>
      </c>
      <c r="E51" s="82">
        <v>5.4387398658030932</v>
      </c>
    </row>
    <row r="52" spans="1:5" x14ac:dyDescent="0.25">
      <c r="A52" s="69">
        <v>21</v>
      </c>
      <c r="B52" s="70" t="s">
        <v>32</v>
      </c>
      <c r="C52" s="129">
        <v>5878180071</v>
      </c>
      <c r="D52" s="129">
        <v>715875851</v>
      </c>
      <c r="E52" s="82">
        <v>8.2111724578903278</v>
      </c>
    </row>
    <row r="53" spans="1:5" x14ac:dyDescent="0.25">
      <c r="A53" s="69">
        <v>22</v>
      </c>
      <c r="B53" s="70" t="s">
        <v>66</v>
      </c>
      <c r="C53" s="129">
        <v>8919817451</v>
      </c>
      <c r="D53" s="129">
        <v>3507290855</v>
      </c>
      <c r="E53" s="82">
        <v>2.543221483409023</v>
      </c>
    </row>
    <row r="54" spans="1:5" x14ac:dyDescent="0.25">
      <c r="A54" s="69">
        <v>23</v>
      </c>
      <c r="B54" s="70" t="s">
        <v>98</v>
      </c>
      <c r="C54" s="129">
        <v>5165173605</v>
      </c>
      <c r="D54" s="129">
        <v>1044917204</v>
      </c>
      <c r="E54" s="82">
        <v>4.9431415094204922</v>
      </c>
    </row>
    <row r="55" spans="1:5" x14ac:dyDescent="0.25">
      <c r="A55" s="69">
        <v>24</v>
      </c>
      <c r="B55" s="70" t="s">
        <v>99</v>
      </c>
      <c r="C55" s="129">
        <v>8273098712</v>
      </c>
      <c r="D55" s="129">
        <v>2078640588</v>
      </c>
      <c r="E55" s="82">
        <v>3.9800525207487194</v>
      </c>
    </row>
    <row r="56" spans="1:5" x14ac:dyDescent="0.25">
      <c r="A56" s="69">
        <v>25</v>
      </c>
      <c r="B56" s="70" t="s">
        <v>57</v>
      </c>
      <c r="C56" s="129">
        <v>14472403504</v>
      </c>
      <c r="D56" s="129">
        <v>3284885640</v>
      </c>
      <c r="E56" s="82">
        <v>4.4057556609489756</v>
      </c>
    </row>
  </sheetData>
  <sortState xmlns:xlrd2="http://schemas.microsoft.com/office/spreadsheetml/2017/richdata2" ref="G2:G26">
    <sortCondition ref="G1:G26"/>
  </sortState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5"/>
  <sheetViews>
    <sheetView topLeftCell="A44" zoomScale="88" workbookViewId="0">
      <selection activeCell="B69" sqref="B69"/>
    </sheetView>
  </sheetViews>
  <sheetFormatPr baseColWidth="10" defaultColWidth="11.42578125" defaultRowHeight="12.75" x14ac:dyDescent="0.25"/>
  <cols>
    <col min="1" max="1" width="3.42578125" style="4" bestFit="1" customWidth="1"/>
    <col min="2" max="2" width="35.42578125" style="4" customWidth="1"/>
    <col min="3" max="3" width="14.7109375" style="4" customWidth="1"/>
    <col min="4" max="4" width="14.42578125" style="4" bestFit="1" customWidth="1"/>
    <col min="5" max="5" width="13.85546875" style="4" customWidth="1"/>
    <col min="6" max="6" width="3.42578125" style="4" customWidth="1"/>
    <col min="7" max="7" width="12.85546875" style="4" customWidth="1"/>
    <col min="8" max="9" width="11.42578125" style="4"/>
    <col min="10" max="10" width="14.28515625" style="4" customWidth="1"/>
    <col min="11" max="16384" width="11.42578125" style="4"/>
  </cols>
  <sheetData>
    <row r="1" spans="1:16" ht="25.5" x14ac:dyDescent="0.25">
      <c r="A1" s="14" t="s">
        <v>0</v>
      </c>
      <c r="B1" s="14" t="s">
        <v>1</v>
      </c>
      <c r="C1" s="14" t="s">
        <v>6</v>
      </c>
      <c r="D1" s="14" t="s">
        <v>7</v>
      </c>
      <c r="E1" s="15" t="s">
        <v>80</v>
      </c>
      <c r="G1" s="15" t="s">
        <v>80</v>
      </c>
    </row>
    <row r="2" spans="1:16" ht="18.75" customHeight="1" x14ac:dyDescent="0.25">
      <c r="A2" s="69">
        <v>1</v>
      </c>
      <c r="B2" s="70" t="str">
        <f>+'RESUMEN FINAL'!B2</f>
        <v>MONTAJES Y CONSTRUCCIONES FERMAR S.A.S</v>
      </c>
      <c r="C2" s="72">
        <f>+'RESUMEN FINAL'!F2</f>
        <v>48467746992</v>
      </c>
      <c r="D2" s="72">
        <f>+'RESUMEN FINAL'!G2</f>
        <v>17400757731</v>
      </c>
      <c r="E2" s="136">
        <f t="shared" ref="E2:E26" si="0">+D2/C2</f>
        <v>0.3590172601559577</v>
      </c>
      <c r="G2" s="31">
        <v>7.1868928824262754E-2</v>
      </c>
      <c r="I2" s="104" t="s">
        <v>68</v>
      </c>
      <c r="J2" s="112">
        <f>+COUNT($G$2:$G$26)</f>
        <v>25</v>
      </c>
      <c r="L2" s="106" t="s">
        <v>68</v>
      </c>
      <c r="M2" s="112">
        <f>+COUNT($G$2:$G$24)</f>
        <v>23</v>
      </c>
      <c r="O2" s="110"/>
    </row>
    <row r="3" spans="1:16" ht="13.5" x14ac:dyDescent="0.25">
      <c r="A3" s="69">
        <v>2</v>
      </c>
      <c r="B3" s="70" t="str">
        <f>+'RESUMEN FINAL'!B3</f>
        <v>SOFORESTA S.A.S.</v>
      </c>
      <c r="C3" s="72">
        <f>+'RESUMEN FINAL'!F3</f>
        <v>27742301191</v>
      </c>
      <c r="D3" s="72">
        <f>+'RESUMEN FINAL'!G3</f>
        <v>11288777843</v>
      </c>
      <c r="E3" s="136">
        <f t="shared" si="0"/>
        <v>0.40691569763009572</v>
      </c>
      <c r="G3" s="146">
        <v>0.16175994795411205</v>
      </c>
      <c r="I3" s="105" t="s">
        <v>69</v>
      </c>
      <c r="J3" s="113">
        <f>+QUARTILE($G$2:$G$26,0)</f>
        <v>7.1868928824262754E-2</v>
      </c>
      <c r="L3" s="105" t="s">
        <v>69</v>
      </c>
      <c r="M3" s="113">
        <f>+QUARTILE($G$2:$G$24,0)</f>
        <v>7.1868928824262754E-2</v>
      </c>
      <c r="P3" s="110"/>
    </row>
    <row r="4" spans="1:16" ht="13.5" x14ac:dyDescent="0.25">
      <c r="A4" s="69">
        <v>3</v>
      </c>
      <c r="B4" s="70" t="str">
        <f>+'RESUMEN FINAL'!B4</f>
        <v>AZUL URBANO LIMITADA</v>
      </c>
      <c r="C4" s="72">
        <f>+'RESUMEN FINAL'!F4</f>
        <v>8372491859</v>
      </c>
      <c r="D4" s="72">
        <f>+'RESUMEN FINAL'!G4</f>
        <v>6106962734</v>
      </c>
      <c r="E4" s="136">
        <f t="shared" si="0"/>
        <v>0.72940802294544216</v>
      </c>
      <c r="G4" s="31">
        <v>0.1891240476186874</v>
      </c>
      <c r="I4" s="105" t="s">
        <v>70</v>
      </c>
      <c r="J4" s="113">
        <f>+QUARTILE($G$2:$G$26,1)</f>
        <v>0.25908125441521718</v>
      </c>
      <c r="L4" s="105" t="s">
        <v>70</v>
      </c>
      <c r="M4" s="113">
        <f>+QUARTILE($G$2:$G$24,1)</f>
        <v>0.25434171706751335</v>
      </c>
      <c r="P4" s="110"/>
    </row>
    <row r="5" spans="1:16" ht="13.5" x14ac:dyDescent="0.25">
      <c r="A5" s="69">
        <v>4</v>
      </c>
      <c r="B5" s="70" t="str">
        <f>+'RESUMEN FINAL'!B5</f>
        <v>C.I. HIDRO GEO S.A.S.</v>
      </c>
      <c r="C5" s="72">
        <f>+'RESUMEN FINAL'!F5</f>
        <v>1676213679</v>
      </c>
      <c r="D5" s="72">
        <f>+'RESUMEN FINAL'!G5</f>
        <v>682408278</v>
      </c>
      <c r="E5" s="136">
        <f t="shared" si="0"/>
        <v>0.40711293944762039</v>
      </c>
      <c r="G5" s="31">
        <v>0.21148795404004683</v>
      </c>
      <c r="I5" s="105" t="s">
        <v>71</v>
      </c>
      <c r="J5" s="113">
        <f>+QUARTILE($G$2:$G$26,2)</f>
        <v>0.35320537181995265</v>
      </c>
      <c r="L5" s="105" t="s">
        <v>71</v>
      </c>
      <c r="M5" s="113">
        <f>+QUARTILE($G$2:$G$24,2)</f>
        <v>0.34127995770918873</v>
      </c>
      <c r="P5" s="110"/>
    </row>
    <row r="6" spans="1:16" ht="13.5" x14ac:dyDescent="0.25">
      <c r="A6" s="69">
        <v>5</v>
      </c>
      <c r="B6" s="70" t="str">
        <f>+'RESUMEN FINAL'!B6</f>
        <v>DESARROLLAMOS INGENIERIA S.A.S.</v>
      </c>
      <c r="C6" s="72">
        <f>+'RESUMEN FINAL'!F6</f>
        <v>5820229847</v>
      </c>
      <c r="D6" s="72">
        <f>+'RESUMEN FINAL'!G6</f>
        <v>1851177485</v>
      </c>
      <c r="E6" s="136">
        <f t="shared" si="0"/>
        <v>0.31805917183050381</v>
      </c>
      <c r="G6" s="146">
        <v>0.22218205708448391</v>
      </c>
      <c r="I6" s="105" t="s">
        <v>72</v>
      </c>
      <c r="J6" s="114">
        <f>+QUARTILE($G$2:$G$26,3)</f>
        <v>0.40711293944762039</v>
      </c>
      <c r="L6" s="144" t="s">
        <v>72</v>
      </c>
      <c r="M6" s="114">
        <f>+QUARTILE($G$2:$G$24,3)</f>
        <v>0.3916615944807712</v>
      </c>
      <c r="P6" s="110"/>
    </row>
    <row r="7" spans="1:16" ht="13.5" x14ac:dyDescent="0.25">
      <c r="A7" s="69">
        <v>6</v>
      </c>
      <c r="B7" s="70" t="str">
        <f>+'RESUMEN FINAL'!B7</f>
        <v>ETEL LTDA EN REORGANIZACION</v>
      </c>
      <c r="C7" s="72">
        <f>+'RESUMEN FINAL'!F7</f>
        <v>14042100287</v>
      </c>
      <c r="D7" s="72">
        <f>+'RESUMEN FINAL'!G7</f>
        <v>9551737187</v>
      </c>
      <c r="E7" s="136">
        <f t="shared" si="0"/>
        <v>0.68022140504457718</v>
      </c>
      <c r="G7" s="31">
        <v>0.2496021797198095</v>
      </c>
      <c r="I7" s="105" t="s">
        <v>73</v>
      </c>
      <c r="J7" s="113">
        <f>+QUARTILE($G$2:$G$26,4)</f>
        <v>0.72940802294544216</v>
      </c>
      <c r="L7" s="105" t="s">
        <v>73</v>
      </c>
      <c r="M7" s="113">
        <f>+QUARTILE($G$2:$G$24,4)</f>
        <v>0.58280296826267752</v>
      </c>
      <c r="P7" s="110"/>
    </row>
    <row r="8" spans="1:16" ht="13.5" x14ac:dyDescent="0.25">
      <c r="A8" s="69">
        <v>7</v>
      </c>
      <c r="B8" s="70" t="str">
        <f>+'RESUMEN FINAL'!B8</f>
        <v>NEW GAS AND OIL S.A.S</v>
      </c>
      <c r="C8" s="72">
        <f>+'RESUMEN FINAL'!F8</f>
        <v>4577499000</v>
      </c>
      <c r="D8" s="72">
        <f>+'RESUMEN FINAL'!G8</f>
        <v>740456000</v>
      </c>
      <c r="E8" s="136">
        <f t="shared" si="0"/>
        <v>0.16175994795411205</v>
      </c>
      <c r="G8" s="146">
        <v>0.25908125441521718</v>
      </c>
      <c r="I8" s="105" t="s">
        <v>74</v>
      </c>
      <c r="J8" s="113">
        <f>+J6-J4</f>
        <v>0.14803168503240322</v>
      </c>
      <c r="L8" s="105" t="s">
        <v>74</v>
      </c>
      <c r="M8" s="113">
        <f>+M6-M4</f>
        <v>0.13731987741325785</v>
      </c>
      <c r="P8" s="110"/>
    </row>
    <row r="9" spans="1:16" ht="25.5" x14ac:dyDescent="0.25">
      <c r="A9" s="69">
        <v>8</v>
      </c>
      <c r="B9" s="70" t="str">
        <f>+'RESUMEN FINAL'!B9</f>
        <v>INGENIERÍA Y CONSTRUCCIÓN PALACIO BAENA S.A.S.</v>
      </c>
      <c r="C9" s="72">
        <f>+'RESUMEN FINAL'!F9</f>
        <v>4464618305</v>
      </c>
      <c r="D9" s="72">
        <f>+'RESUMEN FINAL'!G9</f>
        <v>1260419362</v>
      </c>
      <c r="E9" s="136">
        <f t="shared" si="0"/>
        <v>0.28231290468626075</v>
      </c>
      <c r="G9" s="31">
        <v>0.26777738668850881</v>
      </c>
      <c r="I9" s="105" t="s">
        <v>75</v>
      </c>
      <c r="J9" s="113">
        <f>+J4-(J8*1.5)</f>
        <v>3.7033726866612354E-2</v>
      </c>
      <c r="L9" s="105" t="s">
        <v>75</v>
      </c>
      <c r="M9" s="113">
        <f>+M4-(M8*1.5)</f>
        <v>4.8361900947626574E-2</v>
      </c>
      <c r="P9" s="110"/>
    </row>
    <row r="10" spans="1:16" ht="13.5" x14ac:dyDescent="0.25">
      <c r="A10" s="69">
        <v>9</v>
      </c>
      <c r="B10" s="70" t="str">
        <f>+'RESUMEN FINAL'!B10</f>
        <v>O R INGENIERIA S A S</v>
      </c>
      <c r="C10" s="72">
        <f>+'RESUMEN FINAL'!F10</f>
        <v>8118397633</v>
      </c>
      <c r="D10" s="72">
        <f>+'RESUMEN FINAL'!G10</f>
        <v>3383683898</v>
      </c>
      <c r="E10" s="136">
        <f t="shared" si="0"/>
        <v>0.41679208767083065</v>
      </c>
      <c r="G10" s="31">
        <v>0.28231290468626075</v>
      </c>
      <c r="I10" s="109" t="s">
        <v>76</v>
      </c>
      <c r="J10" s="113">
        <f>+J6+(J8*1.5)</f>
        <v>0.62916046699622519</v>
      </c>
      <c r="L10" s="109" t="s">
        <v>76</v>
      </c>
      <c r="M10" s="113">
        <f>+M6+(M8*1.5)</f>
        <v>0.59764141060065801</v>
      </c>
      <c r="O10" s="54"/>
      <c r="P10" s="110"/>
    </row>
    <row r="11" spans="1:16" ht="13.5" x14ac:dyDescent="0.25">
      <c r="A11" s="69">
        <v>10</v>
      </c>
      <c r="B11" s="70" t="str">
        <f>+'RESUMEN FINAL'!B11</f>
        <v>G63 INFRAESTRUCTURA Y SERVICIOS S.A.S</v>
      </c>
      <c r="C11" s="72">
        <f>+'RESUMEN FINAL'!F11</f>
        <v>7301771715</v>
      </c>
      <c r="D11" s="72">
        <f>+'RESUMEN FINAL'!G11</f>
        <v>1622322660</v>
      </c>
      <c r="E11" s="136">
        <f t="shared" si="0"/>
        <v>0.22218205708448391</v>
      </c>
      <c r="G11" s="146">
        <v>0.31147672805370336</v>
      </c>
      <c r="I11" s="109" t="s">
        <v>77</v>
      </c>
      <c r="J11" s="113">
        <f>+MEDIAN($G$2:$G$26)</f>
        <v>0.35320537181995265</v>
      </c>
      <c r="L11" s="109" t="s">
        <v>77</v>
      </c>
      <c r="M11" s="113">
        <f>+MEDIAN($G$2:$G$24)</f>
        <v>0.34127995770918873</v>
      </c>
      <c r="O11" s="54"/>
      <c r="P11" s="54"/>
    </row>
    <row r="12" spans="1:16" ht="13.5" x14ac:dyDescent="0.25">
      <c r="A12" s="69">
        <v>11</v>
      </c>
      <c r="B12" s="70" t="str">
        <f>+'RESUMEN FINAL'!B12</f>
        <v>INGENIERIA JOULES M. E. C. S.A.S.</v>
      </c>
      <c r="C12" s="72">
        <f>+'RESUMEN FINAL'!F12</f>
        <v>49279486809</v>
      </c>
      <c r="D12" s="72">
        <f>+'RESUMEN FINAL'!G12</f>
        <v>12300267323</v>
      </c>
      <c r="E12" s="136">
        <f t="shared" si="0"/>
        <v>0.2496021797198095</v>
      </c>
      <c r="G12" s="31">
        <v>0.31805917183050381</v>
      </c>
      <c r="I12" s="105" t="s">
        <v>78</v>
      </c>
      <c r="J12" s="113">
        <f>+AVERAGE($G$2:$G$26)</f>
        <v>0.36297063025085163</v>
      </c>
      <c r="L12" s="105" t="s">
        <v>78</v>
      </c>
      <c r="M12" s="113">
        <f>+AVERAGE($G$2:$G$24)</f>
        <v>0.33324505775135965</v>
      </c>
      <c r="P12" s="54"/>
    </row>
    <row r="13" spans="1:16" ht="13.5" x14ac:dyDescent="0.25">
      <c r="A13" s="69">
        <v>12</v>
      </c>
      <c r="B13" s="70" t="str">
        <f>+'RESUMEN FINAL'!B13</f>
        <v>CONSTRUCCIONES AL DIA SAS</v>
      </c>
      <c r="C13" s="72">
        <f>+'RESUMEN FINAL'!F13</f>
        <v>27644494607</v>
      </c>
      <c r="D13" s="72">
        <f>+'RESUMEN FINAL'!G13</f>
        <v>10305363350</v>
      </c>
      <c r="E13" s="136">
        <f t="shared" si="0"/>
        <v>0.37278175985863482</v>
      </c>
      <c r="G13" s="31">
        <v>0.34127995770918873</v>
      </c>
      <c r="I13" s="105" t="s">
        <v>79</v>
      </c>
      <c r="J13" s="113">
        <f>+STDEVA($G$2:$G$26,0)</f>
        <v>0.17208643315319161</v>
      </c>
      <c r="L13" s="105" t="s">
        <v>79</v>
      </c>
      <c r="M13" s="113">
        <f>+STDEVA($G$2:$G$24,0)</f>
        <v>0.14216351630369081</v>
      </c>
      <c r="P13" s="110"/>
    </row>
    <row r="14" spans="1:16" x14ac:dyDescent="0.25">
      <c r="A14" s="69">
        <v>13</v>
      </c>
      <c r="B14" s="70" t="str">
        <f>+'RESUMEN FINAL'!B14</f>
        <v>GRUCON S.A.S.</v>
      </c>
      <c r="C14" s="72">
        <f>+'RESUMEN FINAL'!F14</f>
        <v>14993414722</v>
      </c>
      <c r="D14" s="72">
        <f>+'RESUMEN FINAL'!G14</f>
        <v>5643633622</v>
      </c>
      <c r="E14" s="136">
        <f t="shared" si="0"/>
        <v>0.37640749133144669</v>
      </c>
      <c r="G14" s="31">
        <v>0.35320537181995265</v>
      </c>
      <c r="J14" s="17"/>
      <c r="L14" s="149" t="s">
        <v>84</v>
      </c>
      <c r="M14" s="150">
        <f>M11+M13</f>
        <v>0.48344347401287957</v>
      </c>
    </row>
    <row r="15" spans="1:16" x14ac:dyDescent="0.25">
      <c r="A15" s="69">
        <v>14</v>
      </c>
      <c r="B15" s="70" t="str">
        <f>+'RESUMEN FINAL'!B15</f>
        <v>ANDEAN GEOLOGICAL SERVICES LIMITADA A.G.S.</v>
      </c>
      <c r="C15" s="72">
        <f>+'RESUMEN FINAL'!F15</f>
        <v>2866552218</v>
      </c>
      <c r="D15" s="72">
        <f>+'RESUMEN FINAL'!G15</f>
        <v>1012481642</v>
      </c>
      <c r="E15" s="136">
        <f t="shared" si="0"/>
        <v>0.35320537181995265</v>
      </c>
      <c r="G15" s="31">
        <v>0.3590172601559577</v>
      </c>
      <c r="J15" s="17"/>
      <c r="M15" s="17"/>
    </row>
    <row r="16" spans="1:16" x14ac:dyDescent="0.25">
      <c r="A16" s="69">
        <v>15</v>
      </c>
      <c r="B16" s="70" t="str">
        <f>+'RESUMEN FINAL'!B16</f>
        <v>JAM INGENIERIA Y MEDIO AMBIENTE SAS</v>
      </c>
      <c r="C16" s="72">
        <f>+'RESUMEN FINAL'!F16</f>
        <v>6597253440</v>
      </c>
      <c r="D16" s="72">
        <f>+'RESUMEN FINAL'!G16</f>
        <v>2251510375</v>
      </c>
      <c r="E16" s="136">
        <f t="shared" si="0"/>
        <v>0.34127995770918873</v>
      </c>
      <c r="G16" s="31">
        <v>0.37278175985863482</v>
      </c>
    </row>
    <row r="17" spans="1:7" x14ac:dyDescent="0.25">
      <c r="A17" s="69">
        <v>16</v>
      </c>
      <c r="B17" s="70" t="str">
        <f>+'RESUMEN FINAL'!B17</f>
        <v>CRATOS SOLUCIONES INTEGRALES SAS</v>
      </c>
      <c r="C17" s="72">
        <f>+'RESUMEN FINAL'!F17</f>
        <v>588098608</v>
      </c>
      <c r="D17" s="72">
        <f>+'RESUMEN FINAL'!G17</f>
        <v>42266017</v>
      </c>
      <c r="E17" s="136">
        <f t="shared" si="0"/>
        <v>7.1868928824262754E-2</v>
      </c>
      <c r="G17" s="31">
        <v>0.37640749133144669</v>
      </c>
    </row>
    <row r="18" spans="1:7" ht="25.5" x14ac:dyDescent="0.25">
      <c r="A18" s="69">
        <v>17</v>
      </c>
      <c r="B18" s="70" t="str">
        <f>+'RESUMEN FINAL'!B18</f>
        <v>INGENIERIA Y GESTION DE LA INFORMACION LIMITADA INGFOCOL</v>
      </c>
      <c r="C18" s="72">
        <f>+'RESUMEN FINAL'!F18</f>
        <v>415963571</v>
      </c>
      <c r="D18" s="72">
        <f>+'RESUMEN FINAL'!G18</f>
        <v>111385638</v>
      </c>
      <c r="E18" s="136">
        <f t="shared" si="0"/>
        <v>0.26777738668850881</v>
      </c>
      <c r="G18" s="31">
        <v>0.37640749133144669</v>
      </c>
    </row>
    <row r="19" spans="1:7" x14ac:dyDescent="0.25">
      <c r="A19" s="69">
        <v>18</v>
      </c>
      <c r="B19" s="70" t="str">
        <f>+'RESUMEN FINAL'!B19</f>
        <v>HIDRODUCTOS S.A.S</v>
      </c>
      <c r="C19" s="72">
        <f>+'RESUMEN FINAL'!F19</f>
        <v>752832259</v>
      </c>
      <c r="D19" s="72">
        <f>+'RESUMEN FINAL'!G19</f>
        <v>142378684</v>
      </c>
      <c r="E19" s="136">
        <f t="shared" si="0"/>
        <v>0.1891240476186874</v>
      </c>
      <c r="G19" s="31">
        <v>0.40691569763009572</v>
      </c>
    </row>
    <row r="20" spans="1:7" x14ac:dyDescent="0.25">
      <c r="A20" s="69">
        <v>19</v>
      </c>
      <c r="B20" s="70" t="str">
        <f>+'RESUMEN FINAL'!B20</f>
        <v>RM INGENIEROS S.A.S</v>
      </c>
      <c r="C20" s="72">
        <f>+'RESUMEN FINAL'!F20</f>
        <v>2869457406</v>
      </c>
      <c r="D20" s="72">
        <f>+'RESUMEN FINAL'!G20</f>
        <v>606855676</v>
      </c>
      <c r="E20" s="136">
        <f t="shared" si="0"/>
        <v>0.21148795404004683</v>
      </c>
      <c r="G20" s="31">
        <v>0.40711293944762039</v>
      </c>
    </row>
    <row r="21" spans="1:7" x14ac:dyDescent="0.25">
      <c r="A21" s="69">
        <v>20</v>
      </c>
      <c r="B21" s="70" t="str">
        <f>+'RESUMEN FINAL'!B21</f>
        <v>HYMAC INGENIERIA SAS</v>
      </c>
      <c r="C21" s="72">
        <f>+'RESUMEN FINAL'!F21</f>
        <v>3653359380</v>
      </c>
      <c r="D21" s="72">
        <f>+'RESUMEN FINAL'!G21</f>
        <v>946516931</v>
      </c>
      <c r="E21" s="136">
        <f t="shared" si="0"/>
        <v>0.25908125441521718</v>
      </c>
      <c r="G21" s="31">
        <v>0.41679208767083065</v>
      </c>
    </row>
    <row r="22" spans="1:7" x14ac:dyDescent="0.25">
      <c r="A22" s="69">
        <v>21</v>
      </c>
      <c r="B22" s="70" t="str">
        <f>+'RESUMEN FINAL'!B22</f>
        <v>AITEC S.A.S</v>
      </c>
      <c r="C22" s="72">
        <f>+'RESUMEN FINAL'!F22</f>
        <v>6610735279</v>
      </c>
      <c r="D22" s="72">
        <f>+'RESUMEN FINAL'!G22</f>
        <v>3852756143</v>
      </c>
      <c r="E22" s="136">
        <f t="shared" si="0"/>
        <v>0.58280296826267752</v>
      </c>
      <c r="G22" s="31">
        <v>0.56258145882990029</v>
      </c>
    </row>
    <row r="23" spans="1:7" x14ac:dyDescent="0.25">
      <c r="A23" s="69">
        <v>22</v>
      </c>
      <c r="B23" s="70" t="str">
        <f>+'RESUMEN FINAL'!B23</f>
        <v>PROYECTAR INGENIERIA S.A.S.</v>
      </c>
      <c r="C23" s="72">
        <f>+'RESUMEN FINAL'!F23</f>
        <v>11425064329</v>
      </c>
      <c r="D23" s="72">
        <f>+'RESUMEN FINAL'!G23</f>
        <v>3558641655</v>
      </c>
      <c r="E23" s="136">
        <f t="shared" si="0"/>
        <v>0.31147672805370336</v>
      </c>
      <c r="G23" s="146">
        <v>0.56459928331792431</v>
      </c>
    </row>
    <row r="24" spans="1:7" x14ac:dyDescent="0.25">
      <c r="A24" s="69">
        <v>23</v>
      </c>
      <c r="B24" s="70" t="str">
        <f>+'RESUMEN FINAL'!B24</f>
        <v>INGENIERIA CIVIL Y GEODESIA SAS INCIGE SAS</v>
      </c>
      <c r="C24" s="72">
        <f>+'RESUMEN FINAL'!F24</f>
        <v>5175812994</v>
      </c>
      <c r="D24" s="72">
        <f>+'RESUMEN FINAL'!G24</f>
        <v>2922260307</v>
      </c>
      <c r="E24" s="136">
        <f t="shared" si="0"/>
        <v>0.56459928331792431</v>
      </c>
      <c r="G24" s="146">
        <v>0.58280296826267752</v>
      </c>
    </row>
    <row r="25" spans="1:7" x14ac:dyDescent="0.25">
      <c r="A25" s="69">
        <v>24</v>
      </c>
      <c r="B25" s="70" t="str">
        <f>+'RESUMEN FINAL'!B25</f>
        <v>ECODES INGENIERIA SAS</v>
      </c>
      <c r="C25" s="72">
        <f>+'RESUMEN FINAL'!F25</f>
        <v>12038211526</v>
      </c>
      <c r="D25" s="72">
        <f>+'RESUMEN FINAL'!G25</f>
        <v>6772474602</v>
      </c>
      <c r="E25" s="136">
        <f t="shared" si="0"/>
        <v>0.56258145882990029</v>
      </c>
      <c r="G25" s="143">
        <v>0.68022140504457718</v>
      </c>
    </row>
    <row r="26" spans="1:7" x14ac:dyDescent="0.25">
      <c r="A26" s="69">
        <v>25</v>
      </c>
      <c r="B26" s="70" t="str">
        <f>+'RESUMEN FINAL'!B26</f>
        <v>GRUCON S.A.S.</v>
      </c>
      <c r="C26" s="72">
        <f>+'RESUMEN FINAL'!F26</f>
        <v>14993414722</v>
      </c>
      <c r="D26" s="72">
        <f>+'RESUMEN FINAL'!G26</f>
        <v>5643633622</v>
      </c>
      <c r="E26" s="136">
        <f t="shared" si="0"/>
        <v>0.37640749133144669</v>
      </c>
      <c r="G26" s="143">
        <v>0.72940802294544216</v>
      </c>
    </row>
    <row r="27" spans="1:7" x14ac:dyDescent="0.25">
      <c r="A27" s="67"/>
      <c r="B27" s="140"/>
      <c r="C27" s="81"/>
      <c r="D27" s="81"/>
      <c r="E27" s="147"/>
    </row>
    <row r="28" spans="1:7" x14ac:dyDescent="0.25">
      <c r="A28" s="67"/>
      <c r="B28" s="140"/>
      <c r="C28" s="81"/>
      <c r="D28" s="81"/>
      <c r="E28" s="147"/>
    </row>
    <row r="30" spans="1:7" ht="25.5" x14ac:dyDescent="0.25">
      <c r="A30" s="14" t="s">
        <v>0</v>
      </c>
      <c r="B30" s="14" t="s">
        <v>1</v>
      </c>
      <c r="C30" s="14" t="s">
        <v>6</v>
      </c>
      <c r="D30" s="14" t="s">
        <v>7</v>
      </c>
      <c r="E30" s="15" t="s">
        <v>80</v>
      </c>
    </row>
    <row r="31" spans="1:7" x14ac:dyDescent="0.25">
      <c r="A31" s="69">
        <v>1</v>
      </c>
      <c r="B31" s="70" t="s">
        <v>43</v>
      </c>
      <c r="C31" s="119">
        <v>48467746992</v>
      </c>
      <c r="D31" s="119">
        <v>17400757731</v>
      </c>
      <c r="E31" s="136">
        <v>0.3590172601559577</v>
      </c>
    </row>
    <row r="32" spans="1:7" x14ac:dyDescent="0.25">
      <c r="A32" s="69">
        <v>2</v>
      </c>
      <c r="B32" s="70" t="s">
        <v>44</v>
      </c>
      <c r="C32" s="126">
        <v>27742301191</v>
      </c>
      <c r="D32" s="126">
        <v>11288777843</v>
      </c>
      <c r="E32" s="136">
        <v>0.40691569763009572</v>
      </c>
    </row>
    <row r="33" spans="1:7" x14ac:dyDescent="0.25">
      <c r="A33" s="69">
        <v>3</v>
      </c>
      <c r="B33" s="70" t="s">
        <v>45</v>
      </c>
      <c r="C33" s="127">
        <v>8372491859</v>
      </c>
      <c r="D33" s="127">
        <v>6106962734</v>
      </c>
      <c r="E33" s="136">
        <v>0.72940802294544216</v>
      </c>
    </row>
    <row r="34" spans="1:7" x14ac:dyDescent="0.25">
      <c r="A34" s="69">
        <v>4</v>
      </c>
      <c r="B34" s="77" t="s">
        <v>47</v>
      </c>
      <c r="C34" s="127">
        <v>1676213679</v>
      </c>
      <c r="D34" s="127">
        <v>682408278</v>
      </c>
      <c r="E34" s="136">
        <v>0.40711293944762039</v>
      </c>
    </row>
    <row r="35" spans="1:7" x14ac:dyDescent="0.25">
      <c r="A35" s="69">
        <v>5</v>
      </c>
      <c r="B35" s="70" t="s">
        <v>50</v>
      </c>
      <c r="C35" s="128">
        <v>5820229847</v>
      </c>
      <c r="D35" s="128">
        <v>1851177485</v>
      </c>
      <c r="E35" s="136">
        <v>0.31805917183050381</v>
      </c>
    </row>
    <row r="36" spans="1:7" x14ac:dyDescent="0.25">
      <c r="A36" s="69">
        <v>6</v>
      </c>
      <c r="B36" s="70" t="s">
        <v>51</v>
      </c>
      <c r="C36" s="126">
        <v>14042100287</v>
      </c>
      <c r="D36" s="126">
        <v>9551737187</v>
      </c>
      <c r="E36" s="136">
        <v>0.68022140504457718</v>
      </c>
    </row>
    <row r="37" spans="1:7" x14ac:dyDescent="0.25">
      <c r="A37" s="69">
        <v>7</v>
      </c>
      <c r="B37" s="70" t="s">
        <v>63</v>
      </c>
      <c r="C37" s="129">
        <v>4577499000</v>
      </c>
      <c r="D37" s="129">
        <v>740456000</v>
      </c>
      <c r="E37" s="136">
        <v>0.16175994795411205</v>
      </c>
    </row>
    <row r="38" spans="1:7" ht="25.5" x14ac:dyDescent="0.25">
      <c r="A38" s="69">
        <v>8</v>
      </c>
      <c r="B38" s="70" t="s">
        <v>60</v>
      </c>
      <c r="C38" s="128">
        <v>4464618305</v>
      </c>
      <c r="D38" s="128">
        <v>1260419362</v>
      </c>
      <c r="E38" s="136">
        <v>0.28231290468626075</v>
      </c>
      <c r="G38" s="42"/>
    </row>
    <row r="39" spans="1:7" x14ac:dyDescent="0.25">
      <c r="A39" s="69">
        <v>9</v>
      </c>
      <c r="B39" s="70" t="s">
        <v>64</v>
      </c>
      <c r="C39" s="126">
        <v>8118397633</v>
      </c>
      <c r="D39" s="126">
        <v>3383683898</v>
      </c>
      <c r="E39" s="136">
        <v>0.41679208767083065</v>
      </c>
    </row>
    <row r="40" spans="1:7" x14ac:dyDescent="0.25">
      <c r="A40" s="69">
        <v>10</v>
      </c>
      <c r="B40" s="70" t="s">
        <v>53</v>
      </c>
      <c r="C40" s="130">
        <v>7301771715</v>
      </c>
      <c r="D40" s="130">
        <v>1622322660</v>
      </c>
      <c r="E40" s="136">
        <v>0.22218205708448391</v>
      </c>
    </row>
    <row r="41" spans="1:7" x14ac:dyDescent="0.25">
      <c r="A41" s="69">
        <v>11</v>
      </c>
      <c r="B41" s="70" t="s">
        <v>55</v>
      </c>
      <c r="C41" s="130">
        <v>49279486809</v>
      </c>
      <c r="D41" s="130">
        <v>12300267323</v>
      </c>
      <c r="E41" s="136">
        <v>0.2496021797198095</v>
      </c>
    </row>
    <row r="42" spans="1:7" x14ac:dyDescent="0.25">
      <c r="A42" s="69">
        <v>12</v>
      </c>
      <c r="B42" s="70" t="s">
        <v>56</v>
      </c>
      <c r="C42" s="126">
        <v>27644494607</v>
      </c>
      <c r="D42" s="126">
        <v>10305363350</v>
      </c>
      <c r="E42" s="136">
        <v>0.37278175985863482</v>
      </c>
    </row>
    <row r="43" spans="1:7" x14ac:dyDescent="0.25">
      <c r="A43" s="69">
        <v>13</v>
      </c>
      <c r="B43" s="70" t="s">
        <v>57</v>
      </c>
      <c r="C43" s="126">
        <v>14993414722</v>
      </c>
      <c r="D43" s="126">
        <v>5643633622</v>
      </c>
      <c r="E43" s="136">
        <v>0.37640749133144669</v>
      </c>
    </row>
    <row r="44" spans="1:7" x14ac:dyDescent="0.25">
      <c r="A44" s="69">
        <v>14</v>
      </c>
      <c r="B44" s="70" t="s">
        <v>41</v>
      </c>
      <c r="C44" s="126">
        <v>2866552218</v>
      </c>
      <c r="D44" s="126">
        <v>1012481642</v>
      </c>
      <c r="E44" s="136">
        <v>0.35320537181995265</v>
      </c>
    </row>
    <row r="45" spans="1:7" x14ac:dyDescent="0.25">
      <c r="A45" s="69">
        <v>15</v>
      </c>
      <c r="B45" s="70" t="s">
        <v>62</v>
      </c>
      <c r="C45" s="126">
        <v>6597253440</v>
      </c>
      <c r="D45" s="126">
        <v>2251510375</v>
      </c>
      <c r="E45" s="136">
        <v>0.34127995770918873</v>
      </c>
    </row>
    <row r="46" spans="1:7" x14ac:dyDescent="0.25">
      <c r="A46" s="69">
        <v>16</v>
      </c>
      <c r="B46" s="70" t="s">
        <v>49</v>
      </c>
      <c r="C46" s="126">
        <v>588098608</v>
      </c>
      <c r="D46" s="126">
        <v>42266017</v>
      </c>
      <c r="E46" s="136">
        <v>7.1868928824262754E-2</v>
      </c>
    </row>
    <row r="47" spans="1:7" ht="25.5" x14ac:dyDescent="0.25">
      <c r="A47" s="69">
        <v>17</v>
      </c>
      <c r="B47" s="70" t="s">
        <v>61</v>
      </c>
      <c r="C47" s="126">
        <v>415963571</v>
      </c>
      <c r="D47" s="126">
        <v>111385638</v>
      </c>
      <c r="E47" s="136">
        <v>0.26777738668850881</v>
      </c>
    </row>
    <row r="48" spans="1:7" x14ac:dyDescent="0.25">
      <c r="A48" s="69">
        <v>18</v>
      </c>
      <c r="B48" s="70" t="s">
        <v>54</v>
      </c>
      <c r="C48" s="126">
        <v>752832259</v>
      </c>
      <c r="D48" s="126">
        <v>142378684</v>
      </c>
      <c r="E48" s="136">
        <v>0.1891240476186874</v>
      </c>
    </row>
    <row r="49" spans="1:5" x14ac:dyDescent="0.25">
      <c r="A49" s="69">
        <v>19</v>
      </c>
      <c r="B49" s="70" t="s">
        <v>65</v>
      </c>
      <c r="C49" s="126">
        <v>2869457406</v>
      </c>
      <c r="D49" s="126">
        <v>606855676</v>
      </c>
      <c r="E49" s="136">
        <v>0.21148795404004683</v>
      </c>
    </row>
    <row r="50" spans="1:5" x14ac:dyDescent="0.25">
      <c r="A50" s="69">
        <v>20</v>
      </c>
      <c r="B50" s="70" t="s">
        <v>58</v>
      </c>
      <c r="C50" s="127">
        <v>3653359380</v>
      </c>
      <c r="D50" s="127">
        <v>946516931</v>
      </c>
      <c r="E50" s="136">
        <v>0.25908125441521718</v>
      </c>
    </row>
    <row r="51" spans="1:5" x14ac:dyDescent="0.25">
      <c r="A51" s="69">
        <v>21</v>
      </c>
      <c r="B51" s="70" t="s">
        <v>32</v>
      </c>
      <c r="C51" s="126">
        <v>6610735279</v>
      </c>
      <c r="D51" s="126">
        <v>3852756143</v>
      </c>
      <c r="E51" s="136">
        <v>0.58280296826267752</v>
      </c>
    </row>
    <row r="52" spans="1:5" x14ac:dyDescent="0.25">
      <c r="A52" s="69">
        <v>22</v>
      </c>
      <c r="B52" s="70" t="s">
        <v>66</v>
      </c>
      <c r="C52" s="126">
        <v>11425064329</v>
      </c>
      <c r="D52" s="126">
        <v>3558641655</v>
      </c>
      <c r="E52" s="136">
        <v>0.31147672805370336</v>
      </c>
    </row>
    <row r="53" spans="1:5" x14ac:dyDescent="0.25">
      <c r="A53" s="69">
        <v>23</v>
      </c>
      <c r="B53" s="70" t="s">
        <v>98</v>
      </c>
      <c r="C53" s="119">
        <v>5175812994</v>
      </c>
      <c r="D53" s="119">
        <v>2922260307</v>
      </c>
      <c r="E53" s="136">
        <v>0.56459928331792431</v>
      </c>
    </row>
    <row r="54" spans="1:5" x14ac:dyDescent="0.25">
      <c r="A54" s="69">
        <v>24</v>
      </c>
      <c r="B54" s="70" t="s">
        <v>99</v>
      </c>
      <c r="C54" s="126">
        <v>12038211526</v>
      </c>
      <c r="D54" s="126">
        <v>6772474602</v>
      </c>
      <c r="E54" s="136">
        <v>0.56258145882990029</v>
      </c>
    </row>
    <row r="55" spans="1:5" x14ac:dyDescent="0.25">
      <c r="A55" s="69">
        <v>25</v>
      </c>
      <c r="B55" s="70" t="s">
        <v>57</v>
      </c>
      <c r="C55" s="126">
        <v>14993414722</v>
      </c>
      <c r="D55" s="126">
        <v>5643633622</v>
      </c>
      <c r="E55" s="136">
        <v>0.37640749133144669</v>
      </c>
    </row>
  </sheetData>
  <sortState xmlns:xlrd2="http://schemas.microsoft.com/office/spreadsheetml/2017/richdata2" ref="G2:G26">
    <sortCondition ref="G1:G26"/>
  </sortState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54"/>
  <sheetViews>
    <sheetView topLeftCell="A39" workbookViewId="0">
      <selection activeCell="D61" sqref="D61"/>
    </sheetView>
  </sheetViews>
  <sheetFormatPr baseColWidth="10" defaultColWidth="11.42578125" defaultRowHeight="12.75" x14ac:dyDescent="0.25"/>
  <cols>
    <col min="1" max="1" width="3.42578125" style="4" bestFit="1" customWidth="1"/>
    <col min="2" max="2" width="34.42578125" style="4" customWidth="1"/>
    <col min="3" max="3" width="13.85546875" style="4" customWidth="1"/>
    <col min="4" max="5" width="12.7109375" style="4" customWidth="1"/>
    <col min="6" max="6" width="2.28515625" style="4" customWidth="1"/>
    <col min="7" max="7" width="14.85546875" style="4" customWidth="1"/>
    <col min="8" max="16384" width="11.42578125" style="4"/>
  </cols>
  <sheetData>
    <row r="1" spans="1:16" ht="29.25" customHeight="1" x14ac:dyDescent="0.25">
      <c r="A1" s="14" t="s">
        <v>0</v>
      </c>
      <c r="B1" s="14" t="s">
        <v>1</v>
      </c>
      <c r="C1" s="14" t="s">
        <v>9</v>
      </c>
      <c r="D1" s="14" t="s">
        <v>10</v>
      </c>
      <c r="E1" s="14" t="s">
        <v>81</v>
      </c>
      <c r="G1" s="14" t="s">
        <v>81</v>
      </c>
    </row>
    <row r="2" spans="1:16" x14ac:dyDescent="0.25">
      <c r="A2" s="69">
        <v>1</v>
      </c>
      <c r="B2" s="70" t="str">
        <f>+'RESUMEN FINAL'!B2</f>
        <v>MONTAJES Y CONSTRUCCIONES FERMAR S.A.S</v>
      </c>
      <c r="C2" s="72">
        <f>+'RESUMEN FINAL'!I2</f>
        <v>17356088050</v>
      </c>
      <c r="D2" s="72">
        <f>+'RESUMEN FINAL'!J2</f>
        <v>1377601410</v>
      </c>
      <c r="E2" s="83">
        <f t="shared" ref="E2:E22" si="0">C2/D2</f>
        <v>12.598773436214762</v>
      </c>
      <c r="F2" s="54"/>
      <c r="G2" s="125">
        <v>-64.402239674542884</v>
      </c>
      <c r="I2" s="104" t="s">
        <v>68</v>
      </c>
      <c r="J2" s="105">
        <f>+COUNT($G$2:$G$25)</f>
        <v>24</v>
      </c>
      <c r="L2" s="106" t="s">
        <v>68</v>
      </c>
      <c r="M2" s="105">
        <f>+COUNT($G$3:$G$20)</f>
        <v>18</v>
      </c>
      <c r="O2" s="110"/>
    </row>
    <row r="3" spans="1:16" x14ac:dyDescent="0.25">
      <c r="A3" s="69">
        <v>2</v>
      </c>
      <c r="B3" s="70" t="str">
        <f>+'RESUMEN FINAL'!B3</f>
        <v>SOFORESTA S.A.S.</v>
      </c>
      <c r="C3" s="72">
        <f>+'RESUMEN FINAL'!I3</f>
        <v>4380488759</v>
      </c>
      <c r="D3" s="72">
        <f>+'RESUMEN FINAL'!J3</f>
        <v>775315429</v>
      </c>
      <c r="E3" s="83">
        <f t="shared" si="0"/>
        <v>5.6499440036295212</v>
      </c>
      <c r="F3" s="54"/>
      <c r="G3" s="83">
        <v>2.9591214984428267</v>
      </c>
      <c r="I3" s="105" t="s">
        <v>69</v>
      </c>
      <c r="J3" s="107">
        <f>+QUARTILE($G$2:$G$25,0)</f>
        <v>-64.402239674542884</v>
      </c>
      <c r="K3" s="67"/>
      <c r="L3" s="105" t="s">
        <v>69</v>
      </c>
      <c r="M3" s="107">
        <f>+QUARTILE($G$3:$G$20,0)</f>
        <v>2.9591214984428267</v>
      </c>
      <c r="P3" s="110"/>
    </row>
    <row r="4" spans="1:16" x14ac:dyDescent="0.25">
      <c r="A4" s="69">
        <v>3</v>
      </c>
      <c r="B4" s="70" t="str">
        <f>+'RESUMEN FINAL'!B4</f>
        <v>AZUL URBANO LIMITADA</v>
      </c>
      <c r="C4" s="72">
        <f>+'RESUMEN FINAL'!I4</f>
        <v>98000366</v>
      </c>
      <c r="D4" s="72">
        <f>+'RESUMEN FINAL'!J4</f>
        <v>28819856</v>
      </c>
      <c r="E4" s="83">
        <f t="shared" si="0"/>
        <v>3.4004460674612669</v>
      </c>
      <c r="F4" s="54"/>
      <c r="G4" s="83">
        <v>3.4004460674612669</v>
      </c>
      <c r="I4" s="105" t="s">
        <v>70</v>
      </c>
      <c r="J4" s="107">
        <f>+QUARTILE($G$2:$G$25,1)</f>
        <v>5.3671984256840943</v>
      </c>
      <c r="L4" s="108" t="s">
        <v>70</v>
      </c>
      <c r="M4" s="107">
        <f>+QUARTILE($G$3:$G$20,1)</f>
        <v>4.8017072697932397</v>
      </c>
      <c r="P4" s="110"/>
    </row>
    <row r="5" spans="1:16" x14ac:dyDescent="0.25">
      <c r="A5" s="69">
        <v>4</v>
      </c>
      <c r="B5" s="70" t="str">
        <f>+'RESUMEN FINAL'!B5</f>
        <v>C.I. HIDRO GEO S.A.S.</v>
      </c>
      <c r="C5" s="72">
        <f>+'RESUMEN FINAL'!I5</f>
        <v>97791579</v>
      </c>
      <c r="D5" s="72">
        <f>+'RESUMEN FINAL'!J5</f>
        <v>249164</v>
      </c>
      <c r="E5" s="83">
        <f t="shared" si="0"/>
        <v>392.47876499012699</v>
      </c>
      <c r="F5" s="54"/>
      <c r="G5" s="83">
        <v>4.0698499881183396</v>
      </c>
      <c r="I5" s="105" t="s">
        <v>71</v>
      </c>
      <c r="J5" s="107">
        <f>+QUARTILE($G$2:$G$25,2)</f>
        <v>18.122494832074793</v>
      </c>
      <c r="K5" s="67"/>
      <c r="L5" s="105" t="s">
        <v>71</v>
      </c>
      <c r="M5" s="107">
        <f>+QUARTILE($G$3:$G$20,2)</f>
        <v>12.028413590842668</v>
      </c>
      <c r="P5" s="110"/>
    </row>
    <row r="6" spans="1:16" x14ac:dyDescent="0.25">
      <c r="A6" s="69">
        <v>5</v>
      </c>
      <c r="B6" s="70" t="str">
        <f>+'RESUMEN FINAL'!B6</f>
        <v>DESARROLLAMOS INGENIERIA S.A.S.</v>
      </c>
      <c r="C6" s="72">
        <f>+'RESUMEN FINAL'!I6</f>
        <v>907660945</v>
      </c>
      <c r="D6" s="72">
        <f>+'RESUMEN FINAL'!J6</f>
        <v>53385663</v>
      </c>
      <c r="E6" s="83">
        <f t="shared" si="0"/>
        <v>17.001960713684497</v>
      </c>
      <c r="F6" s="54"/>
      <c r="G6" s="83">
        <v>4.0974373625224674</v>
      </c>
      <c r="I6" s="105" t="s">
        <v>72</v>
      </c>
      <c r="J6" s="107">
        <f>+QUARTILE($G$2:$G$25,3)</f>
        <v>28.847850139015307</v>
      </c>
      <c r="L6" s="105" t="s">
        <v>72</v>
      </c>
      <c r="M6" s="107">
        <f>+QUARTILE($G$3:$G$20,3)</f>
        <v>21.178708477133828</v>
      </c>
      <c r="P6" s="110"/>
    </row>
    <row r="7" spans="1:16" x14ac:dyDescent="0.25">
      <c r="A7" s="69">
        <v>6</v>
      </c>
      <c r="B7" s="70" t="str">
        <f>+'RESUMEN FINAL'!B7</f>
        <v>ETEL LTDA EN REORGANIZACION</v>
      </c>
      <c r="C7" s="72">
        <f>+'RESUMEN FINAL'!I7</f>
        <v>982256908</v>
      </c>
      <c r="D7" s="72">
        <f>+'RESUMEN FINAL'!J7</f>
        <v>85726331</v>
      </c>
      <c r="E7" s="83">
        <f t="shared" si="0"/>
        <v>11.458053745470572</v>
      </c>
      <c r="F7" s="54"/>
      <c r="G7" s="83">
        <v>4.5189616918478128</v>
      </c>
      <c r="I7" s="105" t="s">
        <v>73</v>
      </c>
      <c r="J7" s="107">
        <f>+QUARTILE($G$2:$G$25,4)</f>
        <v>9300.5429838709679</v>
      </c>
      <c r="K7" s="67"/>
      <c r="L7" s="105" t="s">
        <v>73</v>
      </c>
      <c r="M7" s="107">
        <f>+QUARTILE($G$3:$G$20,4)</f>
        <v>28.847850139015307</v>
      </c>
      <c r="P7" s="110"/>
    </row>
    <row r="8" spans="1:16" x14ac:dyDescent="0.25">
      <c r="A8" s="69">
        <v>7</v>
      </c>
      <c r="B8" s="70" t="str">
        <f>+'RESUMEN FINAL'!B8</f>
        <v>NEW GAS AND OIL S.A.S</v>
      </c>
      <c r="C8" s="72">
        <f>+'RESUMEN FINAL'!I8</f>
        <v>236952000</v>
      </c>
      <c r="D8" s="72">
        <f>+'RESUMEN FINAL'!J8</f>
        <v>2339000</v>
      </c>
      <c r="E8" s="83">
        <f t="shared" si="0"/>
        <v>101.30483112441215</v>
      </c>
      <c r="F8" s="54"/>
      <c r="G8" s="83">
        <v>5.6499440036295212</v>
      </c>
      <c r="I8" s="105" t="s">
        <v>74</v>
      </c>
      <c r="J8" s="107">
        <f>+J6-J4</f>
        <v>23.480651713331213</v>
      </c>
      <c r="L8" s="105" t="s">
        <v>74</v>
      </c>
      <c r="M8" s="107">
        <f>+M6-M4</f>
        <v>16.377001207340587</v>
      </c>
      <c r="P8" s="110"/>
    </row>
    <row r="9" spans="1:16" ht="25.5" x14ac:dyDescent="0.25">
      <c r="A9" s="69">
        <v>8</v>
      </c>
      <c r="B9" s="70" t="str">
        <f>+'RESUMEN FINAL'!B9</f>
        <v>INGENIERÍA Y CONSTRUCCIÓN PALACIO BAENA S.A.S.</v>
      </c>
      <c r="C9" s="72">
        <f>+'RESUMEN FINAL'!I9</f>
        <v>459220023</v>
      </c>
      <c r="D9" s="72">
        <f>+'RESUMEN FINAL'!J9</f>
        <v>62607</v>
      </c>
      <c r="E9" s="83">
        <f t="shared" si="0"/>
        <v>7334.9629114955196</v>
      </c>
      <c r="F9" s="54"/>
      <c r="G9" s="83">
        <v>5.9523801183622691</v>
      </c>
      <c r="I9" s="105" t="s">
        <v>75</v>
      </c>
      <c r="J9" s="107">
        <f>+J4-(J8*1.5)</f>
        <v>-29.853779144312725</v>
      </c>
      <c r="L9" s="105" t="s">
        <v>75</v>
      </c>
      <c r="M9" s="107">
        <f>+M4-(M8*1.5)</f>
        <v>-19.763794541217642</v>
      </c>
      <c r="P9" s="110"/>
    </row>
    <row r="10" spans="1:16" x14ac:dyDescent="0.25">
      <c r="A10" s="69">
        <v>9</v>
      </c>
      <c r="B10" s="70" t="str">
        <f>+'RESUMEN FINAL'!B10</f>
        <v>O R INGENIERIA S A S</v>
      </c>
      <c r="C10" s="72">
        <f>+'RESUMEN FINAL'!I10</f>
        <v>276997384</v>
      </c>
      <c r="D10" s="72">
        <f>+'RESUMEN FINAL'!J10</f>
        <v>28552952</v>
      </c>
      <c r="E10" s="83">
        <f t="shared" si="0"/>
        <v>9.7011820003760025</v>
      </c>
      <c r="F10" s="54"/>
      <c r="G10" s="83">
        <v>9.7011820003760025</v>
      </c>
      <c r="I10" s="109" t="s">
        <v>76</v>
      </c>
      <c r="J10" s="107">
        <f>+J6+(J8*1.5)</f>
        <v>64.068827709012126</v>
      </c>
      <c r="L10" s="109" t="s">
        <v>76</v>
      </c>
      <c r="M10" s="107">
        <f>+M6+(M8*1.5)</f>
        <v>45.744210288144714</v>
      </c>
      <c r="O10" s="54"/>
      <c r="P10" s="110"/>
    </row>
    <row r="11" spans="1:16" x14ac:dyDescent="0.25">
      <c r="A11" s="69">
        <v>10</v>
      </c>
      <c r="B11" s="70" t="str">
        <f>+'RESUMEN FINAL'!B11</f>
        <v>G63 INFRAESTRUCTURA Y SERVICIOS S.A.S</v>
      </c>
      <c r="C11" s="72">
        <f>+'RESUMEN FINAL'!I11</f>
        <v>455851068</v>
      </c>
      <c r="D11" s="72">
        <f>+'RESUMEN FINAL'!J11</f>
        <v>111252724</v>
      </c>
      <c r="E11" s="83">
        <f t="shared" si="0"/>
        <v>4.0974373625224674</v>
      </c>
      <c r="F11" s="54"/>
      <c r="G11" s="83">
        <v>11.458053745470572</v>
      </c>
      <c r="I11" s="109" t="s">
        <v>77</v>
      </c>
      <c r="J11" s="109">
        <f>+MEDIAN($G$2:$G$25)</f>
        <v>18.122494832074793</v>
      </c>
      <c r="L11" s="109" t="s">
        <v>77</v>
      </c>
      <c r="M11" s="109">
        <f>+MEDIAN($G$3:G$20)</f>
        <v>12.028413590842668</v>
      </c>
      <c r="O11" s="54"/>
      <c r="P11" s="54"/>
    </row>
    <row r="12" spans="1:16" x14ac:dyDescent="0.25">
      <c r="A12" s="69">
        <v>11</v>
      </c>
      <c r="B12" s="70" t="str">
        <f>+'RESUMEN FINAL'!B12</f>
        <v>INGENIERIA JOULES M. E. C. S.A.S.</v>
      </c>
      <c r="C12" s="72">
        <f>+'RESUMEN FINAL'!I12</f>
        <v>9327753224</v>
      </c>
      <c r="D12" s="72">
        <f>+'RESUMEN FINAL'!J12</f>
        <v>484734147</v>
      </c>
      <c r="E12" s="83">
        <f t="shared" si="0"/>
        <v>19.243028950465089</v>
      </c>
      <c r="F12" s="54"/>
      <c r="G12" s="83">
        <v>12.598773436214762</v>
      </c>
      <c r="I12" s="105" t="s">
        <v>78</v>
      </c>
      <c r="J12" s="109">
        <f>+AVERAGE($G$2:$G$25)</f>
        <v>756.32260588162842</v>
      </c>
      <c r="K12" s="67"/>
      <c r="L12" s="105" t="s">
        <v>78</v>
      </c>
      <c r="M12" s="109">
        <f>+AVERAGE($G$3:$G$20)</f>
        <v>14.16935994394016</v>
      </c>
      <c r="P12" s="54"/>
    </row>
    <row r="13" spans="1:16" x14ac:dyDescent="0.25">
      <c r="A13" s="69">
        <v>12</v>
      </c>
      <c r="B13" s="70" t="str">
        <f>+'RESUMEN FINAL'!B13</f>
        <v>CONSTRUCCIONES AL DIA SAS</v>
      </c>
      <c r="C13" s="72">
        <f>+'RESUMEN FINAL'!I13</f>
        <v>9236043657</v>
      </c>
      <c r="D13" s="72">
        <f>+'RESUMEN FINAL'!J13</f>
        <v>2043841990</v>
      </c>
      <c r="E13" s="83">
        <f t="shared" si="0"/>
        <v>4.5189616918478128</v>
      </c>
      <c r="F13" s="54"/>
      <c r="G13" s="83">
        <v>17.001960713684497</v>
      </c>
      <c r="I13" s="105" t="s">
        <v>79</v>
      </c>
      <c r="J13" s="107">
        <f>+STDEVA($G$2:$G$25,0)</f>
        <v>2309.2922034035273</v>
      </c>
      <c r="K13" s="67"/>
      <c r="L13" s="105" t="s">
        <v>79</v>
      </c>
      <c r="M13" s="107">
        <f>+STDEVA($G$3:$G$20,0)</f>
        <v>10.013830277607051</v>
      </c>
      <c r="P13" s="110"/>
    </row>
    <row r="14" spans="1:16" x14ac:dyDescent="0.25">
      <c r="A14" s="69">
        <v>13</v>
      </c>
      <c r="B14" s="70" t="str">
        <f>+'RESUMEN FINAL'!B14</f>
        <v>GRUCON S.A.S.</v>
      </c>
      <c r="C14" s="72">
        <f>+'RESUMEN FINAL'!I14</f>
        <v>3225374041</v>
      </c>
      <c r="D14" s="72">
        <f>+'RESUMEN FINAL'!J14</f>
        <v>111806392</v>
      </c>
      <c r="E14" s="83">
        <f t="shared" si="0"/>
        <v>28.847850139015307</v>
      </c>
      <c r="F14" s="54"/>
      <c r="G14" s="83">
        <v>19.243028950465089</v>
      </c>
      <c r="I14" s="54"/>
      <c r="K14" s="67"/>
      <c r="M14" s="54"/>
    </row>
    <row r="15" spans="1:16" x14ac:dyDescent="0.25">
      <c r="A15" s="69">
        <v>14</v>
      </c>
      <c r="B15" s="70" t="str">
        <f>+'RESUMEN FINAL'!B15</f>
        <v>ANDEAN GEOLOGICAL SERVICES LIMITADA A.G.S.</v>
      </c>
      <c r="C15" s="72">
        <f>+'RESUMEN FINAL'!I15</f>
        <v>-232899687</v>
      </c>
      <c r="D15" s="72">
        <f>+'RESUMEN FINAL'!J15</f>
        <v>3616329</v>
      </c>
      <c r="E15" s="83">
        <f t="shared" si="0"/>
        <v>-64.402239674542884</v>
      </c>
      <c r="F15" s="54"/>
      <c r="G15" s="83">
        <v>20.562372853423387</v>
      </c>
      <c r="I15" s="54"/>
      <c r="K15" s="67"/>
    </row>
    <row r="16" spans="1:16" x14ac:dyDescent="0.25">
      <c r="A16" s="69">
        <v>15</v>
      </c>
      <c r="B16" s="70" t="str">
        <f>+'RESUMEN FINAL'!B16</f>
        <v>JAM INGENIERIA Y MEDIO AMBIENTE SAS</v>
      </c>
      <c r="C16" s="72">
        <f>+'RESUMEN FINAL'!I16</f>
        <v>741625117</v>
      </c>
      <c r="D16" s="72">
        <f>+'RESUMEN FINAL'!J16</f>
        <v>34681060</v>
      </c>
      <c r="E16" s="83">
        <f t="shared" si="0"/>
        <v>21.384153685037308</v>
      </c>
      <c r="F16" s="54"/>
      <c r="G16" s="83">
        <v>21.384153685037308</v>
      </c>
    </row>
    <row r="17" spans="1:11" x14ac:dyDescent="0.25">
      <c r="A17" s="69">
        <v>16</v>
      </c>
      <c r="B17" s="70" t="str">
        <f>+'RESUMEN FINAL'!B17</f>
        <v>CRATOS SOLUCIONES INTEGRALES SAS</v>
      </c>
      <c r="C17" s="72">
        <f>+'RESUMEN FINAL'!I17</f>
        <v>115326733</v>
      </c>
      <c r="D17" s="72">
        <f>+'RESUMEN FINAL'!J17</f>
        <v>12400</v>
      </c>
      <c r="E17" s="83">
        <f t="shared" si="0"/>
        <v>9300.5429838709679</v>
      </c>
      <c r="F17" s="54"/>
      <c r="G17" s="83">
        <v>27.090155118234623</v>
      </c>
    </row>
    <row r="18" spans="1:11" ht="25.5" x14ac:dyDescent="0.25">
      <c r="A18" s="69">
        <v>17</v>
      </c>
      <c r="B18" s="70" t="str">
        <f>+'RESUMEN FINAL'!B18</f>
        <v>INGENIERIA Y GESTION DE LA INFORMACION LIMITADA INGFOCOL</v>
      </c>
      <c r="C18" s="72">
        <f>+'RESUMEN FINAL'!I18</f>
        <v>43044008</v>
      </c>
      <c r="D18" s="72">
        <f>+'RESUMEN FINAL'!J18</f>
        <v>1588917</v>
      </c>
      <c r="E18" s="83">
        <f t="shared" si="0"/>
        <v>27.090155118234623</v>
      </c>
      <c r="F18" s="54"/>
      <c r="G18" s="83">
        <v>27.664957479601558</v>
      </c>
    </row>
    <row r="19" spans="1:11" x14ac:dyDescent="0.25">
      <c r="A19" s="69">
        <v>18</v>
      </c>
      <c r="B19" s="70" t="str">
        <f>+'RESUMEN FINAL'!B19</f>
        <v>HIDRODUCTOS S.A.S</v>
      </c>
      <c r="C19" s="72">
        <f>+'RESUMEN FINAL'!I19</f>
        <v>97906157</v>
      </c>
      <c r="D19" s="72">
        <f>+'RESUMEN FINAL'!J19</f>
        <v>117703</v>
      </c>
      <c r="E19" s="83">
        <f t="shared" si="0"/>
        <v>831.806810361673</v>
      </c>
      <c r="F19" s="54"/>
      <c r="G19" s="83">
        <v>28.847850139015307</v>
      </c>
    </row>
    <row r="20" spans="1:11" x14ac:dyDescent="0.25">
      <c r="A20" s="69">
        <v>19</v>
      </c>
      <c r="B20" s="70" t="str">
        <f>+'RESUMEN FINAL'!B20</f>
        <v>RM INGENIEROS S.A.S</v>
      </c>
      <c r="C20" s="72">
        <f>+'RESUMEN FINAL'!I20</f>
        <v>475623805</v>
      </c>
      <c r="D20" s="72">
        <f>+'RESUMEN FINAL'!J20</f>
        <v>23130784</v>
      </c>
      <c r="E20" s="83">
        <f t="shared" si="0"/>
        <v>20.562372853423387</v>
      </c>
      <c r="F20" s="54"/>
      <c r="G20" s="83">
        <v>28.847850139015307</v>
      </c>
    </row>
    <row r="21" spans="1:11" x14ac:dyDescent="0.25">
      <c r="A21" s="69">
        <v>20</v>
      </c>
      <c r="B21" s="70" t="str">
        <f>+'RESUMEN FINAL'!B21</f>
        <v>HYMAC INGENIERIA SAS</v>
      </c>
      <c r="C21" s="72">
        <f>+'RESUMEN FINAL'!I21</f>
        <v>1300035926</v>
      </c>
      <c r="D21" s="72">
        <f>+'RESUMEN FINAL'!J21</f>
        <v>0</v>
      </c>
      <c r="E21" s="83" t="e">
        <f t="shared" si="0"/>
        <v>#DIV/0!</v>
      </c>
      <c r="F21" s="54"/>
      <c r="G21" s="125">
        <v>101.30483112441215</v>
      </c>
    </row>
    <row r="22" spans="1:11" x14ac:dyDescent="0.25">
      <c r="A22" s="69">
        <v>21</v>
      </c>
      <c r="B22" s="70" t="str">
        <f>+'RESUMEN FINAL'!B22</f>
        <v>AITEC S.A.S</v>
      </c>
      <c r="C22" s="72">
        <f>+'RESUMEN FINAL'!I22</f>
        <v>618323863</v>
      </c>
      <c r="D22" s="72">
        <f>+'RESUMEN FINAL'!J22</f>
        <v>208955213</v>
      </c>
      <c r="E22" s="83">
        <f t="shared" si="0"/>
        <v>2.9591214984428267</v>
      </c>
      <c r="F22" s="54"/>
      <c r="G22" s="125">
        <v>392.47876499012699</v>
      </c>
    </row>
    <row r="23" spans="1:11" x14ac:dyDescent="0.25">
      <c r="A23" s="69">
        <v>22</v>
      </c>
      <c r="B23" s="70" t="str">
        <f>+'RESUMEN FINAL'!B23</f>
        <v>PROYECTAR INGENIERIA S.A.S.</v>
      </c>
      <c r="C23" s="72">
        <f>+'RESUMEN FINAL'!I23</f>
        <v>2327465156</v>
      </c>
      <c r="D23" s="72">
        <f>+'RESUMEN FINAL'!J23</f>
        <v>84130444</v>
      </c>
      <c r="E23" s="83">
        <f t="shared" ref="E23" si="1">C23/D23</f>
        <v>27.664957479601558</v>
      </c>
      <c r="F23" s="54"/>
      <c r="G23" s="125">
        <v>831.806810361673</v>
      </c>
      <c r="I23" s="54"/>
      <c r="K23" s="67"/>
    </row>
    <row r="24" spans="1:11" x14ac:dyDescent="0.25">
      <c r="A24" s="69">
        <v>23</v>
      </c>
      <c r="B24" s="70" t="str">
        <f>+'RESUMEN FINAL'!B24</f>
        <v>INGENIERIA CIVIL Y GEODESIA SAS INCIGE SAS</v>
      </c>
      <c r="C24" s="72">
        <f>+'RESUMEN FINAL'!I24</f>
        <v>497579245</v>
      </c>
      <c r="D24" s="72">
        <f>+'RESUMEN FINAL'!J24</f>
        <v>122259849</v>
      </c>
      <c r="E24" s="83">
        <f t="shared" ref="E24:E25" si="2">C24/D24</f>
        <v>4.0698499881183396</v>
      </c>
      <c r="F24" s="54"/>
      <c r="G24" s="125">
        <v>7334.9629114955196</v>
      </c>
    </row>
    <row r="25" spans="1:11" x14ac:dyDescent="0.25">
      <c r="A25" s="69">
        <v>24</v>
      </c>
      <c r="B25" s="70" t="str">
        <f>+'RESUMEN FINAL'!B25</f>
        <v>ECODES INGENIERIA SAS</v>
      </c>
      <c r="C25" s="72">
        <f>+'RESUMEN FINAL'!I25</f>
        <v>4269277378</v>
      </c>
      <c r="D25" s="72">
        <f>+'RESUMEN FINAL'!J25</f>
        <v>717238700</v>
      </c>
      <c r="E25" s="83">
        <f t="shared" si="2"/>
        <v>5.9523801183622691</v>
      </c>
      <c r="F25" s="54"/>
      <c r="G25" s="125">
        <v>9300.5429838709679</v>
      </c>
    </row>
    <row r="26" spans="1:11" x14ac:dyDescent="0.25">
      <c r="A26" s="69">
        <v>25</v>
      </c>
      <c r="B26" s="70" t="str">
        <f>+'RESUMEN FINAL'!B26</f>
        <v>GRUCON S.A.S.</v>
      </c>
      <c r="C26" s="72">
        <f>+'RESUMEN FINAL'!I26</f>
        <v>3225374041</v>
      </c>
      <c r="D26" s="72">
        <f>+'RESUMEN FINAL'!J26</f>
        <v>111806392</v>
      </c>
      <c r="E26" s="83">
        <f t="shared" ref="E26" si="3">C26/D26</f>
        <v>28.847850139015307</v>
      </c>
      <c r="F26" s="54"/>
      <c r="G26" s="83" t="s">
        <v>105</v>
      </c>
    </row>
    <row r="27" spans="1:11" x14ac:dyDescent="0.25">
      <c r="A27" s="67"/>
      <c r="B27" s="140"/>
      <c r="C27" s="81"/>
      <c r="D27" s="81"/>
      <c r="E27" s="41"/>
      <c r="F27" s="54"/>
    </row>
    <row r="28" spans="1:11" x14ac:dyDescent="0.25">
      <c r="A28" s="67"/>
      <c r="B28" s="140"/>
      <c r="C28" s="81"/>
      <c r="D28" s="81"/>
      <c r="E28" s="41"/>
      <c r="F28" s="54"/>
    </row>
    <row r="29" spans="1:11" x14ac:dyDescent="0.25">
      <c r="F29" s="54"/>
    </row>
    <row r="30" spans="1:11" ht="25.5" x14ac:dyDescent="0.25">
      <c r="A30" s="14" t="s">
        <v>0</v>
      </c>
      <c r="B30" s="14" t="s">
        <v>1</v>
      </c>
      <c r="C30" s="14" t="s">
        <v>9</v>
      </c>
      <c r="D30" s="14" t="s">
        <v>10</v>
      </c>
      <c r="E30" s="14" t="s">
        <v>81</v>
      </c>
      <c r="F30" s="54"/>
    </row>
    <row r="31" spans="1:11" x14ac:dyDescent="0.25">
      <c r="A31" s="69">
        <v>1</v>
      </c>
      <c r="B31" s="70" t="s">
        <v>43</v>
      </c>
      <c r="C31" s="58">
        <v>17356088050</v>
      </c>
      <c r="D31" s="58">
        <v>1377601410</v>
      </c>
      <c r="E31" s="83">
        <v>12.598773436214762</v>
      </c>
      <c r="F31" s="54"/>
    </row>
    <row r="32" spans="1:11" x14ac:dyDescent="0.25">
      <c r="A32" s="69">
        <v>2</v>
      </c>
      <c r="B32" s="70" t="s">
        <v>44</v>
      </c>
      <c r="C32" s="58">
        <v>4380488759</v>
      </c>
      <c r="D32" s="58">
        <v>775315429</v>
      </c>
      <c r="E32" s="83">
        <v>5.6499440036295212</v>
      </c>
      <c r="F32" s="54"/>
    </row>
    <row r="33" spans="1:10" x14ac:dyDescent="0.25">
      <c r="A33" s="69">
        <v>3</v>
      </c>
      <c r="B33" s="70" t="s">
        <v>45</v>
      </c>
      <c r="C33" s="58">
        <v>98000366</v>
      </c>
      <c r="D33" s="58">
        <v>28819856</v>
      </c>
      <c r="E33" s="83">
        <v>3.4004460674612669</v>
      </c>
      <c r="F33" s="54"/>
    </row>
    <row r="34" spans="1:10" x14ac:dyDescent="0.25">
      <c r="A34" s="69">
        <v>4</v>
      </c>
      <c r="B34" s="70" t="s">
        <v>47</v>
      </c>
      <c r="C34" s="58">
        <v>97791579</v>
      </c>
      <c r="D34" s="58">
        <v>249164</v>
      </c>
      <c r="E34" s="83">
        <v>392.47876499012699</v>
      </c>
      <c r="F34" s="54"/>
      <c r="J34" s="39"/>
    </row>
    <row r="35" spans="1:10" x14ac:dyDescent="0.25">
      <c r="A35" s="69">
        <v>5</v>
      </c>
      <c r="B35" s="70" t="s">
        <v>50</v>
      </c>
      <c r="C35" s="58">
        <v>907660945</v>
      </c>
      <c r="D35" s="58">
        <v>53385663</v>
      </c>
      <c r="E35" s="83">
        <v>17.001960713684497</v>
      </c>
      <c r="F35" s="54"/>
    </row>
    <row r="36" spans="1:10" x14ac:dyDescent="0.25">
      <c r="A36" s="69">
        <v>6</v>
      </c>
      <c r="B36" s="70" t="s">
        <v>51</v>
      </c>
      <c r="C36" s="58">
        <v>982256908</v>
      </c>
      <c r="D36" s="58">
        <v>85726331</v>
      </c>
      <c r="E36" s="83">
        <v>11.458053745470572</v>
      </c>
      <c r="F36" s="54"/>
    </row>
    <row r="37" spans="1:10" x14ac:dyDescent="0.25">
      <c r="A37" s="69">
        <v>7</v>
      </c>
      <c r="B37" s="70" t="s">
        <v>63</v>
      </c>
      <c r="C37" s="58">
        <v>236952000</v>
      </c>
      <c r="D37" s="58">
        <v>2339000</v>
      </c>
      <c r="E37" s="83">
        <v>101.30483112441215</v>
      </c>
      <c r="F37" s="54"/>
    </row>
    <row r="38" spans="1:10" ht="25.5" x14ac:dyDescent="0.25">
      <c r="A38" s="69">
        <v>8</v>
      </c>
      <c r="B38" s="70" t="s">
        <v>60</v>
      </c>
      <c r="C38" s="58">
        <v>459220023</v>
      </c>
      <c r="D38" s="58">
        <v>62607</v>
      </c>
      <c r="E38" s="83">
        <v>7334.9629114955196</v>
      </c>
      <c r="F38" s="54"/>
    </row>
    <row r="39" spans="1:10" x14ac:dyDescent="0.25">
      <c r="A39" s="69">
        <v>9</v>
      </c>
      <c r="B39" s="70" t="s">
        <v>64</v>
      </c>
      <c r="C39" s="58">
        <v>276997384</v>
      </c>
      <c r="D39" s="58">
        <v>28552952</v>
      </c>
      <c r="E39" s="83">
        <v>9.7011820003760025</v>
      </c>
    </row>
    <row r="40" spans="1:10" x14ac:dyDescent="0.25">
      <c r="A40" s="69">
        <v>10</v>
      </c>
      <c r="B40" s="70" t="s">
        <v>53</v>
      </c>
      <c r="C40" s="58">
        <v>455851068</v>
      </c>
      <c r="D40" s="58">
        <v>111252724</v>
      </c>
      <c r="E40" s="83">
        <v>4.0974373625224674</v>
      </c>
    </row>
    <row r="41" spans="1:10" x14ac:dyDescent="0.25">
      <c r="A41" s="69">
        <v>11</v>
      </c>
      <c r="B41" s="70" t="s">
        <v>55</v>
      </c>
      <c r="C41" s="58">
        <v>9327753224</v>
      </c>
      <c r="D41" s="58">
        <v>484734147</v>
      </c>
      <c r="E41" s="83">
        <v>19.243028950465089</v>
      </c>
    </row>
    <row r="42" spans="1:10" x14ac:dyDescent="0.25">
      <c r="A42" s="69">
        <v>12</v>
      </c>
      <c r="B42" s="70" t="s">
        <v>56</v>
      </c>
      <c r="C42" s="58">
        <v>9236043657</v>
      </c>
      <c r="D42" s="58">
        <v>2043841990</v>
      </c>
      <c r="E42" s="83">
        <v>4.5189616918478128</v>
      </c>
    </row>
    <row r="43" spans="1:10" x14ac:dyDescent="0.25">
      <c r="A43" s="69">
        <v>13</v>
      </c>
      <c r="B43" s="70" t="s">
        <v>57</v>
      </c>
      <c r="C43" s="58">
        <v>3225374041</v>
      </c>
      <c r="D43" s="58">
        <v>111806392</v>
      </c>
      <c r="E43" s="83">
        <v>28.847850139015307</v>
      </c>
    </row>
    <row r="44" spans="1:10" x14ac:dyDescent="0.25">
      <c r="A44" s="69">
        <v>14</v>
      </c>
      <c r="B44" s="70" t="s">
        <v>41</v>
      </c>
      <c r="C44" s="58">
        <v>-232899687</v>
      </c>
      <c r="D44" s="58">
        <v>3616329</v>
      </c>
      <c r="E44" s="83">
        <v>-64.402239674542884</v>
      </c>
    </row>
    <row r="45" spans="1:10" x14ac:dyDescent="0.25">
      <c r="A45" s="69">
        <v>15</v>
      </c>
      <c r="B45" s="70" t="s">
        <v>62</v>
      </c>
      <c r="C45" s="58">
        <v>741625117</v>
      </c>
      <c r="D45" s="58">
        <v>34681060</v>
      </c>
      <c r="E45" s="83">
        <v>21.384153685037308</v>
      </c>
    </row>
    <row r="46" spans="1:10" x14ac:dyDescent="0.25">
      <c r="A46" s="69">
        <v>16</v>
      </c>
      <c r="B46" s="70" t="s">
        <v>49</v>
      </c>
      <c r="C46" s="58">
        <v>115326733</v>
      </c>
      <c r="D46" s="58">
        <v>12400</v>
      </c>
      <c r="E46" s="83">
        <v>9300.5429838709679</v>
      </c>
    </row>
    <row r="47" spans="1:10" ht="25.5" x14ac:dyDescent="0.25">
      <c r="A47" s="69">
        <v>17</v>
      </c>
      <c r="B47" s="70" t="s">
        <v>61</v>
      </c>
      <c r="C47" s="58">
        <v>43044008</v>
      </c>
      <c r="D47" s="58">
        <v>1588917</v>
      </c>
      <c r="E47" s="83">
        <v>27.090155118234623</v>
      </c>
    </row>
    <row r="48" spans="1:10" x14ac:dyDescent="0.25">
      <c r="A48" s="69">
        <v>18</v>
      </c>
      <c r="B48" s="70" t="s">
        <v>54</v>
      </c>
      <c r="C48" s="58">
        <v>97906157</v>
      </c>
      <c r="D48" s="58">
        <v>117703</v>
      </c>
      <c r="E48" s="83">
        <v>831.806810361673</v>
      </c>
    </row>
    <row r="49" spans="1:5" x14ac:dyDescent="0.25">
      <c r="A49" s="69">
        <v>19</v>
      </c>
      <c r="B49" s="70" t="s">
        <v>65</v>
      </c>
      <c r="C49" s="58">
        <v>475623805</v>
      </c>
      <c r="D49" s="58">
        <v>23130784</v>
      </c>
      <c r="E49" s="83">
        <v>20.562372853423387</v>
      </c>
    </row>
    <row r="50" spans="1:5" x14ac:dyDescent="0.25">
      <c r="A50" s="69">
        <v>20</v>
      </c>
      <c r="B50" s="70" t="s">
        <v>32</v>
      </c>
      <c r="C50" s="58">
        <v>618323863</v>
      </c>
      <c r="D50" s="58">
        <v>208955213</v>
      </c>
      <c r="E50" s="83">
        <v>2.9591214984428267</v>
      </c>
    </row>
    <row r="51" spans="1:5" x14ac:dyDescent="0.25">
      <c r="A51" s="69">
        <v>21</v>
      </c>
      <c r="B51" s="70" t="s">
        <v>66</v>
      </c>
      <c r="C51" s="58">
        <v>2327465156</v>
      </c>
      <c r="D51" s="58">
        <v>84130444</v>
      </c>
      <c r="E51" s="83">
        <v>27.664957479601558</v>
      </c>
    </row>
    <row r="52" spans="1:5" x14ac:dyDescent="0.25">
      <c r="A52" s="69">
        <v>22</v>
      </c>
      <c r="B52" s="70" t="s">
        <v>98</v>
      </c>
      <c r="C52" s="58">
        <v>497579245</v>
      </c>
      <c r="D52" s="58">
        <v>122259849</v>
      </c>
      <c r="E52" s="83">
        <v>4.0698499881183396</v>
      </c>
    </row>
    <row r="53" spans="1:5" x14ac:dyDescent="0.25">
      <c r="A53" s="69">
        <v>23</v>
      </c>
      <c r="B53" s="70" t="s">
        <v>99</v>
      </c>
      <c r="C53" s="58">
        <v>4269277378</v>
      </c>
      <c r="D53" s="58">
        <v>717238700</v>
      </c>
      <c r="E53" s="83">
        <v>5.9523801183622691</v>
      </c>
    </row>
    <row r="54" spans="1:5" x14ac:dyDescent="0.25">
      <c r="A54" s="69">
        <v>24</v>
      </c>
      <c r="B54" s="70" t="s">
        <v>57</v>
      </c>
      <c r="C54" s="58">
        <v>3225374041</v>
      </c>
      <c r="D54" s="58">
        <v>111806392</v>
      </c>
      <c r="E54" s="83">
        <v>28.847850139015307</v>
      </c>
    </row>
  </sheetData>
  <sortState xmlns:xlrd2="http://schemas.microsoft.com/office/spreadsheetml/2017/richdata2" ref="G2:G26">
    <sortCondition ref="G1:G26"/>
  </sortState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BA608-72C2-432A-BFD0-EF614823203F}">
  <dimension ref="A1:I55"/>
  <sheetViews>
    <sheetView topLeftCell="A36" workbookViewId="0">
      <selection activeCell="B57" sqref="B57"/>
    </sheetView>
  </sheetViews>
  <sheetFormatPr baseColWidth="10" defaultColWidth="11.42578125" defaultRowHeight="12.75" x14ac:dyDescent="0.25"/>
  <cols>
    <col min="1" max="1" width="3.42578125" style="4" bestFit="1" customWidth="1"/>
    <col min="2" max="2" width="34.42578125" style="4" customWidth="1"/>
    <col min="3" max="3" width="13.85546875" style="4" customWidth="1"/>
    <col min="4" max="5" width="12.7109375" style="4" customWidth="1"/>
    <col min="6" max="6" width="2.28515625" style="4" customWidth="1"/>
    <col min="7" max="16384" width="11.42578125" style="4"/>
  </cols>
  <sheetData>
    <row r="1" spans="1:9" ht="29.25" customHeight="1" x14ac:dyDescent="0.25">
      <c r="A1" s="14" t="s">
        <v>0</v>
      </c>
      <c r="B1" s="14" t="s">
        <v>1</v>
      </c>
      <c r="C1" s="188" t="s">
        <v>4</v>
      </c>
      <c r="D1" s="188" t="s">
        <v>5</v>
      </c>
      <c r="E1" s="189" t="s">
        <v>101</v>
      </c>
    </row>
    <row r="2" spans="1:9" x14ac:dyDescent="0.25">
      <c r="A2" s="69">
        <v>1</v>
      </c>
      <c r="B2" s="70" t="str">
        <f>+'RESUMEN FINAL'!B2</f>
        <v>MONTAJES Y CONSTRUCCIONES FERMAR S.A.S</v>
      </c>
      <c r="C2" s="72">
        <f>+'RESUMEN FINAL'!D2</f>
        <v>39414690882</v>
      </c>
      <c r="D2" s="72">
        <f>+'RESUMEN FINAL'!E2</f>
        <v>2799974091</v>
      </c>
      <c r="E2" s="130">
        <f>+C2-D2</f>
        <v>36614716791</v>
      </c>
      <c r="F2" s="54"/>
      <c r="H2" s="110"/>
    </row>
    <row r="3" spans="1:9" x14ac:dyDescent="0.25">
      <c r="A3" s="69">
        <v>2</v>
      </c>
      <c r="B3" s="70" t="str">
        <f>+'RESUMEN FINAL'!B3</f>
        <v>SOFORESTA S.A.S.</v>
      </c>
      <c r="C3" s="72">
        <f>+'RESUMEN FINAL'!D3</f>
        <v>12211452043</v>
      </c>
      <c r="D3" s="72">
        <f>+'RESUMEN FINAL'!E3</f>
        <v>3733560900</v>
      </c>
      <c r="E3" s="130">
        <f t="shared" ref="E3:E26" si="0">+C3-D3</f>
        <v>8477891143</v>
      </c>
      <c r="F3" s="54"/>
      <c r="I3" s="110"/>
    </row>
    <row r="4" spans="1:9" x14ac:dyDescent="0.25">
      <c r="A4" s="69">
        <v>3</v>
      </c>
      <c r="B4" s="70" t="str">
        <f>+'RESUMEN FINAL'!B4</f>
        <v>AZUL URBANO LIMITADA</v>
      </c>
      <c r="C4" s="72">
        <f>+'RESUMEN FINAL'!D4</f>
        <v>8017692187</v>
      </c>
      <c r="D4" s="72">
        <f>+'RESUMEN FINAL'!E4</f>
        <v>444677339</v>
      </c>
      <c r="E4" s="130">
        <f t="shared" si="0"/>
        <v>7573014848</v>
      </c>
      <c r="F4" s="54"/>
      <c r="I4" s="110"/>
    </row>
    <row r="5" spans="1:9" x14ac:dyDescent="0.25">
      <c r="A5" s="69">
        <v>4</v>
      </c>
      <c r="B5" s="70" t="str">
        <f>+'RESUMEN FINAL'!B5</f>
        <v>C.I. HIDRO GEO S.A.S.</v>
      </c>
      <c r="C5" s="72">
        <f>+'RESUMEN FINAL'!D5</f>
        <v>1576919821</v>
      </c>
      <c r="D5" s="72">
        <f>+'RESUMEN FINAL'!E5</f>
        <v>59315203</v>
      </c>
      <c r="E5" s="130">
        <f t="shared" si="0"/>
        <v>1517604618</v>
      </c>
      <c r="F5" s="54"/>
      <c r="I5" s="110"/>
    </row>
    <row r="6" spans="1:9" x14ac:dyDescent="0.25">
      <c r="A6" s="69">
        <v>5</v>
      </c>
      <c r="B6" s="70" t="str">
        <f>+'RESUMEN FINAL'!B6</f>
        <v>DESARROLLAMOS INGENIERIA S.A.S.</v>
      </c>
      <c r="C6" s="72">
        <f>+'RESUMEN FINAL'!D6</f>
        <v>4220409785</v>
      </c>
      <c r="D6" s="72">
        <f>+'RESUMEN FINAL'!E6</f>
        <v>1844946200</v>
      </c>
      <c r="E6" s="130">
        <f t="shared" si="0"/>
        <v>2375463585</v>
      </c>
      <c r="F6" s="54"/>
      <c r="I6" s="110"/>
    </row>
    <row r="7" spans="1:9" x14ac:dyDescent="0.25">
      <c r="A7" s="69">
        <v>6</v>
      </c>
      <c r="B7" s="70" t="str">
        <f>+'RESUMEN FINAL'!B7</f>
        <v>ETEL LTDA EN REORGANIZACION</v>
      </c>
      <c r="C7" s="72">
        <f>+'RESUMEN FINAL'!D7</f>
        <v>13365875287</v>
      </c>
      <c r="D7" s="72">
        <f>+'RESUMEN FINAL'!E7</f>
        <v>6004596505</v>
      </c>
      <c r="E7" s="130">
        <f t="shared" si="0"/>
        <v>7361278782</v>
      </c>
      <c r="F7" s="54"/>
      <c r="I7" s="110"/>
    </row>
    <row r="8" spans="1:9" x14ac:dyDescent="0.25">
      <c r="A8" s="69">
        <v>7</v>
      </c>
      <c r="B8" s="70" t="str">
        <f>+'RESUMEN FINAL'!B8</f>
        <v>NEW GAS AND OIL S.A.S</v>
      </c>
      <c r="C8" s="72">
        <f>+'RESUMEN FINAL'!D8</f>
        <v>2922048000</v>
      </c>
      <c r="D8" s="72">
        <f>+'RESUMEN FINAL'!E8</f>
        <v>740456000</v>
      </c>
      <c r="E8" s="130">
        <f t="shared" si="0"/>
        <v>2181592000</v>
      </c>
      <c r="F8" s="54"/>
      <c r="I8" s="110"/>
    </row>
    <row r="9" spans="1:9" ht="25.5" x14ac:dyDescent="0.25">
      <c r="A9" s="69">
        <v>8</v>
      </c>
      <c r="B9" s="70" t="str">
        <f>+'RESUMEN FINAL'!B9</f>
        <v>INGENIERÍA Y CONSTRUCCIÓN PALACIO BAENA S.A.S.</v>
      </c>
      <c r="C9" s="72">
        <f>+'RESUMEN FINAL'!D9</f>
        <v>4457604105</v>
      </c>
      <c r="D9" s="72">
        <f>+'RESUMEN FINAL'!E9</f>
        <v>804679616</v>
      </c>
      <c r="E9" s="130">
        <f t="shared" si="0"/>
        <v>3652924489</v>
      </c>
      <c r="F9" s="54"/>
      <c r="I9" s="110"/>
    </row>
    <row r="10" spans="1:9" x14ac:dyDescent="0.25">
      <c r="A10" s="69">
        <v>9</v>
      </c>
      <c r="B10" s="70" t="str">
        <f>+'RESUMEN FINAL'!B10</f>
        <v>O R INGENIERIA S A S</v>
      </c>
      <c r="C10" s="72">
        <f>+'RESUMEN FINAL'!D10</f>
        <v>5786155252</v>
      </c>
      <c r="D10" s="72">
        <f>+'RESUMEN FINAL'!E10</f>
        <v>18769065</v>
      </c>
      <c r="E10" s="130">
        <f t="shared" si="0"/>
        <v>5767386187</v>
      </c>
      <c r="F10" s="54"/>
      <c r="H10" s="54"/>
      <c r="I10" s="110"/>
    </row>
    <row r="11" spans="1:9" x14ac:dyDescent="0.25">
      <c r="A11" s="69">
        <v>10</v>
      </c>
      <c r="B11" s="70" t="str">
        <f>+'RESUMEN FINAL'!B11</f>
        <v>G63 INFRAESTRUCTURA Y SERVICIOS S.A.S</v>
      </c>
      <c r="C11" s="72">
        <f>+'RESUMEN FINAL'!D11</f>
        <v>7033771586</v>
      </c>
      <c r="D11" s="72">
        <f>+'RESUMEN FINAL'!E11</f>
        <v>354322660</v>
      </c>
      <c r="E11" s="130">
        <f t="shared" si="0"/>
        <v>6679448926</v>
      </c>
      <c r="F11" s="54"/>
      <c r="H11" s="54"/>
      <c r="I11" s="54"/>
    </row>
    <row r="12" spans="1:9" x14ac:dyDescent="0.25">
      <c r="A12" s="69">
        <v>11</v>
      </c>
      <c r="B12" s="70" t="str">
        <f>+'RESUMEN FINAL'!B12</f>
        <v>INGENIERIA JOULES M. E. C. S.A.S.</v>
      </c>
      <c r="C12" s="72">
        <f>+'RESUMEN FINAL'!D12</f>
        <v>27032499804</v>
      </c>
      <c r="D12" s="72">
        <f>+'RESUMEN FINAL'!E12</f>
        <v>6395228860</v>
      </c>
      <c r="E12" s="130">
        <f t="shared" si="0"/>
        <v>20637270944</v>
      </c>
      <c r="F12" s="54"/>
      <c r="I12" s="54"/>
    </row>
    <row r="13" spans="1:9" x14ac:dyDescent="0.25">
      <c r="A13" s="69">
        <v>12</v>
      </c>
      <c r="B13" s="70" t="str">
        <f>+'RESUMEN FINAL'!B13</f>
        <v>CONSTRUCCIONES AL DIA SAS</v>
      </c>
      <c r="C13" s="72">
        <f>+'RESUMEN FINAL'!D13</f>
        <v>17179765402</v>
      </c>
      <c r="D13" s="72">
        <f>+'RESUMEN FINAL'!E13</f>
        <v>3039893442</v>
      </c>
      <c r="E13" s="130">
        <f t="shared" si="0"/>
        <v>14139871960</v>
      </c>
      <c r="F13" s="54"/>
      <c r="I13" s="110"/>
    </row>
    <row r="14" spans="1:9" x14ac:dyDescent="0.25">
      <c r="A14" s="69">
        <v>13</v>
      </c>
      <c r="B14" s="70" t="str">
        <f>+'RESUMEN FINAL'!B14</f>
        <v>GRUCON S.A.S.</v>
      </c>
      <c r="C14" s="72">
        <f>+'RESUMEN FINAL'!D14</f>
        <v>14472403504</v>
      </c>
      <c r="D14" s="72">
        <f>+'RESUMEN FINAL'!E14</f>
        <v>3284885640</v>
      </c>
      <c r="E14" s="130">
        <f t="shared" si="0"/>
        <v>11187517864</v>
      </c>
      <c r="F14" s="54"/>
    </row>
    <row r="15" spans="1:9" x14ac:dyDescent="0.25">
      <c r="A15" s="69">
        <v>14</v>
      </c>
      <c r="B15" s="70" t="str">
        <f>+'RESUMEN FINAL'!B15</f>
        <v>ANDEAN GEOLOGICAL SERVICES LIMITADA A.G.S.</v>
      </c>
      <c r="C15" s="72">
        <f>+'RESUMEN FINAL'!D15</f>
        <v>2662238091</v>
      </c>
      <c r="D15" s="72">
        <f>+'RESUMEN FINAL'!E15</f>
        <v>292609846</v>
      </c>
      <c r="E15" s="130">
        <f t="shared" si="0"/>
        <v>2369628245</v>
      </c>
      <c r="F15" s="54"/>
    </row>
    <row r="16" spans="1:9" x14ac:dyDescent="0.25">
      <c r="A16" s="69">
        <v>15</v>
      </c>
      <c r="B16" s="70" t="str">
        <f>+'RESUMEN FINAL'!B16</f>
        <v>JAM INGENIERIA Y MEDIO AMBIENTE SAS</v>
      </c>
      <c r="C16" s="72">
        <f>+'RESUMEN FINAL'!D16</f>
        <v>4808392174</v>
      </c>
      <c r="D16" s="72">
        <f>+'RESUMEN FINAL'!E16</f>
        <v>963422079</v>
      </c>
      <c r="E16" s="130">
        <f t="shared" si="0"/>
        <v>3844970095</v>
      </c>
      <c r="F16" s="54"/>
    </row>
    <row r="17" spans="1:6" x14ac:dyDescent="0.25">
      <c r="A17" s="69">
        <v>16</v>
      </c>
      <c r="B17" s="70" t="str">
        <f>+'RESUMEN FINAL'!B17</f>
        <v>CRATOS SOLUCIONES INTEGRALES SAS</v>
      </c>
      <c r="C17" s="72">
        <f>+'RESUMEN FINAL'!D17</f>
        <v>584740206</v>
      </c>
      <c r="D17" s="72">
        <f>+'RESUMEN FINAL'!E17</f>
        <v>42266017</v>
      </c>
      <c r="E17" s="130">
        <f t="shared" si="0"/>
        <v>542474189</v>
      </c>
      <c r="F17" s="54"/>
    </row>
    <row r="18" spans="1:6" ht="25.5" x14ac:dyDescent="0.25">
      <c r="A18" s="69">
        <v>17</v>
      </c>
      <c r="B18" s="70" t="str">
        <f>+'RESUMEN FINAL'!B18</f>
        <v>INGENIERIA Y GESTION DE LA INFORMACION LIMITADA INGFOCOL</v>
      </c>
      <c r="C18" s="72">
        <f>+'RESUMEN FINAL'!D18</f>
        <v>364518044</v>
      </c>
      <c r="D18" s="72">
        <f>+'RESUMEN FINAL'!E18</f>
        <v>111385638</v>
      </c>
      <c r="E18" s="130">
        <f t="shared" si="0"/>
        <v>253132406</v>
      </c>
      <c r="F18" s="54"/>
    </row>
    <row r="19" spans="1:6" x14ac:dyDescent="0.25">
      <c r="A19" s="69">
        <v>18</v>
      </c>
      <c r="B19" s="70" t="str">
        <f>+'RESUMEN FINAL'!B19</f>
        <v>HIDRODUCTOS S.A.S</v>
      </c>
      <c r="C19" s="72">
        <f>+'RESUMEN FINAL'!D19</f>
        <v>683349086</v>
      </c>
      <c r="D19" s="72">
        <f>+'RESUMEN FINAL'!E19</f>
        <v>73517646</v>
      </c>
      <c r="E19" s="130">
        <f t="shared" si="0"/>
        <v>609831440</v>
      </c>
      <c r="F19" s="54"/>
    </row>
    <row r="20" spans="1:6" x14ac:dyDescent="0.25">
      <c r="A20" s="69">
        <v>19</v>
      </c>
      <c r="B20" s="70" t="str">
        <f>+'RESUMEN FINAL'!B20</f>
        <v>RM INGENIEROS S.A.S</v>
      </c>
      <c r="C20" s="72">
        <f>+'RESUMEN FINAL'!D20</f>
        <v>2340952150</v>
      </c>
      <c r="D20" s="72">
        <f>+'RESUMEN FINAL'!E20</f>
        <v>156229783</v>
      </c>
      <c r="E20" s="130">
        <f t="shared" si="0"/>
        <v>2184722367</v>
      </c>
      <c r="F20" s="54"/>
    </row>
    <row r="21" spans="1:6" x14ac:dyDescent="0.25">
      <c r="A21" s="69">
        <v>20</v>
      </c>
      <c r="B21" s="70" t="str">
        <f>+'RESUMEN FINAL'!B21</f>
        <v>HYMAC INGENIERIA SAS</v>
      </c>
      <c r="C21" s="72">
        <f>+'RESUMEN FINAL'!D21</f>
        <v>2385762693</v>
      </c>
      <c r="D21" s="72">
        <f>+'RESUMEN FINAL'!E21</f>
        <v>438660931</v>
      </c>
      <c r="E21" s="130">
        <f t="shared" si="0"/>
        <v>1947101762</v>
      </c>
      <c r="F21" s="54"/>
    </row>
    <row r="22" spans="1:6" x14ac:dyDescent="0.25">
      <c r="A22" s="69">
        <v>21</v>
      </c>
      <c r="B22" s="70" t="str">
        <f>+'RESUMEN FINAL'!B22</f>
        <v>AITEC S.A.S</v>
      </c>
      <c r="C22" s="72">
        <f>+'RESUMEN FINAL'!D22</f>
        <v>5878180071</v>
      </c>
      <c r="D22" s="72">
        <f>+'RESUMEN FINAL'!E22</f>
        <v>715875851</v>
      </c>
      <c r="E22" s="130">
        <f t="shared" si="0"/>
        <v>5162304220</v>
      </c>
      <c r="F22" s="54"/>
    </row>
    <row r="23" spans="1:6" x14ac:dyDescent="0.25">
      <c r="A23" s="69">
        <v>22</v>
      </c>
      <c r="B23" s="70" t="str">
        <f>+'RESUMEN FINAL'!B23</f>
        <v>PROYECTAR INGENIERIA S.A.S.</v>
      </c>
      <c r="C23" s="72">
        <f>+'RESUMEN FINAL'!D23</f>
        <v>8919817451</v>
      </c>
      <c r="D23" s="72">
        <f>+'RESUMEN FINAL'!E23</f>
        <v>3507290855</v>
      </c>
      <c r="E23" s="130">
        <f t="shared" si="0"/>
        <v>5412526596</v>
      </c>
      <c r="F23" s="54"/>
    </row>
    <row r="24" spans="1:6" x14ac:dyDescent="0.25">
      <c r="A24" s="69">
        <v>23</v>
      </c>
      <c r="B24" s="70" t="str">
        <f>+'RESUMEN FINAL'!B24</f>
        <v>INGENIERIA CIVIL Y GEODESIA SAS INCIGE SAS</v>
      </c>
      <c r="C24" s="72">
        <f>+'RESUMEN FINAL'!D24</f>
        <v>5165173605</v>
      </c>
      <c r="D24" s="72">
        <f>+'RESUMEN FINAL'!E24</f>
        <v>1044917204</v>
      </c>
      <c r="E24" s="130">
        <f t="shared" si="0"/>
        <v>4120256401</v>
      </c>
      <c r="F24" s="54"/>
    </row>
    <row r="25" spans="1:6" x14ac:dyDescent="0.25">
      <c r="A25" s="69">
        <v>24</v>
      </c>
      <c r="B25" s="70" t="str">
        <f>+'RESUMEN FINAL'!B25</f>
        <v>ECODES INGENIERIA SAS</v>
      </c>
      <c r="C25" s="72">
        <f>+'RESUMEN FINAL'!D25</f>
        <v>8273098712</v>
      </c>
      <c r="D25" s="72">
        <f>+'RESUMEN FINAL'!E25</f>
        <v>2078640588</v>
      </c>
      <c r="E25" s="130">
        <f t="shared" si="0"/>
        <v>6194458124</v>
      </c>
      <c r="F25" s="54"/>
    </row>
    <row r="26" spans="1:6" x14ac:dyDescent="0.25">
      <c r="A26" s="69">
        <v>25</v>
      </c>
      <c r="B26" s="70" t="str">
        <f>+'RESUMEN FINAL'!B26</f>
        <v>GRUCON S.A.S.</v>
      </c>
      <c r="C26" s="72">
        <f>+'RESUMEN FINAL'!D26</f>
        <v>14472403504</v>
      </c>
      <c r="D26" s="72">
        <f>+'RESUMEN FINAL'!E26</f>
        <v>3284885640</v>
      </c>
      <c r="E26" s="130">
        <f t="shared" si="0"/>
        <v>11187517864</v>
      </c>
      <c r="F26" s="54"/>
    </row>
    <row r="27" spans="1:6" x14ac:dyDescent="0.25">
      <c r="A27" s="67"/>
      <c r="B27" s="140"/>
      <c r="C27" s="81"/>
      <c r="D27" s="81"/>
      <c r="E27" s="41"/>
      <c r="F27" s="54"/>
    </row>
    <row r="28" spans="1:6" x14ac:dyDescent="0.25">
      <c r="A28" s="67"/>
      <c r="B28" s="140"/>
      <c r="C28" s="81"/>
      <c r="D28" s="81"/>
      <c r="E28" s="41"/>
      <c r="F28" s="54"/>
    </row>
    <row r="29" spans="1:6" x14ac:dyDescent="0.25">
      <c r="F29" s="54"/>
    </row>
    <row r="30" spans="1:6" ht="25.5" x14ac:dyDescent="0.25">
      <c r="A30" s="14" t="s">
        <v>0</v>
      </c>
      <c r="B30" s="14" t="s">
        <v>1</v>
      </c>
      <c r="C30" s="14" t="s">
        <v>9</v>
      </c>
      <c r="D30" s="14" t="s">
        <v>10</v>
      </c>
      <c r="E30" s="14" t="s">
        <v>81</v>
      </c>
      <c r="F30" s="54"/>
    </row>
    <row r="31" spans="1:6" x14ac:dyDescent="0.25">
      <c r="A31" s="69">
        <v>1</v>
      </c>
      <c r="B31" s="70" t="s">
        <v>43</v>
      </c>
      <c r="C31" s="58">
        <v>39414690882</v>
      </c>
      <c r="D31" s="58">
        <v>2799974091</v>
      </c>
      <c r="E31" s="130">
        <v>36614716791</v>
      </c>
      <c r="F31" s="54"/>
    </row>
    <row r="32" spans="1:6" x14ac:dyDescent="0.25">
      <c r="A32" s="69">
        <v>2</v>
      </c>
      <c r="B32" s="70" t="s">
        <v>44</v>
      </c>
      <c r="C32" s="58">
        <v>12211452043</v>
      </c>
      <c r="D32" s="58">
        <v>3733560900</v>
      </c>
      <c r="E32" s="130">
        <v>8477891143</v>
      </c>
      <c r="F32" s="54"/>
    </row>
    <row r="33" spans="1:6" x14ac:dyDescent="0.25">
      <c r="A33" s="69">
        <v>3</v>
      </c>
      <c r="B33" s="70" t="s">
        <v>45</v>
      </c>
      <c r="C33" s="58">
        <v>8017692187</v>
      </c>
      <c r="D33" s="58">
        <v>444677339</v>
      </c>
      <c r="E33" s="130">
        <v>7573014848</v>
      </c>
      <c r="F33" s="54"/>
    </row>
    <row r="34" spans="1:6" x14ac:dyDescent="0.25">
      <c r="A34" s="69">
        <v>4</v>
      </c>
      <c r="B34" s="70" t="s">
        <v>47</v>
      </c>
      <c r="C34" s="58">
        <v>1576919821</v>
      </c>
      <c r="D34" s="58">
        <v>59315203</v>
      </c>
      <c r="E34" s="130">
        <v>1517604618</v>
      </c>
      <c r="F34" s="54"/>
    </row>
    <row r="35" spans="1:6" x14ac:dyDescent="0.25">
      <c r="A35" s="69">
        <v>5</v>
      </c>
      <c r="B35" s="70" t="s">
        <v>50</v>
      </c>
      <c r="C35" s="58">
        <v>4220409785</v>
      </c>
      <c r="D35" s="58">
        <v>1844946200</v>
      </c>
      <c r="E35" s="130">
        <v>2375463585</v>
      </c>
      <c r="F35" s="54"/>
    </row>
    <row r="36" spans="1:6" x14ac:dyDescent="0.25">
      <c r="A36" s="69">
        <v>6</v>
      </c>
      <c r="B36" s="70" t="s">
        <v>51</v>
      </c>
      <c r="C36" s="58">
        <v>13365875287</v>
      </c>
      <c r="D36" s="58">
        <v>6004596505</v>
      </c>
      <c r="E36" s="130">
        <v>7361278782</v>
      </c>
      <c r="F36" s="54"/>
    </row>
    <row r="37" spans="1:6" x14ac:dyDescent="0.25">
      <c r="A37" s="69">
        <v>7</v>
      </c>
      <c r="B37" s="70" t="s">
        <v>63</v>
      </c>
      <c r="C37" s="58">
        <v>2922048000</v>
      </c>
      <c r="D37" s="58">
        <v>740456000</v>
      </c>
      <c r="E37" s="130">
        <v>2181592000</v>
      </c>
      <c r="F37" s="54"/>
    </row>
    <row r="38" spans="1:6" ht="25.5" x14ac:dyDescent="0.25">
      <c r="A38" s="69">
        <v>8</v>
      </c>
      <c r="B38" s="70" t="s">
        <v>60</v>
      </c>
      <c r="C38" s="58">
        <v>4457604105</v>
      </c>
      <c r="D38" s="58">
        <v>804679616</v>
      </c>
      <c r="E38" s="130">
        <v>3652924489</v>
      </c>
      <c r="F38" s="54"/>
    </row>
    <row r="39" spans="1:6" x14ac:dyDescent="0.25">
      <c r="A39" s="69">
        <v>9</v>
      </c>
      <c r="B39" s="70" t="s">
        <v>64</v>
      </c>
      <c r="C39" s="58">
        <v>5786155252</v>
      </c>
      <c r="D39" s="58">
        <v>18769065</v>
      </c>
      <c r="E39" s="130">
        <v>5767386187</v>
      </c>
    </row>
    <row r="40" spans="1:6" x14ac:dyDescent="0.25">
      <c r="A40" s="69">
        <v>10</v>
      </c>
      <c r="B40" s="70" t="s">
        <v>53</v>
      </c>
      <c r="C40" s="58">
        <v>7033771586</v>
      </c>
      <c r="D40" s="58">
        <v>354322660</v>
      </c>
      <c r="E40" s="130">
        <v>6679448926</v>
      </c>
    </row>
    <row r="41" spans="1:6" x14ac:dyDescent="0.25">
      <c r="A41" s="69">
        <v>11</v>
      </c>
      <c r="B41" s="70" t="s">
        <v>55</v>
      </c>
      <c r="C41" s="58">
        <v>27032499804</v>
      </c>
      <c r="D41" s="58">
        <v>6395228860</v>
      </c>
      <c r="E41" s="130">
        <v>20637270944</v>
      </c>
    </row>
    <row r="42" spans="1:6" x14ac:dyDescent="0.25">
      <c r="A42" s="69">
        <v>12</v>
      </c>
      <c r="B42" s="70" t="s">
        <v>56</v>
      </c>
      <c r="C42" s="58">
        <v>17179765402</v>
      </c>
      <c r="D42" s="58">
        <v>3039893442</v>
      </c>
      <c r="E42" s="130">
        <v>14139871960</v>
      </c>
    </row>
    <row r="43" spans="1:6" x14ac:dyDescent="0.25">
      <c r="A43" s="69">
        <v>13</v>
      </c>
      <c r="B43" s="70" t="s">
        <v>57</v>
      </c>
      <c r="C43" s="58">
        <v>14472403504</v>
      </c>
      <c r="D43" s="58">
        <v>3284885640</v>
      </c>
      <c r="E43" s="130">
        <v>11187517864</v>
      </c>
    </row>
    <row r="44" spans="1:6" x14ac:dyDescent="0.25">
      <c r="A44" s="69">
        <v>14</v>
      </c>
      <c r="B44" s="70" t="s">
        <v>41</v>
      </c>
      <c r="C44" s="58">
        <v>2662238091</v>
      </c>
      <c r="D44" s="58">
        <v>292609846</v>
      </c>
      <c r="E44" s="130">
        <v>2369628245</v>
      </c>
    </row>
    <row r="45" spans="1:6" x14ac:dyDescent="0.25">
      <c r="A45" s="69">
        <v>15</v>
      </c>
      <c r="B45" s="70" t="s">
        <v>62</v>
      </c>
      <c r="C45" s="58">
        <v>4808392174</v>
      </c>
      <c r="D45" s="58">
        <v>963422079</v>
      </c>
      <c r="E45" s="130">
        <v>3844970095</v>
      </c>
    </row>
    <row r="46" spans="1:6" x14ac:dyDescent="0.25">
      <c r="A46" s="69">
        <v>16</v>
      </c>
      <c r="B46" s="70" t="s">
        <v>49</v>
      </c>
      <c r="C46" s="58">
        <v>584740206</v>
      </c>
      <c r="D46" s="58">
        <v>42266017</v>
      </c>
      <c r="E46" s="130">
        <v>542474189</v>
      </c>
    </row>
    <row r="47" spans="1:6" ht="25.5" x14ac:dyDescent="0.25">
      <c r="A47" s="69">
        <v>17</v>
      </c>
      <c r="B47" s="70" t="s">
        <v>61</v>
      </c>
      <c r="C47" s="58">
        <v>364518044</v>
      </c>
      <c r="D47" s="58">
        <v>111385638</v>
      </c>
      <c r="E47" s="130">
        <v>253132406</v>
      </c>
    </row>
    <row r="48" spans="1:6" x14ac:dyDescent="0.25">
      <c r="A48" s="69">
        <v>18</v>
      </c>
      <c r="B48" s="70" t="s">
        <v>54</v>
      </c>
      <c r="C48" s="58">
        <v>683349086</v>
      </c>
      <c r="D48" s="58">
        <v>73517646</v>
      </c>
      <c r="E48" s="130">
        <v>609831440</v>
      </c>
    </row>
    <row r="49" spans="1:5" x14ac:dyDescent="0.25">
      <c r="A49" s="69">
        <v>19</v>
      </c>
      <c r="B49" s="70" t="s">
        <v>65</v>
      </c>
      <c r="C49" s="58">
        <v>2340952150</v>
      </c>
      <c r="D49" s="58">
        <v>156229783</v>
      </c>
      <c r="E49" s="130">
        <v>2184722367</v>
      </c>
    </row>
    <row r="50" spans="1:5" x14ac:dyDescent="0.25">
      <c r="A50" s="69">
        <v>20</v>
      </c>
      <c r="B50" s="70" t="s">
        <v>58</v>
      </c>
      <c r="C50" s="58">
        <v>2385762693</v>
      </c>
      <c r="D50" s="58">
        <v>438660931</v>
      </c>
      <c r="E50" s="130">
        <v>1947101762</v>
      </c>
    </row>
    <row r="51" spans="1:5" x14ac:dyDescent="0.25">
      <c r="A51" s="69">
        <v>21</v>
      </c>
      <c r="B51" s="70" t="s">
        <v>32</v>
      </c>
      <c r="C51" s="58">
        <v>5878180071</v>
      </c>
      <c r="D51" s="58">
        <v>715875851</v>
      </c>
      <c r="E51" s="130">
        <v>5162304220</v>
      </c>
    </row>
    <row r="52" spans="1:5" x14ac:dyDescent="0.25">
      <c r="A52" s="69">
        <v>22</v>
      </c>
      <c r="B52" s="70" t="s">
        <v>66</v>
      </c>
      <c r="C52" s="58">
        <v>8919817451</v>
      </c>
      <c r="D52" s="58">
        <v>3507290855</v>
      </c>
      <c r="E52" s="130">
        <v>5412526596</v>
      </c>
    </row>
    <row r="53" spans="1:5" x14ac:dyDescent="0.25">
      <c r="A53" s="69">
        <v>23</v>
      </c>
      <c r="B53" s="70" t="s">
        <v>98</v>
      </c>
      <c r="C53" s="58">
        <v>5165173605</v>
      </c>
      <c r="D53" s="58">
        <v>1044917204</v>
      </c>
      <c r="E53" s="130">
        <v>4120256401</v>
      </c>
    </row>
    <row r="54" spans="1:5" x14ac:dyDescent="0.25">
      <c r="A54" s="69">
        <v>24</v>
      </c>
      <c r="B54" s="70" t="s">
        <v>99</v>
      </c>
      <c r="C54" s="58">
        <v>8273098712</v>
      </c>
      <c r="D54" s="58">
        <v>2078640588</v>
      </c>
      <c r="E54" s="130">
        <v>6194458124</v>
      </c>
    </row>
    <row r="55" spans="1:5" x14ac:dyDescent="0.25">
      <c r="A55" s="69">
        <v>25</v>
      </c>
      <c r="B55" s="70" t="s">
        <v>57</v>
      </c>
      <c r="C55" s="58">
        <v>14472403504</v>
      </c>
      <c r="D55" s="58">
        <v>3284885640</v>
      </c>
      <c r="E55" s="130">
        <v>11187517864</v>
      </c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56"/>
  <sheetViews>
    <sheetView workbookViewId="0">
      <selection activeCell="M16" sqref="M16"/>
    </sheetView>
  </sheetViews>
  <sheetFormatPr baseColWidth="10" defaultColWidth="11.42578125" defaultRowHeight="12.75" x14ac:dyDescent="0.25"/>
  <cols>
    <col min="1" max="1" width="3.42578125" style="4" bestFit="1" customWidth="1"/>
    <col min="2" max="2" width="33.7109375" style="4" customWidth="1"/>
    <col min="3" max="3" width="14.42578125" style="4" customWidth="1"/>
    <col min="4" max="4" width="17.7109375" style="4" customWidth="1"/>
    <col min="5" max="5" width="14.7109375" style="4" customWidth="1"/>
    <col min="6" max="6" width="3.42578125" style="4" customWidth="1"/>
    <col min="7" max="7" width="13.42578125" style="4" customWidth="1"/>
    <col min="8" max="9" width="11.42578125" style="4"/>
    <col min="10" max="10" width="14.42578125" style="4" customWidth="1"/>
    <col min="11" max="16384" width="11.42578125" style="4"/>
  </cols>
  <sheetData>
    <row r="1" spans="1:16" ht="25.5" x14ac:dyDescent="0.25">
      <c r="A1" s="14" t="s">
        <v>0</v>
      </c>
      <c r="B1" s="14" t="s">
        <v>1</v>
      </c>
      <c r="C1" s="14" t="s">
        <v>8</v>
      </c>
      <c r="D1" s="14" t="s">
        <v>9</v>
      </c>
      <c r="E1" s="14" t="s">
        <v>82</v>
      </c>
      <c r="G1" s="14" t="s">
        <v>82</v>
      </c>
    </row>
    <row r="2" spans="1:16" x14ac:dyDescent="0.25">
      <c r="A2" s="69">
        <v>1</v>
      </c>
      <c r="B2" s="70" t="str">
        <f>+'RESUMEN FINAL'!B2</f>
        <v>MONTAJES Y CONSTRUCCIONES FERMAR S.A.S</v>
      </c>
      <c r="C2" s="72">
        <f>+'RESUMEN FINAL'!H2</f>
        <v>31066989261</v>
      </c>
      <c r="D2" s="72">
        <f>+'RESUMEN FINAL'!I2</f>
        <v>17356088050</v>
      </c>
      <c r="E2" s="103">
        <f t="shared" ref="E2:E22" si="0">+D2/C2</f>
        <v>0.55866656096566125</v>
      </c>
      <c r="G2" s="182">
        <v>-0.12561532986649371</v>
      </c>
      <c r="I2" s="104" t="s">
        <v>68</v>
      </c>
      <c r="J2" s="105">
        <f>+COUNT($G$2:$G$27)</f>
        <v>25</v>
      </c>
      <c r="L2" s="120" t="s">
        <v>68</v>
      </c>
      <c r="M2" s="105">
        <f>+COUNT($G$3:$G$24)</f>
        <v>22</v>
      </c>
      <c r="O2" s="123" t="s">
        <v>68</v>
      </c>
      <c r="P2" s="105">
        <f>+COUNT($G$3:$G$22)</f>
        <v>20</v>
      </c>
    </row>
    <row r="3" spans="1:16" x14ac:dyDescent="0.25">
      <c r="A3" s="69">
        <v>2</v>
      </c>
      <c r="B3" s="70" t="str">
        <f>+'RESUMEN FINAL'!B3</f>
        <v>SOFORESTA S.A.S.</v>
      </c>
      <c r="C3" s="72">
        <f>+'RESUMEN FINAL'!H3</f>
        <v>16453523348</v>
      </c>
      <c r="D3" s="72">
        <f>+'RESUMEN FINAL'!I3</f>
        <v>4380488759</v>
      </c>
      <c r="E3" s="103">
        <f t="shared" si="0"/>
        <v>0.26623408654490216</v>
      </c>
      <c r="G3" s="183">
        <v>4.3257164482491478E-2</v>
      </c>
      <c r="I3" s="105" t="s">
        <v>69</v>
      </c>
      <c r="J3" s="111">
        <f>+QUARTILE($G$2:$G$27,0)</f>
        <v>-0.12561532986649371</v>
      </c>
      <c r="L3" s="105" t="s">
        <v>69</v>
      </c>
      <c r="M3" s="111">
        <f>+QUARTILE($G$3:$G$24,0)</f>
        <v>4.3257164482491478E-2</v>
      </c>
      <c r="O3" s="105" t="s">
        <v>69</v>
      </c>
      <c r="P3" s="111">
        <f>+QUARTILE($G$3:$G$22,0)</f>
        <v>4.3257164482491478E-2</v>
      </c>
    </row>
    <row r="4" spans="1:16" ht="15" x14ac:dyDescent="0.25">
      <c r="A4" s="69">
        <v>3</v>
      </c>
      <c r="B4" s="70" t="str">
        <f>+'RESUMEN FINAL'!B4</f>
        <v>AZUL URBANO LIMITADA</v>
      </c>
      <c r="C4" s="72">
        <f>+'RESUMEN FINAL'!H4</f>
        <v>2265529125</v>
      </c>
      <c r="D4" s="72">
        <f>+'RESUMEN FINAL'!I4</f>
        <v>98000366</v>
      </c>
      <c r="E4" s="103">
        <f t="shared" si="0"/>
        <v>4.3257164482491478E-2</v>
      </c>
      <c r="G4" s="183">
        <v>5.8503512462089749E-2</v>
      </c>
      <c r="H4"/>
      <c r="I4" s="105" t="s">
        <v>70</v>
      </c>
      <c r="J4" s="111">
        <f>+QUARTILE($G$2:$G$27,1)</f>
        <v>0.14132346219579867</v>
      </c>
      <c r="K4"/>
      <c r="L4" s="105" t="s">
        <v>70</v>
      </c>
      <c r="M4" s="111">
        <f>+QUARTILE($G$3:$G$24,1)</f>
        <v>0.14182214649449715</v>
      </c>
      <c r="O4" s="108" t="s">
        <v>70</v>
      </c>
      <c r="P4" s="111">
        <f>+QUARTILE($G$3:$G$22,1)</f>
        <v>0.13059288028930024</v>
      </c>
    </row>
    <row r="5" spans="1:16" x14ac:dyDescent="0.25">
      <c r="A5" s="69">
        <v>4</v>
      </c>
      <c r="B5" s="70" t="str">
        <f>+'RESUMEN FINAL'!B5</f>
        <v>C.I. HIDRO GEO S.A.S.</v>
      </c>
      <c r="C5" s="72">
        <f>+'RESUMEN FINAL'!H5</f>
        <v>993805401</v>
      </c>
      <c r="D5" s="72">
        <f>+'RESUMEN FINAL'!I5</f>
        <v>97791579</v>
      </c>
      <c r="E5" s="103">
        <f t="shared" si="0"/>
        <v>9.8401134569804982E-2</v>
      </c>
      <c r="G5" s="183">
        <v>6.1753803645150707E-2</v>
      </c>
      <c r="I5" s="105" t="s">
        <v>71</v>
      </c>
      <c r="J5" s="111">
        <f>+QUARTILE($G$2:$G$27,2)</f>
        <v>0.21874776852678127</v>
      </c>
      <c r="L5" s="105" t="s">
        <v>71</v>
      </c>
      <c r="M5" s="111">
        <f>+QUARTILE($G$3:$G$24,2)</f>
        <v>0.2150168367927679</v>
      </c>
      <c r="O5" s="105" t="s">
        <v>71</v>
      </c>
      <c r="P5" s="111">
        <f>+QUARTILE($G$3:$G$22,2)</f>
        <v>0.21074845976329953</v>
      </c>
    </row>
    <row r="6" spans="1:16" ht="15" x14ac:dyDescent="0.25">
      <c r="A6" s="69">
        <v>5</v>
      </c>
      <c r="B6" s="70" t="str">
        <f>+'RESUMEN FINAL'!B6</f>
        <v>DESARROLLAMOS INGENIERIA S.A.S.</v>
      </c>
      <c r="C6" s="72">
        <f>+'RESUMEN FINAL'!H6</f>
        <v>3969052362</v>
      </c>
      <c r="D6" s="72">
        <f>+'RESUMEN FINAL'!I6</f>
        <v>907660945</v>
      </c>
      <c r="E6" s="103">
        <f t="shared" si="0"/>
        <v>0.22868454790115969</v>
      </c>
      <c r="G6" s="183">
        <v>8.0263255042086118E-2</v>
      </c>
      <c r="H6"/>
      <c r="I6" s="105" t="s">
        <v>72</v>
      </c>
      <c r="J6" s="111">
        <f>+QUARTILE($G$2:$G$27,3)</f>
        <v>0.29587339155989012</v>
      </c>
      <c r="K6"/>
      <c r="L6" s="105" t="s">
        <v>72</v>
      </c>
      <c r="M6" s="111">
        <f>+QUARTILE($G$3:$G$24,3)</f>
        <v>0.26273634170205518</v>
      </c>
      <c r="O6" s="105" t="s">
        <v>72</v>
      </c>
      <c r="P6" s="111">
        <f>+QUARTILE($G$3:$G$22,3)</f>
        <v>0.23457418771924829</v>
      </c>
    </row>
    <row r="7" spans="1:16" ht="15" x14ac:dyDescent="0.25">
      <c r="A7" s="69">
        <v>6</v>
      </c>
      <c r="B7" s="70" t="str">
        <f>+'RESUMEN FINAL'!B7</f>
        <v>ETEL LTDA EN REORGANIZACION</v>
      </c>
      <c r="C7" s="72">
        <f>+'RESUMEN FINAL'!H7</f>
        <v>4490363100</v>
      </c>
      <c r="D7" s="72">
        <f>+'RESUMEN FINAL'!I7</f>
        <v>982256908</v>
      </c>
      <c r="E7" s="103">
        <f t="shared" si="0"/>
        <v>0.21874776852678127</v>
      </c>
      <c r="G7" s="183">
        <v>9.8401134569804982E-2</v>
      </c>
      <c r="H7"/>
      <c r="I7" s="105" t="s">
        <v>73</v>
      </c>
      <c r="J7" s="111">
        <f>+QUARTILE($G$2:$G$27,4)</f>
        <v>0.8107654141515559</v>
      </c>
      <c r="K7" s="37"/>
      <c r="L7" s="105" t="s">
        <v>73</v>
      </c>
      <c r="M7" s="111">
        <f>+QUARTILE($G$3:$G$24,4)</f>
        <v>0.5326704965839224</v>
      </c>
      <c r="O7" s="105" t="s">
        <v>73</v>
      </c>
      <c r="P7" s="111">
        <f>+QUARTILE($G$3:$G$22,4)</f>
        <v>0.34496786678781177</v>
      </c>
    </row>
    <row r="8" spans="1:16" ht="15" x14ac:dyDescent="0.25">
      <c r="A8" s="69">
        <v>7</v>
      </c>
      <c r="B8" s="70" t="str">
        <f>+'RESUMEN FINAL'!B8</f>
        <v>NEW GAS AND OIL S.A.S</v>
      </c>
      <c r="C8" s="72">
        <f>+'RESUMEN FINAL'!H8</f>
        <v>3837043000</v>
      </c>
      <c r="D8" s="72">
        <f>+'RESUMEN FINAL'!I8</f>
        <v>236952000</v>
      </c>
      <c r="E8" s="103">
        <f t="shared" si="0"/>
        <v>6.1753803645150707E-2</v>
      </c>
      <c r="G8" s="183">
        <v>0.14132346219579867</v>
      </c>
      <c r="H8"/>
      <c r="I8" s="105" t="s">
        <v>74</v>
      </c>
      <c r="J8" s="111">
        <f>+J6-J4</f>
        <v>0.15454992936409145</v>
      </c>
      <c r="K8"/>
      <c r="L8" s="105" t="s">
        <v>74</v>
      </c>
      <c r="M8" s="111">
        <f>+M6-M4</f>
        <v>0.12091419520755803</v>
      </c>
      <c r="O8" s="105" t="s">
        <v>74</v>
      </c>
      <c r="P8" s="111">
        <f>+P6-P4</f>
        <v>0.10398130742994804</v>
      </c>
    </row>
    <row r="9" spans="1:16" ht="25.5" x14ac:dyDescent="0.25">
      <c r="A9" s="69">
        <v>8</v>
      </c>
      <c r="B9" s="70" t="str">
        <f>+'RESUMEN FINAL'!B9</f>
        <v>INGENIERÍA Y CONSTRUCCIÓN PALACIO BAENA S.A.S.</v>
      </c>
      <c r="C9" s="72">
        <f>+'RESUMEN FINAL'!H9</f>
        <v>3204198943</v>
      </c>
      <c r="D9" s="72">
        <f>+'RESUMEN FINAL'!I9</f>
        <v>459220023</v>
      </c>
      <c r="E9" s="103">
        <f t="shared" si="0"/>
        <v>0.14331819939059259</v>
      </c>
      <c r="G9" s="183">
        <v>0.14331819939059259</v>
      </c>
      <c r="H9"/>
      <c r="I9" s="105" t="s">
        <v>75</v>
      </c>
      <c r="J9" s="111">
        <f>+J4-(J8*1.5)</f>
        <v>-9.0501431850338515E-2</v>
      </c>
      <c r="K9" s="37"/>
      <c r="L9" s="105" t="s">
        <v>75</v>
      </c>
      <c r="M9" s="111">
        <f>+M4-(M8*1.5)</f>
        <v>-3.9549146316839895E-2</v>
      </c>
      <c r="O9" s="105" t="s">
        <v>75</v>
      </c>
      <c r="P9" s="111">
        <f>+P4-(P8*1.5)</f>
        <v>-2.5379080855621822E-2</v>
      </c>
    </row>
    <row r="10" spans="1:16" x14ac:dyDescent="0.25">
      <c r="A10" s="69">
        <v>9</v>
      </c>
      <c r="B10" s="70" t="str">
        <f>+'RESUMEN FINAL'!B10</f>
        <v>O R INGENIERIA S A S</v>
      </c>
      <c r="C10" s="72">
        <f>+'RESUMEN FINAL'!H10</f>
        <v>4734713735</v>
      </c>
      <c r="D10" s="72">
        <f>+'RESUMEN FINAL'!I10</f>
        <v>276997384</v>
      </c>
      <c r="E10" s="103">
        <f t="shared" si="0"/>
        <v>5.8503512462089749E-2</v>
      </c>
      <c r="G10" s="183">
        <v>0.16038264171030533</v>
      </c>
      <c r="I10" s="109" t="s">
        <v>76</v>
      </c>
      <c r="J10" s="111">
        <f>+J6+(J8*1.5)</f>
        <v>0.52769828560602727</v>
      </c>
      <c r="K10" s="17"/>
      <c r="L10" s="109" t="s">
        <v>76</v>
      </c>
      <c r="M10" s="111">
        <f>+M6+(M8*1.5)</f>
        <v>0.44410763451339219</v>
      </c>
      <c r="O10" s="109" t="s">
        <v>76</v>
      </c>
      <c r="P10" s="111">
        <f>+P6+(P8*1.5)</f>
        <v>0.39054614886417038</v>
      </c>
    </row>
    <row r="11" spans="1:16" ht="15" x14ac:dyDescent="0.25">
      <c r="A11" s="69">
        <v>10</v>
      </c>
      <c r="B11" s="70" t="str">
        <f>+'RESUMEN FINAL'!B11</f>
        <v>G63 INFRAESTRUCTURA Y SERVICIOS S.A.S</v>
      </c>
      <c r="C11" s="72">
        <f>+'RESUMEN FINAL'!H11</f>
        <v>5679449055</v>
      </c>
      <c r="D11" s="72">
        <f>+'RESUMEN FINAL'!I11</f>
        <v>455851068</v>
      </c>
      <c r="E11" s="103">
        <f t="shared" si="0"/>
        <v>8.0263255042086118E-2</v>
      </c>
      <c r="G11" s="183">
        <v>0.17065553713309556</v>
      </c>
      <c r="H11"/>
      <c r="I11" s="109" t="s">
        <v>77</v>
      </c>
      <c r="J11" s="111">
        <f>+MEDIAN($G$2:$G$27)</f>
        <v>0.21874776852678127</v>
      </c>
      <c r="K11"/>
      <c r="L11" s="109" t="s">
        <v>77</v>
      </c>
      <c r="M11" s="111">
        <f>+MEDIAN($G$3:$G$24)</f>
        <v>0.2150168367927679</v>
      </c>
      <c r="O11" s="109" t="s">
        <v>77</v>
      </c>
      <c r="P11" s="111">
        <f>+MEDIAN($G$3:G$22)</f>
        <v>0.21074845976329953</v>
      </c>
    </row>
    <row r="12" spans="1:16" ht="15" x14ac:dyDescent="0.25">
      <c r="A12" s="69">
        <v>11</v>
      </c>
      <c r="B12" s="70" t="str">
        <f>+'RESUMEN FINAL'!B12</f>
        <v>INGENIERIA JOULES M. E. C. S.A.S.</v>
      </c>
      <c r="C12" s="72">
        <f>+'RESUMEN FINAL'!H12</f>
        <v>36979219486</v>
      </c>
      <c r="D12" s="72">
        <f>+'RESUMEN FINAL'!I12</f>
        <v>9327753224</v>
      </c>
      <c r="E12" s="103">
        <f t="shared" si="0"/>
        <v>0.25224310717351411</v>
      </c>
      <c r="G12" s="183">
        <v>0.21021101446784451</v>
      </c>
      <c r="H12"/>
      <c r="I12" s="105" t="s">
        <v>78</v>
      </c>
      <c r="J12" s="111">
        <f>+AVERAGE($G$2:$G$27)</f>
        <v>0.24131325172568754</v>
      </c>
      <c r="K12"/>
      <c r="L12" s="105" t="s">
        <v>78</v>
      </c>
      <c r="M12" s="111">
        <f>+AVERAGE($G$3:$G$24)</f>
        <v>0.21768248399506659</v>
      </c>
      <c r="O12" s="105" t="s">
        <v>78</v>
      </c>
      <c r="P12" s="111">
        <f>+AVERAGE($G$3:$G$22)</f>
        <v>0.18880332514528511</v>
      </c>
    </row>
    <row r="13" spans="1:16" ht="15" x14ac:dyDescent="0.25">
      <c r="A13" s="69">
        <v>12</v>
      </c>
      <c r="B13" s="70" t="str">
        <f>+'RESUMEN FINAL'!B13</f>
        <v>CONSTRUCCIONES AL DIA SAS</v>
      </c>
      <c r="C13" s="72">
        <f>+'RESUMEN FINAL'!H13</f>
        <v>17339131257</v>
      </c>
      <c r="D13" s="72">
        <f>+'RESUMEN FINAL'!I13</f>
        <v>9236043657</v>
      </c>
      <c r="E13" s="103">
        <f t="shared" si="0"/>
        <v>0.5326704965839224</v>
      </c>
      <c r="G13" s="183">
        <v>0.21128590505875455</v>
      </c>
      <c r="H13"/>
      <c r="I13" s="105" t="s">
        <v>79</v>
      </c>
      <c r="J13" s="111">
        <f>+STDEVA($G$2:$G$27,0)</f>
        <v>0.19682071327326672</v>
      </c>
      <c r="K13"/>
      <c r="L13" s="105" t="s">
        <v>79</v>
      </c>
      <c r="M13" s="111">
        <f>+STDEVA($G$3:$G$24,0)</f>
        <v>0.13243905885887386</v>
      </c>
      <c r="O13" s="105" t="s">
        <v>79</v>
      </c>
      <c r="P13" s="111">
        <f>+STDEVA($G$3:$G$22,0)</f>
        <v>9.7378726217881101E-2</v>
      </c>
    </row>
    <row r="14" spans="1:16" ht="15" x14ac:dyDescent="0.25">
      <c r="A14" s="69">
        <v>13</v>
      </c>
      <c r="B14" s="70" t="str">
        <f>+'RESUMEN FINAL'!B14</f>
        <v>GRUCON S.A.S.</v>
      </c>
      <c r="C14" s="72">
        <f>+'RESUMEN FINAL'!H14</f>
        <v>9349781100</v>
      </c>
      <c r="D14" s="72">
        <f>+'RESUMEN FINAL'!I14</f>
        <v>3225374041</v>
      </c>
      <c r="E14" s="103">
        <f t="shared" si="0"/>
        <v>0.34496786678781177</v>
      </c>
      <c r="G14" s="183">
        <v>0.21874776852678127</v>
      </c>
      <c r="H14"/>
      <c r="I14"/>
      <c r="J14"/>
      <c r="K14"/>
      <c r="L14" s="17"/>
      <c r="M14" s="115"/>
      <c r="O14" s="185" t="s">
        <v>84</v>
      </c>
      <c r="P14" s="115">
        <f>+P11-P13</f>
        <v>0.11336973354541843</v>
      </c>
    </row>
    <row r="15" spans="1:16" ht="15" x14ac:dyDescent="0.25">
      <c r="A15" s="69">
        <v>14</v>
      </c>
      <c r="B15" s="70" t="str">
        <f>+'RESUMEN FINAL'!B15</f>
        <v>ANDEAN GEOLOGICAL SERVICES LIMITADA A.G.S.</v>
      </c>
      <c r="C15" s="72">
        <f>+'RESUMEN FINAL'!H15</f>
        <v>1854070576</v>
      </c>
      <c r="D15" s="72">
        <f>+'RESUMEN FINAL'!I15</f>
        <v>-232899687</v>
      </c>
      <c r="E15" s="103">
        <f t="shared" si="0"/>
        <v>-0.12561532986649371</v>
      </c>
      <c r="G15" s="183">
        <v>0.22079769772873298</v>
      </c>
      <c r="H15"/>
      <c r="I15" s="37"/>
      <c r="J15" s="16"/>
      <c r="K15" s="37"/>
      <c r="L15" s="17"/>
      <c r="M15" s="43"/>
      <c r="P15" s="191">
        <f>+P12-P13</f>
        <v>9.1424598927404011E-2</v>
      </c>
    </row>
    <row r="16" spans="1:16" ht="15" x14ac:dyDescent="0.25">
      <c r="A16" s="69">
        <v>15</v>
      </c>
      <c r="B16" s="70" t="str">
        <f>+'RESUMEN FINAL'!B16</f>
        <v>JAM INGENIERIA Y MEDIO AMBIENTE SAS</v>
      </c>
      <c r="C16" s="72">
        <f>+'RESUMEN FINAL'!H16</f>
        <v>4345743065</v>
      </c>
      <c r="D16" s="72">
        <f>+'RESUMEN FINAL'!I16</f>
        <v>741625117</v>
      </c>
      <c r="E16" s="103">
        <f t="shared" si="0"/>
        <v>0.17065553713309556</v>
      </c>
      <c r="G16" s="183">
        <v>0.22419453973708378</v>
      </c>
      <c r="H16"/>
      <c r="I16" s="37"/>
      <c r="J16" s="16"/>
      <c r="K16" s="37"/>
      <c r="L16" s="17"/>
      <c r="M16" s="43"/>
    </row>
    <row r="17" spans="1:13" ht="15" x14ac:dyDescent="0.25">
      <c r="A17" s="69">
        <v>16</v>
      </c>
      <c r="B17" s="70" t="str">
        <f>+'RESUMEN FINAL'!B17</f>
        <v>CRATOS SOLUCIONES INTEGRALES SAS</v>
      </c>
      <c r="C17" s="72">
        <f>+'RESUMEN FINAL'!H17</f>
        <v>545832591</v>
      </c>
      <c r="D17" s="72">
        <f>+'RESUMEN FINAL'!I17</f>
        <v>115326733</v>
      </c>
      <c r="E17" s="103">
        <f t="shared" si="0"/>
        <v>0.21128590505875455</v>
      </c>
      <c r="G17" s="183">
        <v>0.22868454790115969</v>
      </c>
      <c r="H17"/>
      <c r="I17" s="37"/>
      <c r="J17" s="16"/>
      <c r="K17" s="37"/>
      <c r="L17" s="17"/>
      <c r="M17" s="43"/>
    </row>
    <row r="18" spans="1:13" ht="25.5" x14ac:dyDescent="0.25">
      <c r="A18" s="69">
        <v>17</v>
      </c>
      <c r="B18" s="70" t="str">
        <f>+'RESUMEN FINAL'!B18</f>
        <v>INGENIERIA Y GESTION DE LA INFORMACION LIMITADA INGFOCOL</v>
      </c>
      <c r="C18" s="72">
        <f>+'RESUMEN FINAL'!H18</f>
        <v>304577933</v>
      </c>
      <c r="D18" s="72">
        <f>+'RESUMEN FINAL'!I18</f>
        <v>43044008</v>
      </c>
      <c r="E18" s="103">
        <f t="shared" si="0"/>
        <v>0.14132346219579867</v>
      </c>
      <c r="G18" s="183">
        <v>0.25224310717351411</v>
      </c>
      <c r="H18"/>
      <c r="I18" s="37"/>
      <c r="J18" s="16"/>
      <c r="K18" s="37"/>
      <c r="L18" s="17"/>
      <c r="M18" s="43"/>
    </row>
    <row r="19" spans="1:13" ht="15" x14ac:dyDescent="0.25">
      <c r="A19" s="69">
        <v>18</v>
      </c>
      <c r="B19" s="70" t="str">
        <f>+'RESUMEN FINAL'!B19</f>
        <v>HIDRODUCTOS S.A.S</v>
      </c>
      <c r="C19" s="72">
        <f>+'RESUMEN FINAL'!H19</f>
        <v>610453575</v>
      </c>
      <c r="D19" s="72">
        <f>+'RESUMEN FINAL'!I19</f>
        <v>97906157</v>
      </c>
      <c r="E19" s="103">
        <f t="shared" si="0"/>
        <v>0.16038264171030533</v>
      </c>
      <c r="G19" s="183">
        <v>0.26623408654490216</v>
      </c>
      <c r="H19"/>
      <c r="I19"/>
      <c r="J19"/>
      <c r="K19"/>
      <c r="L19" s="17"/>
      <c r="M19" s="43"/>
    </row>
    <row r="20" spans="1:13" ht="15" x14ac:dyDescent="0.25">
      <c r="A20" s="69">
        <v>19</v>
      </c>
      <c r="B20" s="70" t="str">
        <f>+'RESUMEN FINAL'!B20</f>
        <v>RM INGENIEROS S.A.S</v>
      </c>
      <c r="C20" s="72">
        <f>+'RESUMEN FINAL'!H20</f>
        <v>2262601730</v>
      </c>
      <c r="D20" s="72">
        <f>+'RESUMEN FINAL'!I20</f>
        <v>475623805</v>
      </c>
      <c r="E20" s="103">
        <f t="shared" si="0"/>
        <v>0.21021101446784451</v>
      </c>
      <c r="G20" s="183">
        <v>0.29587339155989012</v>
      </c>
      <c r="H20"/>
      <c r="I20"/>
      <c r="J20"/>
      <c r="K20"/>
      <c r="L20" s="17"/>
      <c r="M20" s="43"/>
    </row>
    <row r="21" spans="1:13" ht="15" x14ac:dyDescent="0.25">
      <c r="A21" s="69">
        <v>20</v>
      </c>
      <c r="B21" s="70" t="str">
        <f>+'RESUMEN FINAL'!B21</f>
        <v>HYMAC INGENIERIA SAS</v>
      </c>
      <c r="C21" s="72">
        <f>+'RESUMEN FINAL'!H21</f>
        <v>2706842449</v>
      </c>
      <c r="D21" s="72">
        <f>+'RESUMEN FINAL'!I21</f>
        <v>1300035926</v>
      </c>
      <c r="E21" s="103">
        <f t="shared" si="0"/>
        <v>0.4802776484018409</v>
      </c>
      <c r="G21" s="183">
        <v>0.34496786678781177</v>
      </c>
      <c r="H21"/>
      <c r="I21"/>
      <c r="J21"/>
      <c r="K21"/>
      <c r="L21" s="17"/>
      <c r="M21" s="43"/>
    </row>
    <row r="22" spans="1:13" ht="15" x14ac:dyDescent="0.25">
      <c r="A22" s="69">
        <v>21</v>
      </c>
      <c r="B22" s="70" t="str">
        <f>+'RESUMEN FINAL'!B22</f>
        <v>AITEC S.A.S</v>
      </c>
      <c r="C22" s="72">
        <f>+'RESUMEN FINAL'!H22</f>
        <v>2757979136</v>
      </c>
      <c r="D22" s="72">
        <f>+'RESUMEN FINAL'!I22</f>
        <v>618323863</v>
      </c>
      <c r="E22" s="103">
        <f t="shared" si="0"/>
        <v>0.22419453973708378</v>
      </c>
      <c r="G22" s="183">
        <v>0.34496786678781177</v>
      </c>
      <c r="H22"/>
      <c r="I22"/>
      <c r="J22"/>
      <c r="K22"/>
      <c r="L22" s="17"/>
      <c r="M22" s="43"/>
    </row>
    <row r="23" spans="1:13" ht="15" x14ac:dyDescent="0.25">
      <c r="A23" s="69">
        <v>22</v>
      </c>
      <c r="B23" s="70" t="str">
        <f>+'RESUMEN FINAL'!B23</f>
        <v>PROYECTAR INGENIERIA S.A.S.</v>
      </c>
      <c r="C23" s="72">
        <f>+'RESUMEN FINAL'!H23</f>
        <v>7866422674</v>
      </c>
      <c r="D23" s="72">
        <f>+'RESUMEN FINAL'!I23</f>
        <v>2327465156</v>
      </c>
      <c r="E23" s="103">
        <f t="shared" ref="E23" si="1">+D23/C23</f>
        <v>0.29587339155989012</v>
      </c>
      <c r="G23" s="184">
        <v>0.4802776484018409</v>
      </c>
      <c r="H23"/>
      <c r="I23"/>
      <c r="J23"/>
      <c r="K23"/>
      <c r="M23" s="43"/>
    </row>
    <row r="24" spans="1:13" ht="15" x14ac:dyDescent="0.25">
      <c r="A24" s="69">
        <v>23</v>
      </c>
      <c r="B24" s="70" t="str">
        <f>+'RESUMEN FINAL'!B24</f>
        <v>INGENIERIA CIVIL Y GEODESIA SAS INCIGE SAS</v>
      </c>
      <c r="C24" s="72">
        <f>+'RESUMEN FINAL'!H24</f>
        <v>2253552687</v>
      </c>
      <c r="D24" s="72">
        <f>+'RESUMEN FINAL'!I24</f>
        <v>497579245</v>
      </c>
      <c r="E24" s="103">
        <f t="shared" ref="E24:E26" si="2">+D24/C24</f>
        <v>0.22079769772873298</v>
      </c>
      <c r="G24" s="184">
        <v>0.5326704965839224</v>
      </c>
      <c r="H24"/>
      <c r="I24"/>
      <c r="J24"/>
      <c r="K24"/>
      <c r="M24" s="43"/>
    </row>
    <row r="25" spans="1:13" ht="15" x14ac:dyDescent="0.25">
      <c r="A25" s="69">
        <v>24</v>
      </c>
      <c r="B25" s="70" t="str">
        <f>+'RESUMEN FINAL'!B25</f>
        <v>ECODES INGENIERIA SAS</v>
      </c>
      <c r="C25" s="72">
        <f>+'RESUMEN FINAL'!H25</f>
        <v>5265736924</v>
      </c>
      <c r="D25" s="72">
        <f>+'RESUMEN FINAL'!I25</f>
        <v>4269277378</v>
      </c>
      <c r="E25" s="103">
        <f t="shared" si="2"/>
        <v>0.8107654141515559</v>
      </c>
      <c r="G25" s="182">
        <v>0.55866656096566125</v>
      </c>
      <c r="H25"/>
      <c r="I25"/>
      <c r="J25"/>
      <c r="K25"/>
      <c r="M25" s="43"/>
    </row>
    <row r="26" spans="1:13" ht="15" x14ac:dyDescent="0.25">
      <c r="A26" s="69">
        <v>25</v>
      </c>
      <c r="B26" s="70" t="str">
        <f>+'RESUMEN FINAL'!B26</f>
        <v>GRUCON S.A.S.</v>
      </c>
      <c r="C26" s="72">
        <f>+'RESUMEN FINAL'!H26</f>
        <v>9349781100</v>
      </c>
      <c r="D26" s="72">
        <f>+'RESUMEN FINAL'!I26</f>
        <v>3225374041</v>
      </c>
      <c r="E26" s="103">
        <f t="shared" si="2"/>
        <v>0.34496786678781177</v>
      </c>
      <c r="G26" s="182">
        <v>0.8107654141515559</v>
      </c>
      <c r="H26"/>
      <c r="I26"/>
      <c r="J26"/>
      <c r="K26"/>
      <c r="M26" s="43"/>
    </row>
    <row r="27" spans="1:13" ht="15" x14ac:dyDescent="0.25">
      <c r="A27"/>
      <c r="B27" s="140"/>
      <c r="C27" s="81"/>
      <c r="D27" s="81"/>
      <c r="E27" s="141"/>
      <c r="H27"/>
      <c r="I27"/>
      <c r="J27"/>
      <c r="K27"/>
      <c r="M27" s="43"/>
    </row>
    <row r="28" spans="1:13" ht="15" x14ac:dyDescent="0.25">
      <c r="A28"/>
      <c r="B28" s="140"/>
      <c r="C28" s="81"/>
      <c r="D28" s="81"/>
      <c r="E28" s="141"/>
      <c r="H28"/>
      <c r="I28"/>
      <c r="J28"/>
      <c r="K28"/>
      <c r="M28" s="43"/>
    </row>
    <row r="29" spans="1:13" ht="15" x14ac:dyDescent="0.25">
      <c r="A29"/>
      <c r="B29" s="140"/>
      <c r="C29" s="81"/>
      <c r="D29" s="81"/>
      <c r="E29" s="141"/>
      <c r="H29"/>
      <c r="I29"/>
      <c r="J29"/>
      <c r="K29"/>
      <c r="M29" s="43"/>
    </row>
    <row r="30" spans="1:13" ht="15" x14ac:dyDescent="0.25">
      <c r="A30"/>
      <c r="H30"/>
      <c r="I30"/>
      <c r="J30"/>
      <c r="K30"/>
      <c r="M30" s="43"/>
    </row>
    <row r="31" spans="1:13" ht="25.5" x14ac:dyDescent="0.25">
      <c r="A31" s="14" t="s">
        <v>0</v>
      </c>
      <c r="B31" s="14" t="s">
        <v>1</v>
      </c>
      <c r="C31" s="14" t="s">
        <v>8</v>
      </c>
      <c r="D31" s="14" t="s">
        <v>9</v>
      </c>
      <c r="E31" s="14" t="s">
        <v>82</v>
      </c>
      <c r="H31"/>
      <c r="I31"/>
      <c r="J31"/>
      <c r="K31"/>
      <c r="M31" s="43"/>
    </row>
    <row r="32" spans="1:13" ht="15" x14ac:dyDescent="0.25">
      <c r="A32" s="69">
        <v>1</v>
      </c>
      <c r="B32" s="70" t="s">
        <v>43</v>
      </c>
      <c r="C32" s="72">
        <v>31066989261</v>
      </c>
      <c r="D32" s="72">
        <v>17356088050</v>
      </c>
      <c r="E32" s="103">
        <v>0.55866656096566125</v>
      </c>
      <c r="H32"/>
      <c r="I32"/>
      <c r="J32"/>
      <c r="K32"/>
      <c r="M32" s="43"/>
    </row>
    <row r="33" spans="1:13" x14ac:dyDescent="0.25">
      <c r="A33" s="69">
        <v>2</v>
      </c>
      <c r="B33" s="70" t="s">
        <v>44</v>
      </c>
      <c r="C33" s="57">
        <v>16453523348</v>
      </c>
      <c r="D33" s="57">
        <v>4380488759</v>
      </c>
      <c r="E33" s="103">
        <v>0.26623408654490216</v>
      </c>
      <c r="M33" s="43"/>
    </row>
    <row r="34" spans="1:13" ht="15" x14ac:dyDescent="0.25">
      <c r="A34" s="69">
        <v>3</v>
      </c>
      <c r="B34" s="70" t="s">
        <v>45</v>
      </c>
      <c r="C34" s="56">
        <v>2265529125</v>
      </c>
      <c r="D34" s="56">
        <v>98000366</v>
      </c>
      <c r="E34" s="103">
        <v>4.3257164482491478E-2</v>
      </c>
      <c r="H34"/>
      <c r="I34"/>
      <c r="J34"/>
      <c r="K34"/>
      <c r="M34" s="43"/>
    </row>
    <row r="35" spans="1:13" x14ac:dyDescent="0.25">
      <c r="A35" s="69">
        <v>4</v>
      </c>
      <c r="B35" s="77" t="s">
        <v>47</v>
      </c>
      <c r="C35" s="58">
        <v>993805401</v>
      </c>
      <c r="D35" s="58">
        <v>97791579</v>
      </c>
      <c r="E35" s="103">
        <v>9.8401134569804982E-2</v>
      </c>
      <c r="H35" s="37"/>
      <c r="I35" s="16"/>
      <c r="K35" s="46"/>
      <c r="M35" s="43"/>
    </row>
    <row r="36" spans="1:13" ht="15" x14ac:dyDescent="0.25">
      <c r="A36" s="69">
        <v>5</v>
      </c>
      <c r="B36" s="70" t="s">
        <v>50</v>
      </c>
      <c r="C36" s="58">
        <v>3969052362</v>
      </c>
      <c r="D36" s="58">
        <v>907660945</v>
      </c>
      <c r="E36" s="103">
        <v>0.22868454790115969</v>
      </c>
      <c r="H36"/>
      <c r="I36"/>
      <c r="J36"/>
      <c r="K36"/>
      <c r="M36" s="43"/>
    </row>
    <row r="37" spans="1:13" ht="15" x14ac:dyDescent="0.25">
      <c r="A37" s="69">
        <v>6</v>
      </c>
      <c r="B37" s="70" t="s">
        <v>51</v>
      </c>
      <c r="C37" s="58">
        <v>4490363100</v>
      </c>
      <c r="D37" s="58">
        <v>982256908</v>
      </c>
      <c r="E37" s="103">
        <v>0.21874776852678127</v>
      </c>
      <c r="H37"/>
      <c r="I37"/>
      <c r="J37"/>
      <c r="K37"/>
      <c r="M37" s="43"/>
    </row>
    <row r="38" spans="1:13" ht="15" x14ac:dyDescent="0.25">
      <c r="A38" s="69">
        <v>7</v>
      </c>
      <c r="B38" s="70" t="s">
        <v>63</v>
      </c>
      <c r="C38" s="78">
        <v>3837043000</v>
      </c>
      <c r="D38" s="78">
        <v>236952000</v>
      </c>
      <c r="E38" s="103">
        <v>6.1753803645150707E-2</v>
      </c>
      <c r="H38"/>
      <c r="I38"/>
      <c r="J38"/>
      <c r="K38"/>
      <c r="M38" s="43"/>
    </row>
    <row r="39" spans="1:13" ht="25.5" x14ac:dyDescent="0.25">
      <c r="A39" s="69">
        <v>8</v>
      </c>
      <c r="B39" s="70" t="s">
        <v>60</v>
      </c>
      <c r="C39" s="78">
        <v>3204198943</v>
      </c>
      <c r="D39" s="78">
        <v>459220023</v>
      </c>
      <c r="E39" s="103">
        <v>0.14331819939059259</v>
      </c>
      <c r="H39"/>
      <c r="I39"/>
      <c r="J39"/>
      <c r="K39"/>
      <c r="M39" s="43"/>
    </row>
    <row r="40" spans="1:13" ht="15" x14ac:dyDescent="0.25">
      <c r="A40" s="69">
        <v>9</v>
      </c>
      <c r="B40" s="70" t="s">
        <v>64</v>
      </c>
      <c r="C40" s="78">
        <v>4734713735</v>
      </c>
      <c r="D40" s="78">
        <v>276997384</v>
      </c>
      <c r="E40" s="103">
        <v>5.8503512462089749E-2</v>
      </c>
      <c r="H40"/>
      <c r="I40"/>
      <c r="J40"/>
      <c r="K40"/>
      <c r="M40" s="43"/>
    </row>
    <row r="41" spans="1:13" x14ac:dyDescent="0.25">
      <c r="A41" s="69">
        <v>10</v>
      </c>
      <c r="B41" s="70" t="s">
        <v>53</v>
      </c>
      <c r="C41" s="78">
        <v>5679449055</v>
      </c>
      <c r="D41" s="78">
        <v>455851068</v>
      </c>
      <c r="E41" s="103">
        <v>8.0263255042086118E-2</v>
      </c>
    </row>
    <row r="42" spans="1:13" x14ac:dyDescent="0.25">
      <c r="A42" s="69">
        <v>11</v>
      </c>
      <c r="B42" s="70" t="s">
        <v>55</v>
      </c>
      <c r="C42" s="78">
        <v>36979219486</v>
      </c>
      <c r="D42" s="78">
        <v>9327753224</v>
      </c>
      <c r="E42" s="103">
        <v>0.25224310717351411</v>
      </c>
    </row>
    <row r="43" spans="1:13" x14ac:dyDescent="0.25">
      <c r="A43" s="69">
        <v>12</v>
      </c>
      <c r="B43" s="70" t="s">
        <v>56</v>
      </c>
      <c r="C43" s="78">
        <v>17339131257</v>
      </c>
      <c r="D43" s="78">
        <v>9236043657</v>
      </c>
      <c r="E43" s="103">
        <v>0.5326704965839224</v>
      </c>
    </row>
    <row r="44" spans="1:13" x14ac:dyDescent="0.25">
      <c r="A44" s="69">
        <v>13</v>
      </c>
      <c r="B44" s="70" t="s">
        <v>57</v>
      </c>
      <c r="C44" s="78">
        <v>9349781100</v>
      </c>
      <c r="D44" s="78">
        <v>3225374041</v>
      </c>
      <c r="E44" s="103">
        <v>0.34496786678781177</v>
      </c>
    </row>
    <row r="45" spans="1:13" x14ac:dyDescent="0.25">
      <c r="A45" s="69">
        <v>14</v>
      </c>
      <c r="B45" s="70" t="s">
        <v>41</v>
      </c>
      <c r="C45" s="78">
        <v>1854070576</v>
      </c>
      <c r="D45" s="78">
        <v>-232899687</v>
      </c>
      <c r="E45" s="103">
        <v>-0.12561532986649371</v>
      </c>
    </row>
    <row r="46" spans="1:13" x14ac:dyDescent="0.25">
      <c r="A46" s="69">
        <v>15</v>
      </c>
      <c r="B46" s="70" t="s">
        <v>62</v>
      </c>
      <c r="C46" s="78">
        <v>4345743065</v>
      </c>
      <c r="D46" s="78">
        <v>741625117</v>
      </c>
      <c r="E46" s="103">
        <v>0.17065553713309556</v>
      </c>
    </row>
    <row r="47" spans="1:13" x14ac:dyDescent="0.25">
      <c r="A47" s="69">
        <v>16</v>
      </c>
      <c r="B47" s="70" t="s">
        <v>49</v>
      </c>
      <c r="C47" s="78">
        <v>545832591</v>
      </c>
      <c r="D47" s="78">
        <v>115326733</v>
      </c>
      <c r="E47" s="103">
        <v>0.21128590505875455</v>
      </c>
    </row>
    <row r="48" spans="1:13" ht="25.5" x14ac:dyDescent="0.25">
      <c r="A48" s="69">
        <v>17</v>
      </c>
      <c r="B48" s="70" t="s">
        <v>61</v>
      </c>
      <c r="C48" s="78">
        <v>304577933</v>
      </c>
      <c r="D48" s="78">
        <v>43044008</v>
      </c>
      <c r="E48" s="103">
        <v>0.14132346219579867</v>
      </c>
    </row>
    <row r="49" spans="1:5" x14ac:dyDescent="0.25">
      <c r="A49" s="69">
        <v>18</v>
      </c>
      <c r="B49" s="70" t="s">
        <v>54</v>
      </c>
      <c r="C49" s="78">
        <v>610453575</v>
      </c>
      <c r="D49" s="78">
        <v>97906157</v>
      </c>
      <c r="E49" s="103">
        <v>0.16038264171030533</v>
      </c>
    </row>
    <row r="50" spans="1:5" x14ac:dyDescent="0.25">
      <c r="A50" s="69">
        <v>19</v>
      </c>
      <c r="B50" s="70" t="s">
        <v>65</v>
      </c>
      <c r="C50" s="78">
        <v>2262601730</v>
      </c>
      <c r="D50" s="78">
        <v>475623805</v>
      </c>
      <c r="E50" s="103">
        <v>0.21021101446784451</v>
      </c>
    </row>
    <row r="51" spans="1:5" x14ac:dyDescent="0.25">
      <c r="A51" s="69">
        <v>20</v>
      </c>
      <c r="B51" s="70" t="s">
        <v>58</v>
      </c>
      <c r="C51" s="78">
        <v>2706842449</v>
      </c>
      <c r="D51" s="78">
        <v>1300035926</v>
      </c>
      <c r="E51" s="103">
        <v>0.4802776484018409</v>
      </c>
    </row>
    <row r="52" spans="1:5" x14ac:dyDescent="0.25">
      <c r="A52" s="69">
        <v>21</v>
      </c>
      <c r="B52" s="70" t="s">
        <v>32</v>
      </c>
      <c r="C52" s="78">
        <v>2757979136</v>
      </c>
      <c r="D52" s="78">
        <v>618323863</v>
      </c>
      <c r="E52" s="103">
        <v>0.22419453973708378</v>
      </c>
    </row>
    <row r="53" spans="1:5" x14ac:dyDescent="0.25">
      <c r="A53" s="69">
        <v>22</v>
      </c>
      <c r="B53" s="70" t="s">
        <v>66</v>
      </c>
      <c r="C53" s="78">
        <v>7866422674</v>
      </c>
      <c r="D53" s="78">
        <v>2327465156</v>
      </c>
      <c r="E53" s="103">
        <v>0.29587339155989012</v>
      </c>
    </row>
    <row r="54" spans="1:5" x14ac:dyDescent="0.25">
      <c r="A54" s="69">
        <v>23</v>
      </c>
      <c r="B54" s="70" t="s">
        <v>98</v>
      </c>
      <c r="C54" s="78">
        <v>2253552687</v>
      </c>
      <c r="D54" s="78">
        <v>497579245</v>
      </c>
      <c r="E54" s="103">
        <v>0.22079769772873298</v>
      </c>
    </row>
    <row r="55" spans="1:5" x14ac:dyDescent="0.25">
      <c r="A55" s="69">
        <v>24</v>
      </c>
      <c r="B55" s="70" t="s">
        <v>99</v>
      </c>
      <c r="C55" s="78">
        <v>5265736924</v>
      </c>
      <c r="D55" s="78">
        <v>4269277378</v>
      </c>
      <c r="E55" s="103">
        <v>0.8107654141515559</v>
      </c>
    </row>
    <row r="56" spans="1:5" x14ac:dyDescent="0.25">
      <c r="A56" s="69">
        <v>25</v>
      </c>
      <c r="B56" s="70" t="s">
        <v>57</v>
      </c>
      <c r="C56" s="78">
        <v>9349781100</v>
      </c>
      <c r="D56" s="78">
        <v>3225374041</v>
      </c>
      <c r="E56" s="103">
        <v>0.34496786678781177</v>
      </c>
    </row>
  </sheetData>
  <sortState xmlns:xlrd2="http://schemas.microsoft.com/office/spreadsheetml/2017/richdata2" ref="G2:G26">
    <sortCondition ref="G1:G26"/>
  </sortState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58"/>
  <sheetViews>
    <sheetView topLeftCell="A39" workbookViewId="0">
      <selection activeCell="C60" sqref="C60"/>
    </sheetView>
  </sheetViews>
  <sheetFormatPr baseColWidth="10" defaultColWidth="11.42578125" defaultRowHeight="12.75" x14ac:dyDescent="0.25"/>
  <cols>
    <col min="1" max="1" width="3.42578125" style="4" bestFit="1" customWidth="1"/>
    <col min="2" max="2" width="33.7109375" style="4" customWidth="1"/>
    <col min="3" max="3" width="14.85546875" style="4" customWidth="1"/>
    <col min="4" max="5" width="13.85546875" style="4" customWidth="1"/>
    <col min="6" max="6" width="2.42578125" style="4" customWidth="1"/>
    <col min="7" max="7" width="13.42578125" style="4" customWidth="1"/>
    <col min="8" max="16384" width="11.42578125" style="4"/>
  </cols>
  <sheetData>
    <row r="1" spans="1:16" ht="25.5" x14ac:dyDescent="0.25">
      <c r="A1" s="14" t="s">
        <v>0</v>
      </c>
      <c r="B1" s="14" t="s">
        <v>1</v>
      </c>
      <c r="C1" s="14" t="s">
        <v>6</v>
      </c>
      <c r="D1" s="14" t="s">
        <v>9</v>
      </c>
      <c r="E1" s="18" t="s">
        <v>83</v>
      </c>
      <c r="G1" s="18" t="s">
        <v>83</v>
      </c>
    </row>
    <row r="2" spans="1:16" x14ac:dyDescent="0.25">
      <c r="A2" s="69">
        <v>1</v>
      </c>
      <c r="B2" s="70" t="str">
        <f>+'RESUMEN FINAL'!B2</f>
        <v>MONTAJES Y CONSTRUCCIONES FERMAR S.A.S</v>
      </c>
      <c r="C2" s="72">
        <f>+'RESUMEN FINAL'!F2</f>
        <v>48467746992</v>
      </c>
      <c r="D2" s="72">
        <f>+'RESUMEN FINAL'!I2</f>
        <v>17356088050</v>
      </c>
      <c r="E2" s="31">
        <f t="shared" ref="E2:E11" si="0">+D2/C2</f>
        <v>0.35809562290701824</v>
      </c>
      <c r="G2" s="103">
        <v>-8.1247320574712789E-2</v>
      </c>
      <c r="I2" s="104" t="s">
        <v>68</v>
      </c>
      <c r="J2" s="105">
        <f>+COUNT($G$2:$G$26)</f>
        <v>25</v>
      </c>
      <c r="L2" s="110"/>
      <c r="O2" s="110"/>
    </row>
    <row r="3" spans="1:16" x14ac:dyDescent="0.25">
      <c r="A3" s="69">
        <v>2</v>
      </c>
      <c r="B3" s="70" t="str">
        <f>+'RESUMEN FINAL'!B3</f>
        <v>SOFORESTA S.A.S.</v>
      </c>
      <c r="C3" s="72">
        <f>+'RESUMEN FINAL'!F3</f>
        <v>27742301191</v>
      </c>
      <c r="D3" s="72">
        <f>+'RESUMEN FINAL'!I3</f>
        <v>4380488759</v>
      </c>
      <c r="E3" s="31">
        <f t="shared" si="0"/>
        <v>0.15789925748557201</v>
      </c>
      <c r="G3" s="103">
        <v>1.1705041659091567E-2</v>
      </c>
      <c r="I3" s="105" t="s">
        <v>69</v>
      </c>
      <c r="J3" s="111">
        <f>+QUARTILE($G$2:$G$26,0)</f>
        <v>-8.1247320574712789E-2</v>
      </c>
      <c r="M3" s="115"/>
      <c r="P3" s="115"/>
    </row>
    <row r="4" spans="1:16" x14ac:dyDescent="0.25">
      <c r="A4" s="69">
        <v>3</v>
      </c>
      <c r="B4" s="70" t="str">
        <f>+'RESUMEN FINAL'!B4</f>
        <v>AZUL URBANO LIMITADA</v>
      </c>
      <c r="C4" s="72">
        <f>+'RESUMEN FINAL'!F4</f>
        <v>8372491859</v>
      </c>
      <c r="D4" s="72">
        <f>+'RESUMEN FINAL'!I4</f>
        <v>98000366</v>
      </c>
      <c r="E4" s="31">
        <f t="shared" si="0"/>
        <v>1.1705041659091567E-2</v>
      </c>
      <c r="G4" s="103">
        <v>3.4119711366938907E-2</v>
      </c>
      <c r="I4" s="108" t="s">
        <v>70</v>
      </c>
      <c r="J4" s="111">
        <f>+QUARTILE($G$2:$G$26,1)</f>
        <v>6.2430199928538849E-2</v>
      </c>
      <c r="M4" s="115"/>
      <c r="P4" s="115"/>
    </row>
    <row r="5" spans="1:16" x14ac:dyDescent="0.25">
      <c r="A5" s="69">
        <v>4</v>
      </c>
      <c r="B5" s="70" t="str">
        <f>+'RESUMEN FINAL'!B5</f>
        <v>C.I. HIDRO GEO S.A.S.</v>
      </c>
      <c r="C5" s="72">
        <f>+'RESUMEN FINAL'!F5</f>
        <v>1676213679</v>
      </c>
      <c r="D5" s="72">
        <f>+'RESUMEN FINAL'!I5</f>
        <v>97791579</v>
      </c>
      <c r="E5" s="31">
        <f t="shared" si="0"/>
        <v>5.8340759430110821E-2</v>
      </c>
      <c r="G5" s="103">
        <v>0.04</v>
      </c>
      <c r="I5" s="105" t="s">
        <v>71</v>
      </c>
      <c r="J5" s="111">
        <f>+QUARTILE($G$2:$G$26,2)</f>
        <v>0.11241422263747382</v>
      </c>
      <c r="M5" s="115"/>
      <c r="P5" s="115"/>
    </row>
    <row r="6" spans="1:16" x14ac:dyDescent="0.25">
      <c r="A6" s="69">
        <v>5</v>
      </c>
      <c r="B6" s="70" t="str">
        <f>+'RESUMEN FINAL'!B6</f>
        <v>DESARROLLAMOS INGENIERIA S.A.S.</v>
      </c>
      <c r="C6" s="72">
        <f>+'RESUMEN FINAL'!F6</f>
        <v>5820229847</v>
      </c>
      <c r="D6" s="72">
        <f>+'RESUMEN FINAL'!I6</f>
        <v>907660945</v>
      </c>
      <c r="E6" s="31">
        <f t="shared" si="0"/>
        <v>0.15594932998528366</v>
      </c>
      <c r="G6" s="103">
        <v>5.1764511581542674E-2</v>
      </c>
      <c r="I6" s="105" t="s">
        <v>72</v>
      </c>
      <c r="J6" s="111">
        <f>+QUARTILE($G$2:$G$26,3)</f>
        <v>0.20371571563866334</v>
      </c>
      <c r="K6" s="17"/>
      <c r="M6" s="115"/>
      <c r="P6" s="115"/>
    </row>
    <row r="7" spans="1:16" x14ac:dyDescent="0.25">
      <c r="A7" s="69">
        <v>6</v>
      </c>
      <c r="B7" s="70" t="str">
        <f>+'RESUMEN FINAL'!B7</f>
        <v>ETEL LTDA EN REORGANIZACION</v>
      </c>
      <c r="C7" s="72">
        <f>+'RESUMEN FINAL'!F7</f>
        <v>14042100287</v>
      </c>
      <c r="D7" s="72">
        <f>+'RESUMEN FINAL'!I7</f>
        <v>982256908</v>
      </c>
      <c r="E7" s="31">
        <f t="shared" si="0"/>
        <v>6.9950854069128182E-2</v>
      </c>
      <c r="G7" s="103">
        <v>5.8340759430110821E-2</v>
      </c>
      <c r="I7" s="105" t="s">
        <v>73</v>
      </c>
      <c r="J7" s="111">
        <f>+QUARTILE($G$2:$G$26,4)</f>
        <v>0.35809562290701824</v>
      </c>
      <c r="M7" s="115"/>
      <c r="P7" s="115"/>
    </row>
    <row r="8" spans="1:16" x14ac:dyDescent="0.25">
      <c r="A8" s="69">
        <v>7</v>
      </c>
      <c r="B8" s="70" t="str">
        <f>+'RESUMEN FINAL'!B8</f>
        <v>NEW GAS AND OIL S.A.S</v>
      </c>
      <c r="C8" s="72">
        <f>+'RESUMEN FINAL'!F8</f>
        <v>4577499000</v>
      </c>
      <c r="D8" s="72">
        <f>+'RESUMEN FINAL'!I8</f>
        <v>236952000</v>
      </c>
      <c r="E8" s="31">
        <f t="shared" si="0"/>
        <v>5.1764511581542674E-2</v>
      </c>
      <c r="G8" s="103">
        <v>6.2430199928538849E-2</v>
      </c>
      <c r="I8" s="105" t="s">
        <v>74</v>
      </c>
      <c r="J8" s="111">
        <f>+J6-J4</f>
        <v>0.14128551571012449</v>
      </c>
      <c r="M8" s="115"/>
      <c r="P8" s="115"/>
    </row>
    <row r="9" spans="1:16" ht="25.5" x14ac:dyDescent="0.25">
      <c r="A9" s="69">
        <v>8</v>
      </c>
      <c r="B9" s="70" t="str">
        <f>+'RESUMEN FINAL'!B9</f>
        <v>INGENIERÍA Y CONSTRUCCIÓN PALACIO BAENA S.A.S.</v>
      </c>
      <c r="C9" s="72">
        <f>+'RESUMEN FINAL'!F9</f>
        <v>4464618305</v>
      </c>
      <c r="D9" s="72">
        <f>+'RESUMEN FINAL'!I9</f>
        <v>459220023</v>
      </c>
      <c r="E9" s="31">
        <f t="shared" si="0"/>
        <v>0.10285762222622971</v>
      </c>
      <c r="G9" s="103">
        <v>6.9950854069128182E-2</v>
      </c>
      <c r="I9" s="105" t="s">
        <v>75</v>
      </c>
      <c r="J9" s="111">
        <f>+J4-(J8*1.5)</f>
        <v>-0.14949807363664788</v>
      </c>
      <c r="M9" s="115"/>
      <c r="P9" s="115"/>
    </row>
    <row r="10" spans="1:16" x14ac:dyDescent="0.25">
      <c r="A10" s="69">
        <v>9</v>
      </c>
      <c r="B10" s="70" t="str">
        <f>+'RESUMEN FINAL'!B10</f>
        <v>O R INGENIERIA S A S</v>
      </c>
      <c r="C10" s="72">
        <f>+'RESUMEN FINAL'!F10</f>
        <v>8118397633</v>
      </c>
      <c r="D10" s="72">
        <f>+'RESUMEN FINAL'!I10</f>
        <v>276997384</v>
      </c>
      <c r="E10" s="31">
        <f t="shared" si="0"/>
        <v>3.4119711366938907E-2</v>
      </c>
      <c r="G10" s="103">
        <v>9.3533296510026537E-2</v>
      </c>
      <c r="I10" s="109" t="s">
        <v>76</v>
      </c>
      <c r="J10" s="111">
        <f>+J6+(J8*1.5)</f>
        <v>0.41564398920385004</v>
      </c>
      <c r="K10" s="17"/>
      <c r="L10" s="54"/>
      <c r="M10" s="115"/>
      <c r="O10" s="54"/>
      <c r="P10" s="115"/>
    </row>
    <row r="11" spans="1:16" x14ac:dyDescent="0.25">
      <c r="A11" s="69">
        <v>10</v>
      </c>
      <c r="B11" s="70" t="str">
        <f>+'RESUMEN FINAL'!B11</f>
        <v>G63 INFRAESTRUCTURA Y SERVICIOS S.A.S</v>
      </c>
      <c r="C11" s="72">
        <f>+'RESUMEN FINAL'!F11</f>
        <v>7301771715</v>
      </c>
      <c r="D11" s="72">
        <f>+'RESUMEN FINAL'!I11</f>
        <v>455851068</v>
      </c>
      <c r="E11" s="31">
        <f t="shared" si="0"/>
        <v>6.2430199928538849E-2</v>
      </c>
      <c r="G11" s="103">
        <v>9.6135475832842654E-2</v>
      </c>
      <c r="I11" s="109" t="s">
        <v>77</v>
      </c>
      <c r="J11" s="111">
        <f>+MEDIAN($G$2:$G$26)</f>
        <v>0.11241422263747382</v>
      </c>
      <c r="L11" s="54"/>
      <c r="M11" s="115"/>
      <c r="O11" s="54"/>
      <c r="P11" s="115"/>
    </row>
    <row r="12" spans="1:16" x14ac:dyDescent="0.25">
      <c r="A12" s="69">
        <v>11</v>
      </c>
      <c r="B12" s="70" t="str">
        <f>+'RESUMEN FINAL'!B12</f>
        <v>INGENIERIA JOULES M. E. C. S.A.S.</v>
      </c>
      <c r="C12" s="72">
        <f>+'RESUMEN FINAL'!F12</f>
        <v>49279486809</v>
      </c>
      <c r="D12" s="72">
        <f>+'RESUMEN FINAL'!I12</f>
        <v>9327753224</v>
      </c>
      <c r="E12" s="31">
        <v>0.04</v>
      </c>
      <c r="G12" s="103">
        <v>0.10285762222622971</v>
      </c>
      <c r="I12" s="105" t="s">
        <v>78</v>
      </c>
      <c r="J12" s="111">
        <f>+AVERAGE($G$2:$G$26)</f>
        <v>0.14391519348655504</v>
      </c>
      <c r="K12" s="17"/>
      <c r="M12" s="115"/>
      <c r="P12" s="115"/>
    </row>
    <row r="13" spans="1:16" x14ac:dyDescent="0.25">
      <c r="A13" s="69">
        <v>12</v>
      </c>
      <c r="B13" s="70" t="str">
        <f>+'RESUMEN FINAL'!B13</f>
        <v>CONSTRUCCIONES AL DIA SAS</v>
      </c>
      <c r="C13" s="72">
        <f>+'RESUMEN FINAL'!F13</f>
        <v>27644494607</v>
      </c>
      <c r="D13" s="72">
        <f>+'RESUMEN FINAL'!I13</f>
        <v>9236043657</v>
      </c>
      <c r="E13" s="31">
        <f t="shared" ref="E13:E22" si="1">+D13/C13</f>
        <v>0.33410065144259482</v>
      </c>
      <c r="G13" s="103">
        <v>0.10348023481123543</v>
      </c>
      <c r="I13" s="105" t="s">
        <v>79</v>
      </c>
      <c r="J13" s="111">
        <f>+STDEVA($G$2:$G$26,0)</f>
        <v>0.11607238401589388</v>
      </c>
      <c r="K13" s="17"/>
      <c r="M13" s="115"/>
      <c r="P13" s="115"/>
    </row>
    <row r="14" spans="1:16" x14ac:dyDescent="0.25">
      <c r="A14" s="69">
        <v>13</v>
      </c>
      <c r="B14" s="70" t="str">
        <f>+'RESUMEN FINAL'!B14</f>
        <v>GRUCON S.A.S.</v>
      </c>
      <c r="C14" s="72">
        <f>+'RESUMEN FINAL'!F14</f>
        <v>14993414722</v>
      </c>
      <c r="D14" s="72">
        <f>+'RESUMEN FINAL'!I14</f>
        <v>3225374041</v>
      </c>
      <c r="E14" s="31">
        <f t="shared" si="1"/>
        <v>0.21511937746025084</v>
      </c>
      <c r="G14" s="103">
        <v>0.11241422263747382</v>
      </c>
      <c r="I14" s="116"/>
      <c r="J14" s="116"/>
      <c r="K14" s="17"/>
      <c r="M14" s="116"/>
      <c r="P14" s="17"/>
    </row>
    <row r="15" spans="1:16" x14ac:dyDescent="0.25">
      <c r="A15" s="69">
        <v>14</v>
      </c>
      <c r="B15" s="70" t="str">
        <f>+'RESUMEN FINAL'!B15</f>
        <v>ANDEAN GEOLOGICAL SERVICES LIMITADA A.G.S.</v>
      </c>
      <c r="C15" s="72">
        <f>+'RESUMEN FINAL'!F15</f>
        <v>2866552218</v>
      </c>
      <c r="D15" s="72">
        <f>+'RESUMEN FINAL'!I15</f>
        <v>-232899687</v>
      </c>
      <c r="E15" s="31">
        <f t="shared" si="1"/>
        <v>-8.1247320574712789E-2</v>
      </c>
      <c r="G15" s="103">
        <v>0.13005042734227465</v>
      </c>
      <c r="M15" s="43"/>
    </row>
    <row r="16" spans="1:16" x14ac:dyDescent="0.25">
      <c r="A16" s="69">
        <v>15</v>
      </c>
      <c r="B16" s="70" t="str">
        <f>+'RESUMEN FINAL'!B16</f>
        <v>JAM INGENIERIA Y MEDIO AMBIENTE SAS</v>
      </c>
      <c r="C16" s="72">
        <f>+'RESUMEN FINAL'!F16</f>
        <v>6597253440</v>
      </c>
      <c r="D16" s="72">
        <f>+'RESUMEN FINAL'!I16</f>
        <v>741625117</v>
      </c>
      <c r="E16" s="31">
        <f t="shared" si="1"/>
        <v>0.11241422263747382</v>
      </c>
      <c r="G16" s="103">
        <v>0.15594932998528366</v>
      </c>
      <c r="H16" s="37"/>
      <c r="I16" s="16"/>
      <c r="J16" s="37"/>
      <c r="K16" s="46"/>
      <c r="M16" s="43"/>
    </row>
    <row r="17" spans="1:13" x14ac:dyDescent="0.25">
      <c r="A17" s="69">
        <v>16</v>
      </c>
      <c r="B17" s="70" t="str">
        <f>+'RESUMEN FINAL'!B17</f>
        <v>CRATOS SOLUCIONES INTEGRALES SAS</v>
      </c>
      <c r="C17" s="72">
        <f>+'RESUMEN FINAL'!F17</f>
        <v>588098608</v>
      </c>
      <c r="D17" s="72">
        <f>+'RESUMEN FINAL'!I17</f>
        <v>115326733</v>
      </c>
      <c r="E17" s="31">
        <f t="shared" si="1"/>
        <v>0.19610101338651698</v>
      </c>
      <c r="G17" s="103">
        <v>0.15789925748557201</v>
      </c>
      <c r="M17" s="43"/>
    </row>
    <row r="18" spans="1:13" ht="25.5" x14ac:dyDescent="0.25">
      <c r="A18" s="69">
        <v>17</v>
      </c>
      <c r="B18" s="70" t="str">
        <f>+'RESUMEN FINAL'!B18</f>
        <v>INGENIERIA Y GESTION DE LA INFORMACION LIMITADA INGFOCOL</v>
      </c>
      <c r="C18" s="72">
        <f>+'RESUMEN FINAL'!F18</f>
        <v>415963571</v>
      </c>
      <c r="D18" s="72">
        <f>+'RESUMEN FINAL'!I18</f>
        <v>43044008</v>
      </c>
      <c r="E18" s="31">
        <f t="shared" si="1"/>
        <v>0.10348023481123543</v>
      </c>
      <c r="G18" s="103">
        <v>0.1657539171013574</v>
      </c>
      <c r="I18" s="16"/>
      <c r="K18" s="17"/>
      <c r="M18" s="43"/>
    </row>
    <row r="19" spans="1:13" x14ac:dyDescent="0.25">
      <c r="A19" s="69">
        <v>18</v>
      </c>
      <c r="B19" s="70" t="str">
        <f>+'RESUMEN FINAL'!B19</f>
        <v>HIDRODUCTOS S.A.S</v>
      </c>
      <c r="C19" s="72">
        <f>+'RESUMEN FINAL'!F19</f>
        <v>752832259</v>
      </c>
      <c r="D19" s="72">
        <f>+'RESUMEN FINAL'!I19</f>
        <v>97906157</v>
      </c>
      <c r="E19" s="31">
        <f t="shared" si="1"/>
        <v>0.13005042734227465</v>
      </c>
      <c r="G19" s="103">
        <v>0.19610101338651698</v>
      </c>
      <c r="M19" s="43"/>
    </row>
    <row r="20" spans="1:13" x14ac:dyDescent="0.25">
      <c r="A20" s="69">
        <v>19</v>
      </c>
      <c r="B20" s="70" t="str">
        <f>+'RESUMEN FINAL'!B20</f>
        <v>RM INGENIEROS S.A.S</v>
      </c>
      <c r="C20" s="72">
        <f>+'RESUMEN FINAL'!F20</f>
        <v>2869457406</v>
      </c>
      <c r="D20" s="72">
        <f>+'RESUMEN FINAL'!I20</f>
        <v>475623805</v>
      </c>
      <c r="E20" s="31">
        <f t="shared" si="1"/>
        <v>0.1657539171013574</v>
      </c>
      <c r="G20" s="103">
        <v>0.20371571563866334</v>
      </c>
      <c r="M20" s="43"/>
    </row>
    <row r="21" spans="1:13" x14ac:dyDescent="0.25">
      <c r="A21" s="69">
        <v>20</v>
      </c>
      <c r="B21" s="70" t="str">
        <f>+'RESUMEN FINAL'!B21</f>
        <v>HYMAC INGENIERIA SAS</v>
      </c>
      <c r="C21" s="72">
        <f>+'RESUMEN FINAL'!F21</f>
        <v>3653359380</v>
      </c>
      <c r="D21" s="72">
        <f>+'RESUMEN FINAL'!I21</f>
        <v>1300035926</v>
      </c>
      <c r="E21" s="31">
        <f t="shared" si="1"/>
        <v>0.35584671278630137</v>
      </c>
      <c r="G21" s="103">
        <v>0.21511937746025084</v>
      </c>
      <c r="M21" s="43"/>
    </row>
    <row r="22" spans="1:13" x14ac:dyDescent="0.25">
      <c r="A22" s="69">
        <v>21</v>
      </c>
      <c r="B22" s="132" t="str">
        <f>+'RESUMEN FINAL'!B22</f>
        <v>AITEC S.A.S</v>
      </c>
      <c r="C22" s="72">
        <f>+'RESUMEN FINAL'!F22</f>
        <v>6610735279</v>
      </c>
      <c r="D22" s="72">
        <f>+'RESUMEN FINAL'!I22</f>
        <v>618323863</v>
      </c>
      <c r="E22" s="137">
        <f t="shared" si="1"/>
        <v>9.3533296510026537E-2</v>
      </c>
      <c r="G22" s="103">
        <v>0.21511937746025084</v>
      </c>
      <c r="M22" s="43"/>
    </row>
    <row r="23" spans="1:13" x14ac:dyDescent="0.25">
      <c r="A23" s="69">
        <v>22</v>
      </c>
      <c r="B23" s="131" t="str">
        <f>+'RESUMEN FINAL'!B23</f>
        <v>PROYECTAR INGENIERIA S.A.S.</v>
      </c>
      <c r="C23" s="72">
        <f>+'RESUMEN FINAL'!F23</f>
        <v>11425064329</v>
      </c>
      <c r="D23" s="72">
        <f>+'RESUMEN FINAL'!I23</f>
        <v>2327465156</v>
      </c>
      <c r="E23" s="138">
        <f t="shared" ref="E23" si="2">+D23/C23</f>
        <v>0.20371571563866334</v>
      </c>
      <c r="G23" s="103">
        <v>0.33410065144259482</v>
      </c>
      <c r="H23" s="37"/>
      <c r="I23" s="37"/>
      <c r="K23" s="16"/>
      <c r="M23" s="43"/>
    </row>
    <row r="24" spans="1:13" x14ac:dyDescent="0.25">
      <c r="A24" s="69">
        <v>23</v>
      </c>
      <c r="B24" s="131" t="str">
        <f>+'RESUMEN FINAL'!B24</f>
        <v>INGENIERIA CIVIL Y GEODESIA SAS INCIGE SAS</v>
      </c>
      <c r="C24" s="72">
        <f>+'RESUMEN FINAL'!F24</f>
        <v>5175812994</v>
      </c>
      <c r="D24" s="72">
        <f>+'RESUMEN FINAL'!I24</f>
        <v>497579245</v>
      </c>
      <c r="E24" s="138">
        <f t="shared" ref="E24:E26" si="3">+D24/C24</f>
        <v>9.6135475832842654E-2</v>
      </c>
      <c r="G24" s="103">
        <v>0.3546438246893453</v>
      </c>
      <c r="H24" s="37"/>
      <c r="I24" s="37"/>
      <c r="K24" s="16"/>
      <c r="M24" s="43"/>
    </row>
    <row r="25" spans="1:13" x14ac:dyDescent="0.25">
      <c r="A25" s="69">
        <v>24</v>
      </c>
      <c r="B25" s="131" t="str">
        <f>+'RESUMEN FINAL'!B25</f>
        <v>ECODES INGENIERIA SAS</v>
      </c>
      <c r="C25" s="72">
        <f>+'RESUMEN FINAL'!F25</f>
        <v>12038211526</v>
      </c>
      <c r="D25" s="72">
        <f>+'RESUMEN FINAL'!I25</f>
        <v>4269277378</v>
      </c>
      <c r="E25" s="138">
        <f t="shared" si="3"/>
        <v>0.3546438246893453</v>
      </c>
      <c r="G25" s="103">
        <v>0.35584671278630137</v>
      </c>
      <c r="H25" s="37"/>
      <c r="I25" s="37"/>
      <c r="K25" s="16"/>
      <c r="M25" s="43"/>
    </row>
    <row r="26" spans="1:13" x14ac:dyDescent="0.25">
      <c r="A26" s="69">
        <v>25</v>
      </c>
      <c r="B26" s="131" t="str">
        <f>+'RESUMEN FINAL'!B26</f>
        <v>GRUCON S.A.S.</v>
      </c>
      <c r="C26" s="72">
        <f>+'RESUMEN FINAL'!F26</f>
        <v>14993414722</v>
      </c>
      <c r="D26" s="72">
        <f>+'RESUMEN FINAL'!I26</f>
        <v>3225374041</v>
      </c>
      <c r="E26" s="138">
        <f t="shared" si="3"/>
        <v>0.21511937746025084</v>
      </c>
      <c r="G26" s="103">
        <v>0.35809562290701824</v>
      </c>
      <c r="H26" s="37"/>
      <c r="I26" s="37"/>
      <c r="K26" s="16"/>
      <c r="M26" s="43"/>
    </row>
    <row r="27" spans="1:13" x14ac:dyDescent="0.25">
      <c r="A27" s="148"/>
      <c r="B27" s="140"/>
      <c r="C27" s="81"/>
      <c r="D27" s="81"/>
      <c r="E27" s="65"/>
      <c r="H27" s="37"/>
      <c r="I27" s="37"/>
      <c r="K27" s="16"/>
      <c r="M27" s="43"/>
    </row>
    <row r="28" spans="1:13" x14ac:dyDescent="0.25">
      <c r="A28" s="148"/>
      <c r="B28" s="140"/>
      <c r="C28" s="81"/>
      <c r="D28" s="81"/>
      <c r="E28" s="65"/>
      <c r="H28" s="37"/>
      <c r="I28" s="37"/>
      <c r="K28" s="16"/>
      <c r="M28" s="43"/>
    </row>
    <row r="29" spans="1:13" x14ac:dyDescent="0.25">
      <c r="A29" s="148"/>
      <c r="B29" s="140"/>
      <c r="C29" s="81"/>
      <c r="D29" s="81"/>
      <c r="E29" s="65"/>
      <c r="H29" s="37"/>
      <c r="I29" s="37"/>
      <c r="K29" s="16"/>
      <c r="M29" s="43"/>
    </row>
    <row r="30" spans="1:13" x14ac:dyDescent="0.25">
      <c r="A30" s="148"/>
      <c r="B30" s="140"/>
      <c r="C30" s="81"/>
      <c r="D30" s="81"/>
      <c r="E30" s="65"/>
      <c r="H30" s="37"/>
      <c r="I30" s="37"/>
      <c r="K30" s="16"/>
      <c r="M30" s="43"/>
    </row>
    <row r="31" spans="1:13" x14ac:dyDescent="0.25">
      <c r="A31" s="148"/>
      <c r="B31" s="140"/>
      <c r="C31" s="81"/>
      <c r="D31" s="81"/>
      <c r="E31" s="65"/>
      <c r="H31" s="37"/>
      <c r="I31" s="37"/>
      <c r="K31" s="16"/>
      <c r="M31" s="43"/>
    </row>
    <row r="32" spans="1:13" x14ac:dyDescent="0.25">
      <c r="M32" s="43"/>
    </row>
    <row r="33" spans="1:13" ht="25.5" x14ac:dyDescent="0.25">
      <c r="A33" s="14" t="s">
        <v>0</v>
      </c>
      <c r="B33" s="14" t="s">
        <v>1</v>
      </c>
      <c r="C33" s="14" t="s">
        <v>6</v>
      </c>
      <c r="D33" s="14" t="s">
        <v>9</v>
      </c>
      <c r="E33" s="18" t="s">
        <v>83</v>
      </c>
      <c r="M33" s="43"/>
    </row>
    <row r="34" spans="1:13" x14ac:dyDescent="0.25">
      <c r="A34" s="69">
        <v>1</v>
      </c>
      <c r="B34" s="70" t="s">
        <v>43</v>
      </c>
      <c r="C34" s="72">
        <v>48467746992</v>
      </c>
      <c r="D34" s="72">
        <v>17356088050</v>
      </c>
      <c r="E34" s="31">
        <v>0.35809562290701824</v>
      </c>
      <c r="M34" s="43"/>
    </row>
    <row r="35" spans="1:13" x14ac:dyDescent="0.25">
      <c r="A35" s="69">
        <v>2</v>
      </c>
      <c r="B35" s="70" t="s">
        <v>44</v>
      </c>
      <c r="C35" s="57">
        <v>27742301191</v>
      </c>
      <c r="D35" s="57">
        <v>4380488759</v>
      </c>
      <c r="E35" s="31">
        <v>0.15789925748557201</v>
      </c>
      <c r="H35" s="55"/>
      <c r="I35" s="37"/>
      <c r="J35" s="45"/>
      <c r="L35" s="17"/>
      <c r="M35" s="43"/>
    </row>
    <row r="36" spans="1:13" x14ac:dyDescent="0.25">
      <c r="A36" s="69">
        <v>3</v>
      </c>
      <c r="B36" s="70" t="s">
        <v>45</v>
      </c>
      <c r="C36" s="56">
        <v>8372491859</v>
      </c>
      <c r="D36" s="56">
        <v>98000366</v>
      </c>
      <c r="E36" s="31">
        <v>1.1705041659091567E-2</v>
      </c>
      <c r="H36" s="37"/>
      <c r="I36" s="45"/>
      <c r="J36" s="37"/>
      <c r="K36" s="46"/>
      <c r="M36" s="43"/>
    </row>
    <row r="37" spans="1:13" x14ac:dyDescent="0.25">
      <c r="A37" s="69">
        <v>4</v>
      </c>
      <c r="B37" s="77" t="s">
        <v>47</v>
      </c>
      <c r="C37" s="58">
        <v>1676213679</v>
      </c>
      <c r="D37" s="58">
        <v>97791579</v>
      </c>
      <c r="E37" s="31">
        <v>5.8340759430110821E-2</v>
      </c>
      <c r="M37" s="43"/>
    </row>
    <row r="38" spans="1:13" x14ac:dyDescent="0.25">
      <c r="A38" s="69">
        <v>5</v>
      </c>
      <c r="B38" s="70" t="s">
        <v>50</v>
      </c>
      <c r="C38" s="58">
        <v>5820229847</v>
      </c>
      <c r="D38" s="58">
        <v>907660945</v>
      </c>
      <c r="E38" s="31">
        <v>0.15594932998528366</v>
      </c>
      <c r="M38" s="43"/>
    </row>
    <row r="39" spans="1:13" x14ac:dyDescent="0.25">
      <c r="A39" s="69">
        <v>6</v>
      </c>
      <c r="B39" s="70" t="s">
        <v>51</v>
      </c>
      <c r="C39" s="58">
        <v>14042100287</v>
      </c>
      <c r="D39" s="58">
        <v>982256908</v>
      </c>
      <c r="E39" s="31">
        <v>6.9950854069128182E-2</v>
      </c>
      <c r="H39" s="92"/>
      <c r="K39" s="17"/>
      <c r="M39" s="43"/>
    </row>
    <row r="40" spans="1:13" x14ac:dyDescent="0.25">
      <c r="A40" s="69">
        <v>7</v>
      </c>
      <c r="B40" s="70" t="s">
        <v>63</v>
      </c>
      <c r="C40" s="78">
        <v>4577499000</v>
      </c>
      <c r="D40" s="78">
        <v>236952000</v>
      </c>
      <c r="E40" s="31">
        <v>5.1764511581542674E-2</v>
      </c>
      <c r="M40" s="43"/>
    </row>
    <row r="41" spans="1:13" ht="25.5" x14ac:dyDescent="0.25">
      <c r="A41" s="69">
        <v>8</v>
      </c>
      <c r="B41" s="70" t="s">
        <v>60</v>
      </c>
      <c r="C41" s="78">
        <v>4464618305</v>
      </c>
      <c r="D41" s="78">
        <v>459220023</v>
      </c>
      <c r="E41" s="31">
        <v>0.10285762222622971</v>
      </c>
    </row>
    <row r="42" spans="1:13" x14ac:dyDescent="0.25">
      <c r="A42" s="69">
        <v>9</v>
      </c>
      <c r="B42" s="70" t="s">
        <v>64</v>
      </c>
      <c r="C42" s="78">
        <v>8118397633</v>
      </c>
      <c r="D42" s="78">
        <v>276997384</v>
      </c>
      <c r="E42" s="31">
        <v>3.4119711366938907E-2</v>
      </c>
    </row>
    <row r="43" spans="1:13" x14ac:dyDescent="0.25">
      <c r="A43" s="69">
        <v>10</v>
      </c>
      <c r="B43" s="70" t="s">
        <v>53</v>
      </c>
      <c r="C43" s="78">
        <v>7301771715</v>
      </c>
      <c r="D43" s="78">
        <v>455851068</v>
      </c>
      <c r="E43" s="31">
        <v>6.2430199928538849E-2</v>
      </c>
    </row>
    <row r="44" spans="1:13" x14ac:dyDescent="0.25">
      <c r="A44" s="69">
        <v>11</v>
      </c>
      <c r="B44" s="70" t="s">
        <v>55</v>
      </c>
      <c r="C44" s="78">
        <v>49279486809</v>
      </c>
      <c r="D44" s="78">
        <v>9327753224</v>
      </c>
      <c r="E44" s="31">
        <v>0.04</v>
      </c>
    </row>
    <row r="45" spans="1:13" x14ac:dyDescent="0.25">
      <c r="A45" s="69">
        <v>12</v>
      </c>
      <c r="B45" s="70" t="s">
        <v>56</v>
      </c>
      <c r="C45" s="78">
        <v>27644494607</v>
      </c>
      <c r="D45" s="78">
        <v>9236043657</v>
      </c>
      <c r="E45" s="31">
        <v>0.33410065144259482</v>
      </c>
    </row>
    <row r="46" spans="1:13" x14ac:dyDescent="0.25">
      <c r="A46" s="69">
        <v>13</v>
      </c>
      <c r="B46" s="70" t="s">
        <v>57</v>
      </c>
      <c r="C46" s="78">
        <v>14993414722</v>
      </c>
      <c r="D46" s="78">
        <v>3225374041</v>
      </c>
      <c r="E46" s="31">
        <v>0.21511937746025084</v>
      </c>
    </row>
    <row r="47" spans="1:13" x14ac:dyDescent="0.25">
      <c r="A47" s="69">
        <v>14</v>
      </c>
      <c r="B47" s="70" t="s">
        <v>41</v>
      </c>
      <c r="C47" s="78">
        <v>2866552218</v>
      </c>
      <c r="D47" s="78">
        <v>-232899687</v>
      </c>
      <c r="E47" s="31">
        <v>-8.1247320574712789E-2</v>
      </c>
    </row>
    <row r="48" spans="1:13" x14ac:dyDescent="0.25">
      <c r="A48" s="69">
        <v>15</v>
      </c>
      <c r="B48" s="70" t="s">
        <v>62</v>
      </c>
      <c r="C48" s="78">
        <v>6597253440</v>
      </c>
      <c r="D48" s="78">
        <v>741625117</v>
      </c>
      <c r="E48" s="31">
        <v>0.11241422263747382</v>
      </c>
    </row>
    <row r="49" spans="1:5" x14ac:dyDescent="0.25">
      <c r="A49" s="69">
        <v>16</v>
      </c>
      <c r="B49" s="70" t="s">
        <v>49</v>
      </c>
      <c r="C49" s="78">
        <v>588098608</v>
      </c>
      <c r="D49" s="78">
        <v>115326733</v>
      </c>
      <c r="E49" s="31">
        <v>0.19610101338651698</v>
      </c>
    </row>
    <row r="50" spans="1:5" ht="25.5" x14ac:dyDescent="0.25">
      <c r="A50" s="69">
        <v>17</v>
      </c>
      <c r="B50" s="70" t="s">
        <v>61</v>
      </c>
      <c r="C50" s="78">
        <v>415963571</v>
      </c>
      <c r="D50" s="78">
        <v>43044008</v>
      </c>
      <c r="E50" s="31">
        <v>0.10348023481123543</v>
      </c>
    </row>
    <row r="51" spans="1:5" x14ac:dyDescent="0.25">
      <c r="A51" s="69">
        <v>18</v>
      </c>
      <c r="B51" s="70" t="s">
        <v>54</v>
      </c>
      <c r="C51" s="78">
        <v>752832259</v>
      </c>
      <c r="D51" s="78">
        <v>97906157</v>
      </c>
      <c r="E51" s="31">
        <v>0.13005042734227465</v>
      </c>
    </row>
    <row r="52" spans="1:5" x14ac:dyDescent="0.25">
      <c r="A52" s="69">
        <v>19</v>
      </c>
      <c r="B52" s="70" t="s">
        <v>65</v>
      </c>
      <c r="C52" s="78">
        <v>2869457406</v>
      </c>
      <c r="D52" s="78">
        <v>475623805</v>
      </c>
      <c r="E52" s="31">
        <v>0.1657539171013574</v>
      </c>
    </row>
    <row r="53" spans="1:5" x14ac:dyDescent="0.25">
      <c r="A53" s="69">
        <v>20</v>
      </c>
      <c r="B53" s="70" t="s">
        <v>58</v>
      </c>
      <c r="C53" s="78">
        <v>3653359380</v>
      </c>
      <c r="D53" s="78">
        <v>1300035926</v>
      </c>
      <c r="E53" s="31">
        <v>0.35584671278630137</v>
      </c>
    </row>
    <row r="54" spans="1:5" x14ac:dyDescent="0.25">
      <c r="A54" s="69">
        <v>21</v>
      </c>
      <c r="B54" s="70" t="s">
        <v>32</v>
      </c>
      <c r="C54" s="78">
        <v>6610735279</v>
      </c>
      <c r="D54" s="78">
        <v>618323863</v>
      </c>
      <c r="E54" s="31">
        <v>9.3533296510026537E-2</v>
      </c>
    </row>
    <row r="55" spans="1:5" x14ac:dyDescent="0.25">
      <c r="A55" s="69">
        <v>22</v>
      </c>
      <c r="B55" s="70" t="s">
        <v>66</v>
      </c>
      <c r="C55" s="78">
        <v>11425064329</v>
      </c>
      <c r="D55" s="78">
        <v>2327465156</v>
      </c>
      <c r="E55" s="31">
        <v>0.20371571563866334</v>
      </c>
    </row>
    <row r="56" spans="1:5" x14ac:dyDescent="0.25">
      <c r="A56" s="69">
        <v>23</v>
      </c>
      <c r="B56" s="70" t="s">
        <v>98</v>
      </c>
      <c r="C56" s="78">
        <v>5175812994</v>
      </c>
      <c r="D56" s="78">
        <v>497579245</v>
      </c>
      <c r="E56" s="31">
        <v>9.6135475832842654E-2</v>
      </c>
    </row>
    <row r="57" spans="1:5" x14ac:dyDescent="0.25">
      <c r="A57" s="69">
        <v>24</v>
      </c>
      <c r="B57" s="70" t="s">
        <v>99</v>
      </c>
      <c r="C57" s="78">
        <v>12038211526</v>
      </c>
      <c r="D57" s="78">
        <v>4269277378</v>
      </c>
      <c r="E57" s="31">
        <v>0.3546438246893453</v>
      </c>
    </row>
    <row r="58" spans="1:5" x14ac:dyDescent="0.25">
      <c r="A58" s="69">
        <v>25</v>
      </c>
      <c r="B58" s="70" t="s">
        <v>57</v>
      </c>
      <c r="C58" s="78">
        <v>14993414722</v>
      </c>
      <c r="D58" s="78">
        <v>3225374041</v>
      </c>
      <c r="E58" s="31">
        <v>0.21511937746025084</v>
      </c>
    </row>
  </sheetData>
  <sortState xmlns:xlrd2="http://schemas.microsoft.com/office/spreadsheetml/2017/richdata2" ref="G2:G26">
    <sortCondition ref="G1:G26"/>
  </sortState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9"/>
  <sheetViews>
    <sheetView tabSelected="1" workbookViewId="0">
      <selection activeCell="C19" sqref="C19"/>
    </sheetView>
  </sheetViews>
  <sheetFormatPr baseColWidth="10" defaultColWidth="11.42578125" defaultRowHeight="12.75" x14ac:dyDescent="0.25"/>
  <cols>
    <col min="1" max="1" width="20.140625" style="5" customWidth="1"/>
    <col min="2" max="2" width="17.28515625" style="4" customWidth="1"/>
    <col min="3" max="3" width="18.42578125" style="5" customWidth="1"/>
    <col min="4" max="4" width="11.42578125" style="4"/>
    <col min="5" max="5" width="18.42578125" style="4" customWidth="1"/>
    <col min="6" max="6" width="19.140625" style="4" customWidth="1"/>
    <col min="7" max="16384" width="11.42578125" style="4"/>
  </cols>
  <sheetData>
    <row r="1" spans="1:6" ht="48.75" customHeight="1" x14ac:dyDescent="0.25">
      <c r="A1" s="10"/>
      <c r="B1" s="8"/>
    </row>
    <row r="2" spans="1:6" ht="18" customHeight="1" x14ac:dyDescent="0.25">
      <c r="A2" s="6" t="s">
        <v>84</v>
      </c>
      <c r="B2" s="6" t="s">
        <v>85</v>
      </c>
      <c r="C2" s="6" t="s">
        <v>86</v>
      </c>
    </row>
    <row r="3" spans="1:6" ht="26.25" customHeight="1" x14ac:dyDescent="0.25">
      <c r="A3" s="7" t="s">
        <v>87</v>
      </c>
      <c r="B3" s="7" t="s">
        <v>88</v>
      </c>
      <c r="C3" s="7" t="s">
        <v>113</v>
      </c>
      <c r="D3" s="110">
        <f>+LIQUIDEZ!S4</f>
        <v>3.946281750704971</v>
      </c>
      <c r="E3" s="110"/>
    </row>
    <row r="4" spans="1:6" ht="31.5" customHeight="1" x14ac:dyDescent="0.25">
      <c r="A4" s="7" t="s">
        <v>89</v>
      </c>
      <c r="B4" s="7" t="s">
        <v>90</v>
      </c>
      <c r="C4" s="9" t="s">
        <v>114</v>
      </c>
      <c r="D4" s="17">
        <f>'NIVEL ENDEUDAMIENTO'!M14</f>
        <v>0.48344347401287957</v>
      </c>
      <c r="E4" s="17"/>
    </row>
    <row r="5" spans="1:6" ht="33.950000000000003" customHeight="1" x14ac:dyDescent="0.25">
      <c r="A5" s="7" t="s">
        <v>91</v>
      </c>
      <c r="B5" s="7" t="s">
        <v>92</v>
      </c>
      <c r="C5" s="7" t="s">
        <v>100</v>
      </c>
      <c r="D5" s="110">
        <f>+'RAZON COBERTURA INTERESES'!M4</f>
        <v>4.8017072697932397</v>
      </c>
      <c r="E5" s="110"/>
    </row>
    <row r="6" spans="1:6" ht="33.950000000000003" customHeight="1" x14ac:dyDescent="0.25">
      <c r="A6" s="7" t="s">
        <v>102</v>
      </c>
      <c r="B6" s="7" t="s">
        <v>103</v>
      </c>
      <c r="C6" s="171" t="s">
        <v>104</v>
      </c>
      <c r="D6" s="110"/>
      <c r="E6" s="110"/>
    </row>
    <row r="7" spans="1:6" ht="25.5" x14ac:dyDescent="0.25">
      <c r="A7" s="7" t="s">
        <v>93</v>
      </c>
      <c r="B7" s="7" t="s">
        <v>94</v>
      </c>
      <c r="C7" s="9" t="s">
        <v>115</v>
      </c>
      <c r="D7" s="17" t="e">
        <f>+'RENTABILIDAD PATRIMONIO'!#REF!</f>
        <v>#REF!</v>
      </c>
      <c r="E7" s="17"/>
    </row>
    <row r="8" spans="1:6" ht="25.5" x14ac:dyDescent="0.25">
      <c r="A8" s="7" t="s">
        <v>95</v>
      </c>
      <c r="B8" s="7" t="s">
        <v>96</v>
      </c>
      <c r="C8" s="9" t="s">
        <v>97</v>
      </c>
      <c r="D8" s="17">
        <f>+'RENTABILIDAD ACTIVO'!J4</f>
        <v>6.2430199928538849E-2</v>
      </c>
      <c r="E8" s="17"/>
    </row>
    <row r="9" spans="1:6" ht="22.5" customHeight="1" x14ac:dyDescent="0.25">
      <c r="F9" s="4">
        <f>3.18/100+1</f>
        <v>1.0318000000000001</v>
      </c>
    </row>
    <row r="10" spans="1:6" ht="24.95" customHeight="1" x14ac:dyDescent="0.25">
      <c r="C10" s="5" t="s">
        <v>108</v>
      </c>
      <c r="D10" s="4" t="s">
        <v>109</v>
      </c>
    </row>
    <row r="11" spans="1:6" ht="24.95" customHeight="1" x14ac:dyDescent="0.25">
      <c r="A11" s="6" t="s">
        <v>84</v>
      </c>
      <c r="B11" s="6" t="s">
        <v>85</v>
      </c>
      <c r="C11" s="6" t="s">
        <v>86</v>
      </c>
    </row>
    <row r="12" spans="1:6" ht="24.95" customHeight="1" x14ac:dyDescent="0.25">
      <c r="A12" s="7" t="s">
        <v>87</v>
      </c>
      <c r="B12" s="7" t="s">
        <v>88</v>
      </c>
      <c r="C12" s="186" t="str">
        <f>C3</f>
        <v>Mayor o igual a 3,27</v>
      </c>
      <c r="D12" s="110">
        <f>+LIQUIDEZ!AE4</f>
        <v>3.2716509947190122</v>
      </c>
      <c r="E12" s="4" t="s">
        <v>110</v>
      </c>
    </row>
    <row r="13" spans="1:6" x14ac:dyDescent="0.25">
      <c r="A13" s="7" t="s">
        <v>89</v>
      </c>
      <c r="B13" s="7" t="s">
        <v>90</v>
      </c>
      <c r="C13" s="172" t="str">
        <f>C4</f>
        <v>Menor o igual a 48%</v>
      </c>
      <c r="D13" s="17">
        <f>+'NIVEL ENDEUDAMIENTO'!M14</f>
        <v>0.48344347401287957</v>
      </c>
      <c r="E13" s="4" t="s">
        <v>110</v>
      </c>
    </row>
    <row r="14" spans="1:6" ht="25.5" x14ac:dyDescent="0.25">
      <c r="A14" s="7" t="s">
        <v>91</v>
      </c>
      <c r="B14" s="7" t="s">
        <v>92</v>
      </c>
      <c r="C14" s="7" t="str">
        <f>C5</f>
        <v>Mayor o igual a 4.80</v>
      </c>
      <c r="D14" s="110">
        <f>+'RAZON COBERTURA INTERESES'!M4</f>
        <v>4.8017072697932397</v>
      </c>
    </row>
    <row r="15" spans="1:6" ht="25.5" x14ac:dyDescent="0.25">
      <c r="A15" s="7" t="s">
        <v>102</v>
      </c>
      <c r="B15" s="7" t="s">
        <v>103</v>
      </c>
      <c r="C15" s="7" t="str">
        <f>C6</f>
        <v>Mayor o igual al 10% presupuesto oficial</v>
      </c>
    </row>
    <row r="16" spans="1:6" x14ac:dyDescent="0.25">
      <c r="A16" s="40"/>
      <c r="B16" s="40"/>
    </row>
    <row r="17" spans="1:6" x14ac:dyDescent="0.25">
      <c r="A17" s="6" t="s">
        <v>84</v>
      </c>
      <c r="B17" s="6" t="s">
        <v>85</v>
      </c>
      <c r="C17" s="6" t="s">
        <v>86</v>
      </c>
      <c r="D17" s="67" t="s">
        <v>70</v>
      </c>
      <c r="E17" s="67" t="s">
        <v>106</v>
      </c>
      <c r="F17" s="67" t="s">
        <v>107</v>
      </c>
    </row>
    <row r="18" spans="1:6" ht="25.5" x14ac:dyDescent="0.25">
      <c r="A18" s="7" t="s">
        <v>93</v>
      </c>
      <c r="B18" s="7" t="s">
        <v>94</v>
      </c>
      <c r="C18" s="172" t="str">
        <f>C7</f>
        <v>Mayor o igual a 9%</v>
      </c>
      <c r="D18" s="17">
        <f>+'RENTABILIDAD PATRIMONIO'!P4</f>
        <v>0.13059288028930024</v>
      </c>
      <c r="E18" s="17">
        <f>+'RENTABILIDAD PATRIMONIO'!P14</f>
        <v>0.11336973354541843</v>
      </c>
      <c r="F18" s="17">
        <f>+'RENTABILIDAD PATRIMONIO'!P15</f>
        <v>9.1424598927404011E-2</v>
      </c>
    </row>
    <row r="19" spans="1:6" ht="25.5" x14ac:dyDescent="0.25">
      <c r="A19" s="7" t="s">
        <v>95</v>
      </c>
      <c r="B19" s="7" t="s">
        <v>96</v>
      </c>
      <c r="C19" s="9" t="str">
        <f>C8</f>
        <v>Mayor o igual a 6%</v>
      </c>
      <c r="D19" s="17">
        <f>+'RENTABILIDAD ACTIVO'!J4</f>
        <v>6.2430199928538849E-2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</vt:i4>
      </vt:variant>
    </vt:vector>
  </HeadingPairs>
  <TitlesOfParts>
    <vt:vector size="11" baseType="lpstr">
      <vt:lpstr>CALCULO INICIAL 2</vt:lpstr>
      <vt:lpstr>Hoja2</vt:lpstr>
      <vt:lpstr>RESUMEN FINAL</vt:lpstr>
      <vt:lpstr>LIQUIDEZ</vt:lpstr>
      <vt:lpstr>NIVEL ENDEUDAMIENTO</vt:lpstr>
      <vt:lpstr>RAZON COBERTURA INTERESES</vt:lpstr>
      <vt:lpstr>CAPITAL DE TRABAJO</vt:lpstr>
      <vt:lpstr>RENTABILIDAD PATRIMONIO</vt:lpstr>
      <vt:lpstr>RENTABILIDAD ACTIVO</vt:lpstr>
      <vt:lpstr>INDICES</vt:lpstr>
      <vt:lpstr>'CALCULO INICIAL 2'!Títulos_a_imprimir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Yuddy Cecilia Pinilla Velasquez</dc:creator>
  <cp:keywords/>
  <dc:description/>
  <cp:lastModifiedBy>Cristian Camilo Rodríguez Paez</cp:lastModifiedBy>
  <cp:revision/>
  <dcterms:created xsi:type="dcterms:W3CDTF">2014-09-08T22:03:26Z</dcterms:created>
  <dcterms:modified xsi:type="dcterms:W3CDTF">2024-11-05T19:15:22Z</dcterms:modified>
  <cp:category/>
  <cp:contentStatus/>
</cp:coreProperties>
</file>