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dp-my.sharepoint.com/personal/maria_sapuy_undp_org/Documents/Desktop/PNUD/Proyecto Ministerio del interior/Enmienda No. 4 01000992 Ministerio del Interior/"/>
    </mc:Choice>
  </mc:AlternateContent>
  <xr:revisionPtr revIDLastSave="70" documentId="13_ncr:1_{B0CBBEC1-22E7-4CFE-9205-5D4DD5F7EF22}" xr6:coauthVersionLast="47" xr6:coauthVersionMax="47" xr10:uidLastSave="{2870B0A3-15E9-4FE8-8E5F-030A7F876E67}"/>
  <bookViews>
    <workbookView xWindow="-120" yWindow="-120" windowWidth="20730" windowHeight="11160" xr2:uid="{71B16AB5-E944-4C68-9BC7-C804033C39A0}"/>
  </bookViews>
  <sheets>
    <sheet name="Presupuesto 01000992" sheetId="1" r:id="rId1"/>
    <sheet name="(AWP) Plan de trabajo " sheetId="4" r:id="rId2"/>
    <sheet name="V1 Presupuesto Desagregado" sheetId="2" r:id="rId3"/>
  </sheets>
  <definedNames>
    <definedName name="_xlnm._FilterDatabase" localSheetId="1" hidden="1">'(AWP) Plan de trabajo '!$A$1:$M$35</definedName>
    <definedName name="_xlnm._FilterDatabase" localSheetId="0" hidden="1">'Presupuesto 01000992'!$R$4:$AM$4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4" l="1"/>
  <c r="I21" i="4"/>
  <c r="H21" i="4"/>
  <c r="AL48" i="1"/>
  <c r="AL50" i="1"/>
  <c r="AB48" i="1"/>
  <c r="AB50" i="1"/>
  <c r="I17" i="4" l="1"/>
  <c r="H17" i="4"/>
  <c r="I6" i="4"/>
  <c r="H6" i="4"/>
  <c r="G6" i="4"/>
  <c r="D31" i="4" l="1"/>
  <c r="E31" i="4"/>
  <c r="F31" i="4"/>
  <c r="G31" i="4"/>
  <c r="C31" i="4"/>
  <c r="D23" i="4"/>
  <c r="E23" i="4"/>
  <c r="F23" i="4"/>
  <c r="G23" i="4"/>
  <c r="C23" i="4"/>
  <c r="D13" i="4"/>
  <c r="E13" i="4"/>
  <c r="F13" i="4"/>
  <c r="G13" i="4"/>
  <c r="C13" i="4"/>
  <c r="I29" i="4"/>
  <c r="I31" i="4" s="1"/>
  <c r="H29" i="4"/>
  <c r="H31" i="4" s="1"/>
  <c r="D34" i="4" l="1"/>
  <c r="F34" i="4"/>
  <c r="E34" i="4"/>
  <c r="C34" i="4"/>
  <c r="G34" i="4"/>
  <c r="M32" i="4"/>
  <c r="M33" i="4"/>
  <c r="AB53" i="1" l="1"/>
  <c r="AB68" i="1" l="1"/>
  <c r="AB52" i="1"/>
  <c r="AB51" i="1" s="1"/>
  <c r="AH18" i="1" l="1"/>
  <c r="D70" i="2" l="1"/>
  <c r="D71" i="2"/>
  <c r="D72" i="2"/>
  <c r="D73" i="2"/>
  <c r="D74" i="2"/>
  <c r="D69" i="2"/>
  <c r="D66" i="2"/>
  <c r="D35" i="2"/>
  <c r="D32" i="2"/>
  <c r="D31" i="2"/>
  <c r="D30" i="2"/>
  <c r="D24" i="2"/>
  <c r="D23" i="2"/>
  <c r="D19" i="2"/>
  <c r="D10" i="2"/>
  <c r="E69" i="2"/>
  <c r="E70" i="2"/>
  <c r="E71" i="2"/>
  <c r="E72" i="2"/>
  <c r="E73" i="2"/>
  <c r="E74" i="2"/>
  <c r="E68" i="2"/>
  <c r="E66" i="2"/>
  <c r="E65" i="2"/>
  <c r="E63" i="2"/>
  <c r="E60" i="2"/>
  <c r="E58" i="2"/>
  <c r="E56" i="2"/>
  <c r="E53" i="2"/>
  <c r="E51" i="2"/>
  <c r="E49" i="2"/>
  <c r="E47" i="2"/>
  <c r="E45" i="2"/>
  <c r="E43" i="2"/>
  <c r="E41" i="2"/>
  <c r="E38" i="2"/>
  <c r="E35" i="2"/>
  <c r="E34" i="2"/>
  <c r="E32" i="2"/>
  <c r="E31" i="2"/>
  <c r="E30" i="2"/>
  <c r="E28" i="2"/>
  <c r="E26" i="2"/>
  <c r="E24" i="2"/>
  <c r="E22" i="2"/>
  <c r="E21" i="2"/>
  <c r="E19" i="2"/>
  <c r="E18" i="2"/>
  <c r="E17" i="2"/>
  <c r="E16" i="2"/>
  <c r="E15" i="2"/>
  <c r="E14" i="2"/>
  <c r="E13" i="2"/>
  <c r="E12" i="2"/>
  <c r="E10" i="2"/>
  <c r="E9" i="2"/>
  <c r="E7" i="2"/>
  <c r="AK75" i="1"/>
  <c r="F74" i="2" s="1"/>
  <c r="AK74" i="1"/>
  <c r="F73" i="2" s="1"/>
  <c r="AK73" i="1"/>
  <c r="F72" i="2" s="1"/>
  <c r="AK72" i="1"/>
  <c r="F71" i="2" s="1"/>
  <c r="AK71" i="1"/>
  <c r="F70" i="2" s="1"/>
  <c r="AK70" i="1"/>
  <c r="F69" i="2" s="1"/>
  <c r="AK69" i="1"/>
  <c r="F68" i="2" s="1"/>
  <c r="AK67" i="1"/>
  <c r="F66" i="2" s="1"/>
  <c r="AK66" i="1"/>
  <c r="F65" i="2" s="1"/>
  <c r="AK64" i="1"/>
  <c r="F63" i="2" s="1"/>
  <c r="AK62" i="1"/>
  <c r="F61" i="2" s="1"/>
  <c r="AK61" i="1"/>
  <c r="F60" i="2" s="1"/>
  <c r="AK59" i="1"/>
  <c r="F58" i="2" s="1"/>
  <c r="AK57" i="1"/>
  <c r="F56" i="2" s="1"/>
  <c r="AK54" i="1"/>
  <c r="F53" i="2" s="1"/>
  <c r="AK52" i="1"/>
  <c r="F51" i="2" s="1"/>
  <c r="AK49" i="1"/>
  <c r="F49" i="2" s="1"/>
  <c r="AK47" i="1"/>
  <c r="F47" i="2" s="1"/>
  <c r="AK45" i="1"/>
  <c r="F45" i="2" s="1"/>
  <c r="AK43" i="1"/>
  <c r="F43" i="2" s="1"/>
  <c r="AK41" i="1"/>
  <c r="F41" i="2" s="1"/>
  <c r="AK39" i="1"/>
  <c r="F39" i="2" s="1"/>
  <c r="AK38" i="1"/>
  <c r="F38" i="2" s="1"/>
  <c r="AK35" i="1"/>
  <c r="F35" i="2" s="1"/>
  <c r="AK34" i="1"/>
  <c r="F34" i="2" s="1"/>
  <c r="AK32" i="1"/>
  <c r="F32" i="2" s="1"/>
  <c r="AK31" i="1"/>
  <c r="F31" i="2" s="1"/>
  <c r="AK30" i="1"/>
  <c r="F30" i="2" s="1"/>
  <c r="AK29" i="1"/>
  <c r="F29" i="2" s="1"/>
  <c r="AK28" i="1"/>
  <c r="F28" i="2" s="1"/>
  <c r="AK26" i="1"/>
  <c r="F26" i="2" s="1"/>
  <c r="AK24" i="1"/>
  <c r="F24" i="2" s="1"/>
  <c r="AK23" i="1"/>
  <c r="F23" i="2" s="1"/>
  <c r="AK22" i="1"/>
  <c r="F22" i="2" s="1"/>
  <c r="AK21" i="1"/>
  <c r="F21" i="2" s="1"/>
  <c r="AK19" i="1"/>
  <c r="F19" i="2" s="1"/>
  <c r="AK18" i="1"/>
  <c r="F18" i="2" s="1"/>
  <c r="AK17" i="1"/>
  <c r="F17" i="2" s="1"/>
  <c r="AK16" i="1"/>
  <c r="F16" i="2" s="1"/>
  <c r="AK14" i="1"/>
  <c r="F14" i="2" s="1"/>
  <c r="AK15" i="1"/>
  <c r="F15" i="2" s="1"/>
  <c r="AK13" i="1"/>
  <c r="F13" i="2" s="1"/>
  <c r="AK12" i="1"/>
  <c r="F12" i="2" s="1"/>
  <c r="AK10" i="1"/>
  <c r="F10" i="2" s="1"/>
  <c r="AK9" i="1"/>
  <c r="F9" i="2" s="1"/>
  <c r="AK7" i="1"/>
  <c r="F7" i="2" s="1"/>
  <c r="AJ75" i="1"/>
  <c r="AJ74" i="1"/>
  <c r="AJ73" i="1"/>
  <c r="AJ72" i="1"/>
  <c r="AJ71" i="1"/>
  <c r="AJ70" i="1"/>
  <c r="AJ67" i="1"/>
  <c r="AJ10" i="1"/>
  <c r="AJ35" i="1"/>
  <c r="AJ32" i="1"/>
  <c r="AJ31" i="1"/>
  <c r="AJ30" i="1"/>
  <c r="AJ68" i="1" l="1"/>
  <c r="AJ63" i="1"/>
  <c r="AJ65" i="1"/>
  <c r="AJ33" i="1"/>
  <c r="AJ8" i="1"/>
  <c r="AJ6" i="1"/>
  <c r="AL75" i="1"/>
  <c r="G74" i="2" s="1"/>
  <c r="AL74" i="1"/>
  <c r="G73" i="2" s="1"/>
  <c r="AL73" i="1"/>
  <c r="G72" i="2" s="1"/>
  <c r="AL72" i="1"/>
  <c r="G71" i="2" s="1"/>
  <c r="AL71" i="1"/>
  <c r="G70" i="2" s="1"/>
  <c r="AL70" i="1"/>
  <c r="G69" i="2" s="1"/>
  <c r="AL67" i="1"/>
  <c r="G66" i="2" s="1"/>
  <c r="AL35" i="1"/>
  <c r="G35" i="2" s="1"/>
  <c r="AL32" i="1"/>
  <c r="G32" i="2" s="1"/>
  <c r="AL31" i="1"/>
  <c r="G31" i="2" s="1"/>
  <c r="AL30" i="1"/>
  <c r="G30" i="2" s="1"/>
  <c r="AL10" i="1"/>
  <c r="G10" i="2" s="1"/>
  <c r="AJ19" i="1"/>
  <c r="AL19" i="1" s="1"/>
  <c r="G19" i="2" s="1"/>
  <c r="AJ24" i="1"/>
  <c r="AL24" i="1" s="1"/>
  <c r="G24" i="2" s="1"/>
  <c r="AH23" i="1"/>
  <c r="AH90" i="1"/>
  <c r="AI89" i="1"/>
  <c r="AI88" i="1"/>
  <c r="AI87" i="1"/>
  <c r="AJ62" i="1"/>
  <c r="AJ60" i="1" s="1"/>
  <c r="AJ54" i="1"/>
  <c r="AJ53" i="1" s="1"/>
  <c r="AJ52" i="1"/>
  <c r="AJ51" i="1" s="1"/>
  <c r="AJ49" i="1"/>
  <c r="AJ48" i="1" s="1"/>
  <c r="AJ47" i="1"/>
  <c r="AJ46" i="1" s="1"/>
  <c r="AJ44" i="1"/>
  <c r="AJ43" i="1"/>
  <c r="AJ42" i="1" s="1"/>
  <c r="AJ41" i="1"/>
  <c r="AJ40" i="1" s="1"/>
  <c r="AJ39" i="1"/>
  <c r="AJ38" i="1"/>
  <c r="AJ29" i="1"/>
  <c r="AJ27" i="1" s="1"/>
  <c r="AJ25" i="1"/>
  <c r="AJ22" i="1"/>
  <c r="AJ18" i="1"/>
  <c r="AJ17" i="1"/>
  <c r="AJ16" i="1"/>
  <c r="AJ15" i="1"/>
  <c r="AJ14" i="1"/>
  <c r="AJ13" i="1"/>
  <c r="AJ12" i="1"/>
  <c r="AJ23" i="1" l="1"/>
  <c r="AL23" i="1" s="1"/>
  <c r="G23" i="2" s="1"/>
  <c r="E23" i="2"/>
  <c r="AJ11" i="1"/>
  <c r="AJ76" i="1"/>
  <c r="AI90" i="1"/>
  <c r="AJ37" i="1"/>
  <c r="AJ55" i="1" s="1"/>
  <c r="AJ20" i="1" l="1"/>
  <c r="AJ36" i="1" s="1"/>
  <c r="AJ79" i="1" s="1"/>
  <c r="AJ80" i="1" s="1"/>
  <c r="AJ81" i="1" s="1"/>
  <c r="AJ82" i="1" l="1"/>
  <c r="AF49" i="1"/>
  <c r="AF48" i="1" s="1"/>
  <c r="AF62" i="1"/>
  <c r="AB16" i="1"/>
  <c r="X16" i="1"/>
  <c r="AF12" i="1"/>
  <c r="AB49" i="1"/>
  <c r="X49" i="1"/>
  <c r="X51" i="1"/>
  <c r="AB29" i="1"/>
  <c r="AB27" i="1" s="1"/>
  <c r="AL49" i="1" l="1"/>
  <c r="G49" i="2" s="1"/>
  <c r="G48" i="2" s="1"/>
  <c r="AF60" i="1"/>
  <c r="AD90" i="1" l="1"/>
  <c r="AE89" i="1"/>
  <c r="AE88" i="1"/>
  <c r="AE87" i="1"/>
  <c r="AF29" i="1"/>
  <c r="AF27" i="1" s="1"/>
  <c r="AF76" i="1"/>
  <c r="AF44" i="1"/>
  <c r="AF52" i="1"/>
  <c r="AF51" i="1" s="1"/>
  <c r="AF47" i="1"/>
  <c r="AF43" i="1"/>
  <c r="AF42" i="1" s="1"/>
  <c r="AF41" i="1"/>
  <c r="AF40" i="1" s="1"/>
  <c r="AF38" i="1"/>
  <c r="AF25" i="1"/>
  <c r="AF22" i="1"/>
  <c r="AF20" i="1" s="1"/>
  <c r="AF13" i="1"/>
  <c r="AF14" i="1"/>
  <c r="AF15" i="1"/>
  <c r="AF16" i="1"/>
  <c r="AL16" i="1" s="1"/>
  <c r="G16" i="2" s="1"/>
  <c r="AF17" i="1"/>
  <c r="AF18" i="1"/>
  <c r="AB12" i="1"/>
  <c r="S93" i="1"/>
  <c r="S92" i="1"/>
  <c r="T92" i="1" s="1"/>
  <c r="X69" i="1"/>
  <c r="AL69" i="1" s="1"/>
  <c r="AB66" i="1"/>
  <c r="X66" i="1"/>
  <c r="X65" i="1" s="1"/>
  <c r="AB64" i="1"/>
  <c r="X64" i="1"/>
  <c r="X63" i="1" s="1"/>
  <c r="AB61" i="1"/>
  <c r="X61" i="1"/>
  <c r="AB59" i="1"/>
  <c r="X59" i="1"/>
  <c r="X58" i="1" s="1"/>
  <c r="AB57" i="1"/>
  <c r="X57" i="1"/>
  <c r="X56" i="1" s="1"/>
  <c r="X52" i="1"/>
  <c r="X48" i="1" s="1"/>
  <c r="AB47" i="1"/>
  <c r="X47" i="1"/>
  <c r="X46" i="1" s="1"/>
  <c r="AB45" i="1"/>
  <c r="X45" i="1"/>
  <c r="X44" i="1" s="1"/>
  <c r="AB43" i="1"/>
  <c r="X43" i="1"/>
  <c r="X42" i="1" s="1"/>
  <c r="AB41" i="1"/>
  <c r="X41" i="1"/>
  <c r="X40" i="1" s="1"/>
  <c r="AB38" i="1"/>
  <c r="X38" i="1"/>
  <c r="AB34" i="1"/>
  <c r="AB33" i="1" s="1"/>
  <c r="X34" i="1"/>
  <c r="X33" i="1" s="1"/>
  <c r="X28" i="1"/>
  <c r="AL28" i="1" s="1"/>
  <c r="G28" i="2" s="1"/>
  <c r="AB26" i="1"/>
  <c r="X26" i="1"/>
  <c r="X25" i="1" s="1"/>
  <c r="AB22" i="1"/>
  <c r="X22" i="1"/>
  <c r="AB21" i="1"/>
  <c r="X21" i="1"/>
  <c r="AB18" i="1"/>
  <c r="X18" i="1"/>
  <c r="AB17" i="1"/>
  <c r="X17" i="1"/>
  <c r="AB15" i="1"/>
  <c r="X15" i="1"/>
  <c r="AB14" i="1"/>
  <c r="X14" i="1"/>
  <c r="AB13" i="1"/>
  <c r="X13" i="1"/>
  <c r="X12" i="1"/>
  <c r="AB9" i="1"/>
  <c r="AB8" i="1" s="1"/>
  <c r="X9" i="1"/>
  <c r="X8" i="1" s="1"/>
  <c r="AB7" i="1"/>
  <c r="X7" i="1"/>
  <c r="X6" i="1" s="1"/>
  <c r="AB20" i="1" l="1"/>
  <c r="AB11" i="1"/>
  <c r="AL68" i="1"/>
  <c r="M30" i="4" s="1"/>
  <c r="G68" i="2"/>
  <c r="G67" i="2" s="1"/>
  <c r="AL14" i="1"/>
  <c r="G14" i="2" s="1"/>
  <c r="AL21" i="1"/>
  <c r="G21" i="2" s="1"/>
  <c r="AL59" i="1"/>
  <c r="AL26" i="1"/>
  <c r="G26" i="2" s="1"/>
  <c r="G25" i="2" s="1"/>
  <c r="AL18" i="1"/>
  <c r="G18" i="2" s="1"/>
  <c r="AL9" i="1"/>
  <c r="AL15" i="1"/>
  <c r="G15" i="2" s="1"/>
  <c r="AL22" i="1"/>
  <c r="G22" i="2" s="1"/>
  <c r="AL12" i="1"/>
  <c r="G12" i="2" s="1"/>
  <c r="AL52" i="1"/>
  <c r="AL17" i="1"/>
  <c r="G17" i="2" s="1"/>
  <c r="AL43" i="1"/>
  <c r="G43" i="2" s="1"/>
  <c r="G42" i="2" s="1"/>
  <c r="AL57" i="1"/>
  <c r="AL64" i="1"/>
  <c r="G63" i="2" s="1"/>
  <c r="G62" i="2" s="1"/>
  <c r="AL61" i="1"/>
  <c r="G60" i="2" s="1"/>
  <c r="AL7" i="1"/>
  <c r="G7" i="2" s="1"/>
  <c r="G6" i="2" s="1"/>
  <c r="AL34" i="1"/>
  <c r="AL45" i="1"/>
  <c r="G45" i="2" s="1"/>
  <c r="G44" i="2" s="1"/>
  <c r="AL66" i="1"/>
  <c r="AL41" i="1"/>
  <c r="G41" i="2" s="1"/>
  <c r="G40" i="2" s="1"/>
  <c r="AL13" i="1"/>
  <c r="G13" i="2" s="1"/>
  <c r="AL38" i="1"/>
  <c r="G38" i="2" s="1"/>
  <c r="AL47" i="1"/>
  <c r="G47" i="2" s="1"/>
  <c r="G46" i="2" s="1"/>
  <c r="X20" i="1"/>
  <c r="AF46" i="1"/>
  <c r="V39" i="1"/>
  <c r="X39" i="1" s="1"/>
  <c r="X37" i="1" s="1"/>
  <c r="X55" i="1" s="1"/>
  <c r="AE90" i="1"/>
  <c r="AF11" i="1"/>
  <c r="AF36" i="1" s="1"/>
  <c r="X68" i="1"/>
  <c r="V62" i="1" s="1"/>
  <c r="X62" i="1" s="1"/>
  <c r="X60" i="1" s="1"/>
  <c r="X76" i="1" s="1"/>
  <c r="AB25" i="1"/>
  <c r="AB46" i="1"/>
  <c r="AB40" i="1"/>
  <c r="AB63" i="1"/>
  <c r="AB58" i="1"/>
  <c r="AB65" i="1"/>
  <c r="AB42" i="1"/>
  <c r="AB44" i="1"/>
  <c r="AB56" i="1"/>
  <c r="AB6" i="1"/>
  <c r="X11" i="1"/>
  <c r="AL65" i="1" l="1"/>
  <c r="M29" i="4" s="1"/>
  <c r="G65" i="2"/>
  <c r="G64" i="2" s="1"/>
  <c r="AL58" i="1"/>
  <c r="G58" i="2"/>
  <c r="G57" i="2" s="1"/>
  <c r="G51" i="2"/>
  <c r="G50" i="2" s="1"/>
  <c r="G20" i="2"/>
  <c r="AL33" i="1"/>
  <c r="M11" i="4" s="1"/>
  <c r="G34" i="2"/>
  <c r="G33" i="2" s="1"/>
  <c r="AL8" i="1"/>
  <c r="M4" i="4" s="1"/>
  <c r="G9" i="2"/>
  <c r="G8" i="2" s="1"/>
  <c r="AL56" i="1"/>
  <c r="G56" i="2"/>
  <c r="G55" i="2" s="1"/>
  <c r="G11" i="2"/>
  <c r="AL20" i="1"/>
  <c r="AL11" i="1"/>
  <c r="AL46" i="1"/>
  <c r="M19" i="4" s="1"/>
  <c r="AL6" i="1"/>
  <c r="M3" i="4" s="1"/>
  <c r="AL25" i="1"/>
  <c r="S104" i="1"/>
  <c r="AL44" i="1"/>
  <c r="AL42" i="1"/>
  <c r="AL40" i="1"/>
  <c r="M16" i="4" s="1"/>
  <c r="S103" i="1"/>
  <c r="AL51" i="1"/>
  <c r="M20" i="4" s="1"/>
  <c r="H20" i="4" s="1"/>
  <c r="Z62" i="1"/>
  <c r="V29" i="1"/>
  <c r="AF39" i="1"/>
  <c r="AL63" i="1"/>
  <c r="M28" i="4" s="1"/>
  <c r="I19" i="4" l="1"/>
  <c r="I23" i="4" s="1"/>
  <c r="H19" i="4"/>
  <c r="H23" i="4" s="1"/>
  <c r="X29" i="1"/>
  <c r="AL29" i="1" s="1"/>
  <c r="E29" i="2"/>
  <c r="AB62" i="1"/>
  <c r="AL62" i="1" s="1"/>
  <c r="E61" i="2"/>
  <c r="AB39" i="1"/>
  <c r="AL39" i="1" s="1"/>
  <c r="G39" i="2" s="1"/>
  <c r="G37" i="2" s="1"/>
  <c r="E39" i="2"/>
  <c r="S90" i="1"/>
  <c r="S101" i="1" s="1"/>
  <c r="S89" i="1"/>
  <c r="S87" i="1"/>
  <c r="H3" i="4"/>
  <c r="H13" i="4" s="1"/>
  <c r="I3" i="4"/>
  <c r="I13" i="4" s="1"/>
  <c r="AF37" i="1"/>
  <c r="AB36" i="1"/>
  <c r="X27" i="1" l="1"/>
  <c r="X36" i="1" s="1"/>
  <c r="X79" i="1" s="1"/>
  <c r="AB60" i="1"/>
  <c r="AB76" i="1" s="1"/>
  <c r="I34" i="4"/>
  <c r="H34" i="4"/>
  <c r="AL27" i="1"/>
  <c r="M5" i="4" s="1"/>
  <c r="G29" i="2"/>
  <c r="G27" i="2" s="1"/>
  <c r="G36" i="2" s="1"/>
  <c r="AB37" i="1"/>
  <c r="AB55" i="1" s="1"/>
  <c r="AL60" i="1"/>
  <c r="G61" i="2"/>
  <c r="G59" i="2" s="1"/>
  <c r="T90" i="1"/>
  <c r="T89" i="1"/>
  <c r="AL37" i="1"/>
  <c r="M14" i="4" s="1"/>
  <c r="S91" i="1"/>
  <c r="X80" i="1"/>
  <c r="X81" i="1" s="1"/>
  <c r="X82" i="1" s="1"/>
  <c r="AL76" i="1" l="1"/>
  <c r="M24" i="4"/>
  <c r="AL36" i="1"/>
  <c r="AB79" i="1"/>
  <c r="AB80" i="1" s="1"/>
  <c r="AB81" i="1" s="1"/>
  <c r="G75" i="2"/>
  <c r="M13" i="4"/>
  <c r="T91" i="1"/>
  <c r="T87" i="1"/>
  <c r="AB82" i="1" l="1"/>
  <c r="AF54" i="1"/>
  <c r="AF53" i="1" l="1"/>
  <c r="AF55" i="1" s="1"/>
  <c r="AF79" i="1" s="1"/>
  <c r="AL54" i="1"/>
  <c r="G53" i="2" l="1"/>
  <c r="G52" i="2" s="1"/>
  <c r="G54" i="2" s="1"/>
  <c r="M22" i="4"/>
  <c r="M23" i="4" s="1"/>
  <c r="M31" i="4"/>
  <c r="AL53" i="1"/>
  <c r="AL55" i="1" s="1"/>
  <c r="S102" i="1"/>
  <c r="AF80" i="1"/>
  <c r="S88" i="1" l="1"/>
  <c r="T88" i="1" s="1"/>
  <c r="AL79" i="1"/>
  <c r="AL80" i="1" s="1"/>
  <c r="AF81" i="1"/>
  <c r="AF82" i="1" l="1"/>
  <c r="AL81" i="1"/>
  <c r="M34" i="4" s="1"/>
  <c r="S94" i="1"/>
  <c r="S95" i="1" l="1"/>
  <c r="S106" i="1" s="1"/>
  <c r="S107" i="1" s="1"/>
  <c r="M35" i="4"/>
  <c r="AL82" i="1"/>
  <c r="S96" i="1" l="1"/>
  <c r="T98" i="1" s="1"/>
</calcChain>
</file>

<file path=xl/sharedStrings.xml><?xml version="1.0" encoding="utf-8"?>
<sst xmlns="http://schemas.openxmlformats.org/spreadsheetml/2006/main" count="589" uniqueCount="189">
  <si>
    <t xml:space="preserve">PRESUPUESTO DESAGREGADO
Proyecto: Fortalecimiento de las capacidades del Ministerio del Interior: “Implementación del Acuerdo de Paz, Seguridad Humana y respeto por los DD. HH”  </t>
  </si>
  <si>
    <r>
      <rPr>
        <b/>
        <sz val="11"/>
        <color theme="1"/>
        <rFont val="Calibri"/>
        <family val="2"/>
        <scheme val="minor"/>
      </rPr>
      <t>Objetivo del proyecto</t>
    </r>
    <r>
      <rPr>
        <sz val="11"/>
        <color theme="1"/>
        <rFont val="Calibri"/>
        <family val="2"/>
        <scheme val="minor"/>
      </rPr>
      <t xml:space="preserve">: Generar capacidades en las organizaciones de la sociedad civil para consolidar la política de Seguridad Humana y apoyar la implementación del Acuerdo de Paz, a partir del fortalecimiento de la gestión institucional de la Dirección de Derechos Humanos del Ministerio del Interior. 
</t>
    </r>
  </si>
  <si>
    <r>
      <t>RESULTADO : L</t>
    </r>
    <r>
      <rPr>
        <sz val="11"/>
        <color theme="1"/>
        <rFont val="Calibri"/>
        <family val="2"/>
        <scheme val="minor"/>
      </rPr>
      <t xml:space="preserve">a Dirección de DD.HH. del Ministerio del Interior es fortalecida en su capacidad de formulación, articulación y seguimiento de iniciativas en materia normativa, de políticas públicas, de transferencia de capacidades a organizaciones y de respuesta a requerimientos judiciales, a través de la incorporación del enfoque basado en derechos humanos en la gestión institucional territorial.  </t>
    </r>
  </si>
  <si>
    <t>actividad</t>
  </si>
  <si>
    <t>Unidad de medida</t>
  </si>
  <si>
    <r>
      <t xml:space="preserve">Valor unitario </t>
    </r>
    <r>
      <rPr>
        <sz val="10"/>
        <color theme="1"/>
        <rFont val="Calibri"/>
        <family val="2"/>
        <scheme val="minor"/>
      </rPr>
      <t>(</t>
    </r>
    <r>
      <rPr>
        <i/>
        <sz val="10"/>
        <color theme="1"/>
        <rFont val="Calibri"/>
        <family val="2"/>
        <scheme val="minor"/>
      </rPr>
      <t>por unidad de medida</t>
    </r>
    <r>
      <rPr>
        <sz val="10"/>
        <color theme="1"/>
        <rFont val="Calibri"/>
        <family val="2"/>
        <scheme val="minor"/>
      </rPr>
      <t>)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sz val="10"/>
        <color rgb="FFFF0000"/>
        <rFont val="Calibri"/>
        <family val="2"/>
        <scheme val="minor"/>
      </rPr>
      <t>(a)</t>
    </r>
  </si>
  <si>
    <r>
      <t xml:space="preserve">Cantidad requerida </t>
    </r>
    <r>
      <rPr>
        <b/>
        <sz val="10"/>
        <color rgb="FFFF0000"/>
        <rFont val="Calibri"/>
        <family val="2"/>
        <scheme val="minor"/>
      </rPr>
      <t>(b)</t>
    </r>
  </si>
  <si>
    <t xml:space="preserve">Valor total por actividad </t>
  </si>
  <si>
    <t>Adición No.1</t>
  </si>
  <si>
    <t>Adición No. 2</t>
  </si>
  <si>
    <t xml:space="preserve">Cantidad requerida proyecto + adición No. 2 </t>
  </si>
  <si>
    <t xml:space="preserve">Valor total por actividad proyecto + adición No. 2 </t>
  </si>
  <si>
    <t>Valor Unitario</t>
  </si>
  <si>
    <t>Cantidad requerida</t>
  </si>
  <si>
    <t>Valor total adición</t>
  </si>
  <si>
    <t>Producto 1:
Fortalecer la política pública de prevención de violaciones a los Derechos a la vida, integridad, libertad y seguridad de personas, grupos y comunidades.</t>
  </si>
  <si>
    <r>
      <rPr>
        <b/>
        <sz val="11"/>
        <color theme="1"/>
        <rFont val="Calibri"/>
        <family val="2"/>
        <scheme val="minor"/>
      </rPr>
      <t xml:space="preserve">Actividad 1.1 
</t>
    </r>
    <r>
      <rPr>
        <sz val="11"/>
        <color theme="1"/>
        <rFont val="Calibri"/>
        <family val="2"/>
        <scheme val="minor"/>
      </rPr>
      <t>Formular y diseñar documentos metodológicos en Gestión Preventiva del    Riesgo.</t>
    </r>
  </si>
  <si>
    <t xml:space="preserve">4. Servicios contractuales </t>
  </si>
  <si>
    <t>4.1. Consultoria- documento metodológico gestión preventiva riesgo</t>
  </si>
  <si>
    <t>consultoría</t>
  </si>
  <si>
    <r>
      <rPr>
        <b/>
        <sz val="11"/>
        <color theme="1"/>
        <rFont val="Calibri"/>
        <family val="2"/>
        <scheme val="minor"/>
      </rPr>
      <t xml:space="preserve">ACTIVIDAD 1.2 </t>
    </r>
    <r>
      <rPr>
        <sz val="11"/>
        <color theme="1"/>
        <rFont val="Calibri"/>
        <family val="2"/>
        <scheme val="minor"/>
      </rPr>
      <t xml:space="preserve">
Realizar ajustes técnicos a la Metodología de Gestión en el territorio de la política pública de prevención a violaciones a los DDHH. </t>
    </r>
  </si>
  <si>
    <t>4.1. Consultoria- Metodologia gestión en el territorio</t>
  </si>
  <si>
    <r>
      <rPr>
        <b/>
        <sz val="11"/>
        <color theme="1"/>
        <rFont val="Calibri"/>
        <family val="2"/>
        <scheme val="minor"/>
      </rPr>
      <t>ACTIVIDAD 1.3</t>
    </r>
    <r>
      <rPr>
        <sz val="11"/>
        <color theme="1"/>
        <rFont val="Calibri"/>
        <family val="2"/>
        <scheme val="minor"/>
      </rPr>
      <t xml:space="preserve">
Fortalecer las iniciativas focalizadas en los Planes de Prevención de los territorios priorizados. </t>
    </r>
  </si>
  <si>
    <r>
      <t>1. Costos de personal</t>
    </r>
    <r>
      <rPr>
        <i/>
        <sz val="11"/>
        <color theme="1"/>
        <rFont val="Calibri"/>
        <family val="2"/>
      </rPr>
      <t/>
    </r>
  </si>
  <si>
    <t>1.1. Coordinador jefe de proyecto</t>
  </si>
  <si>
    <t>mes</t>
  </si>
  <si>
    <t xml:space="preserve">1.2 Asociado técnico </t>
  </si>
  <si>
    <t>1.3 Asistente tecnico PME Monitoreo y evaluación</t>
  </si>
  <si>
    <t>1.4 Asociado administrativo</t>
  </si>
  <si>
    <t>1.5 Asociado administrativo GRANTS APR</t>
  </si>
  <si>
    <t>1.6.Asistente comunicaciones</t>
  </si>
  <si>
    <t>1.7. Ásociado áreas transversales</t>
  </si>
  <si>
    <t>4.1. Servicios de eventos/talleres con entidades, organizaciones, comunidades, asistencia</t>
  </si>
  <si>
    <t>costo unitario</t>
  </si>
  <si>
    <t>4.2. Servicios de consultoria (IC) para seguimiento administrativo y financiero</t>
  </si>
  <si>
    <r>
      <t xml:space="preserve">5. Viajes </t>
    </r>
    <r>
      <rPr>
        <i/>
        <sz val="8"/>
        <color theme="1"/>
        <rFont val="Calibri"/>
        <family val="2"/>
      </rPr>
      <t/>
    </r>
  </si>
  <si>
    <t>5.1. Viajes y viáticos</t>
  </si>
  <si>
    <t>misión</t>
  </si>
  <si>
    <r>
      <t xml:space="preserve">6. Transferencias y </t>
    </r>
    <r>
      <rPr>
        <b/>
        <i/>
        <sz val="11"/>
        <color theme="1"/>
        <rFont val="Calibri"/>
        <family val="2"/>
      </rPr>
      <t>grants</t>
    </r>
    <r>
      <rPr>
        <b/>
        <sz val="11"/>
        <color theme="1"/>
        <rFont val="Calibri"/>
        <family val="2"/>
      </rPr>
      <t xml:space="preserve"> a contrapartes </t>
    </r>
  </si>
  <si>
    <t>6.1. ASBV/ APR / Compras Planes de prevención</t>
  </si>
  <si>
    <t>ASBV</t>
  </si>
  <si>
    <t>6.2. Seguimiento y monitoreo oficina PNUD (DPC)</t>
  </si>
  <si>
    <r>
      <rPr>
        <b/>
        <sz val="11"/>
        <color theme="1"/>
        <rFont val="Calibri"/>
        <family val="2"/>
        <scheme val="minor"/>
      </rPr>
      <t>ACTIVIDAD 1.4</t>
    </r>
    <r>
      <rPr>
        <sz val="11"/>
        <color theme="1"/>
        <rFont val="Calibri"/>
        <family val="2"/>
        <scheme val="minor"/>
      </rPr>
      <t xml:space="preserve">
Adecuar espacios destinados a la inhumación de cuerpos o restos Humanos de personas no identificadas e identificadas no reclamadas en cementerios, como apoyo a la acción institucional en el marco del proceso de búsqueda de personas desaparecidas en Colombia.</t>
    </r>
  </si>
  <si>
    <t xml:space="preserve">4.1. Contrato adecuación espacios inhumación de restos </t>
  </si>
  <si>
    <t>total producto 1</t>
  </si>
  <si>
    <t>Producto 2:
Fortalecer la intervención territorial de la Dirección de DDHH a través de la gestión de programas e instancias tendientes a consolidar los ecosistemas de promoción y protección de DDHH.   </t>
  </si>
  <si>
    <r>
      <rPr>
        <b/>
        <sz val="11"/>
        <color theme="1"/>
        <rFont val="Calibri"/>
        <family val="2"/>
        <scheme val="minor"/>
      </rPr>
      <t>ACTIVIDAD 2.1</t>
    </r>
    <r>
      <rPr>
        <sz val="11"/>
        <color theme="1"/>
        <rFont val="Calibri"/>
        <family val="2"/>
        <scheme val="minor"/>
      </rPr>
      <t xml:space="preserve">
Cofinanciar proyectos territoriales seleccionados en el marco de los planes de trabajo en Derechos Humanos de las entidades territoriales </t>
    </r>
  </si>
  <si>
    <t>6.1. ASBV- APR Iniciativas Proyectos territoriales planes de trabajo en DD.HH</t>
  </si>
  <si>
    <t>ASBV-APR</t>
  </si>
  <si>
    <r>
      <rPr>
        <b/>
        <sz val="11"/>
        <color theme="1"/>
        <rFont val="Calibri"/>
        <family val="2"/>
        <scheme val="minor"/>
      </rPr>
      <t>ACTIVIDAD 2.2.</t>
    </r>
    <r>
      <rPr>
        <sz val="11"/>
        <color theme="1"/>
        <rFont val="Calibri"/>
        <family val="2"/>
        <scheme val="minor"/>
      </rPr>
      <t xml:space="preserve"> 
Fortalecer la implementación de los planes integrales de prevención y autoprotección de comunidades en el marco del decreto 660 de 2018, a través del apoyo a iniciativas comunitarias.</t>
    </r>
  </si>
  <si>
    <t>4.1.  Servicios de eventos/talleres con entidades, organizaciones, comunidades</t>
  </si>
  <si>
    <t>Costo unitario</t>
  </si>
  <si>
    <t>6.1. ASBV- APR  Fortalecimiento planes integrales de prevención D.660</t>
  </si>
  <si>
    <r>
      <rPr>
        <b/>
        <sz val="11"/>
        <color theme="1"/>
        <rFont val="Calibri"/>
        <family val="2"/>
        <scheme val="minor"/>
      </rPr>
      <t>ACTIVIDAD 2.3</t>
    </r>
    <r>
      <rPr>
        <sz val="11"/>
        <color theme="1"/>
        <rFont val="Calibri"/>
        <family val="2"/>
        <scheme val="minor"/>
      </rPr>
      <t xml:space="preserve">.
 Diseñar e implementar un plan estratégico de cultura de respeto y de garantías a la labor de defensa de los Derechos Humanos a nivel nacional y territorial. </t>
    </r>
  </si>
  <si>
    <t>4.1. Consultoría análisis de riesgos</t>
  </si>
  <si>
    <r>
      <rPr>
        <b/>
        <sz val="11"/>
        <color theme="1"/>
        <rFont val="Calibri"/>
        <family val="2"/>
        <scheme val="minor"/>
      </rPr>
      <t xml:space="preserve">ACTIVIDAD 2.4. </t>
    </r>
    <r>
      <rPr>
        <sz val="11"/>
        <color theme="1"/>
        <rFont val="Calibri"/>
        <family val="2"/>
        <scheme val="minor"/>
      </rPr>
      <t xml:space="preserve">
 Transferir capacidades para la incidencia política y la exigibilidad de derechos, a las Organizaciones defensoras de DDHH, con enfoque diferencial, de genero y OSIGD priorizando acciones en las Zonas Especiales de garantías para el liderazgo y la defensa de los DDHH. </t>
    </r>
  </si>
  <si>
    <t>6.1. ASBV- APR  Fortalecimiento planes integrales de prevención D.660 - Asistencia Técnica</t>
  </si>
  <si>
    <r>
      <rPr>
        <b/>
        <sz val="11"/>
        <color theme="1"/>
        <rFont val="Calibri"/>
        <family val="2"/>
        <scheme val="minor"/>
      </rPr>
      <t>ACTIVIDAD 2.5.</t>
    </r>
    <r>
      <rPr>
        <sz val="11"/>
        <color theme="1"/>
        <rFont val="Calibri"/>
        <family val="2"/>
        <scheme val="minor"/>
      </rPr>
      <t xml:space="preserve">
Fortalecer las capacidades en materia de prevención, análisis de riesgo y defensa de los Derechos Humanos.  </t>
    </r>
  </si>
  <si>
    <t>4.1. Programa de formación para la consolidación de  la política pública  de Seguridad Humana y el respeto a los DD.HH..</t>
  </si>
  <si>
    <t>Consultoría (Proceso de Formación)</t>
  </si>
  <si>
    <t>total producto 2</t>
  </si>
  <si>
    <t>Producto 3:
 Implementar las políticas públicas en materia de Garantías para el goce efectivo de los DDHH, la protección de personas y comunidades en riesgo y el seguimiento de los autos y órdenes judiciales a cargo de la Dirección de Derechos Humano </t>
  </si>
  <si>
    <r>
      <rPr>
        <b/>
        <sz val="11"/>
        <color theme="1"/>
        <rFont val="Calibri"/>
        <family val="2"/>
        <scheme val="minor"/>
      </rPr>
      <t xml:space="preserve">ACTIVIDAD 3.1. 
</t>
    </r>
    <r>
      <rPr>
        <sz val="11"/>
        <color theme="1"/>
        <rFont val="Calibri"/>
        <family val="2"/>
        <scheme val="minor"/>
      </rPr>
      <t xml:space="preserve">Apoyar la implementación del Plan de Acción Nacional del Programa Integral de Garantías para Lideresas y Defensoras de DDHH, en el marco del auto 737, de la sentencia T-025/2004. </t>
    </r>
  </si>
  <si>
    <t>4.1.   Servicios de eventos/talleres con entidades, organizaciones, comunidades</t>
  </si>
  <si>
    <t>6.1. ASBV- APR  Iniciativas Plan de acción Programa Nacional Integral garantías lideresas y defensoras DD.HH, auto 737 y Sentencia T-025/2004</t>
  </si>
  <si>
    <r>
      <rPr>
        <b/>
        <sz val="11"/>
        <color theme="1"/>
        <rFont val="Calibri"/>
        <family val="2"/>
        <scheme val="minor"/>
      </rPr>
      <t>ACTIVIDAD 3.2</t>
    </r>
    <r>
      <rPr>
        <sz val="11"/>
        <color theme="1"/>
        <rFont val="Calibri"/>
        <family val="2"/>
        <scheme val="minor"/>
      </rPr>
      <t xml:space="preserve">.
  Implementar los planes de acción de las Zonas Especiales de Garantías para el Liderazgo Social y Defensa de los Derechos Humanos, para la mitigación de riesgos de vulneraciones conexos a esta actividad. </t>
    </r>
  </si>
  <si>
    <t>6.1. ASBV- APR  Iniciativas Planes de accion Zonas especiales de Garantias liderazgo social y defensa DD.HH</t>
  </si>
  <si>
    <r>
      <rPr>
        <b/>
        <sz val="11"/>
        <color theme="1"/>
        <rFont val="Calibri"/>
        <family val="2"/>
        <scheme val="minor"/>
      </rPr>
      <t>ACTIVIDAD 3.3</t>
    </r>
    <r>
      <rPr>
        <sz val="11"/>
        <color theme="1"/>
        <rFont val="Calibri"/>
        <family val="2"/>
        <scheme val="minor"/>
      </rPr>
      <t xml:space="preserve">.
 Realizar seguimiento al cumplimiento de las órdenes judiciales a cargo de la Dirección de Derechos Humanos. </t>
    </r>
  </si>
  <si>
    <t>6.1. ASBV- APR  Iniciativas seguimiento cumplimiento ordenes judiciales (autos priorizados) a cargo de la Dirección de DD.HH</t>
  </si>
  <si>
    <r>
      <rPr>
        <b/>
        <sz val="11"/>
        <color theme="1"/>
        <rFont val="Calibri"/>
        <family val="2"/>
        <scheme val="minor"/>
      </rPr>
      <t>ACTIVIDAD 3.4</t>
    </r>
    <r>
      <rPr>
        <sz val="11"/>
        <color theme="1"/>
        <rFont val="Calibri"/>
        <family val="2"/>
        <scheme val="minor"/>
      </rPr>
      <t xml:space="preserve">. 
Apoyar iniciativas organizativas y/o comunitarias dirigidas a la protección y autoprotección de mujeres dedicadas al liderazgo social y la defensa de los DDHH.   </t>
    </r>
  </si>
  <si>
    <t>6.1. ASBV- APR  Iniciativas organizativas y/o comunitarias proteccion y autoproteccion con enfoque de género, énfasis en proteccion y prevencion a  mujeres</t>
  </si>
  <si>
    <t>total producto 3</t>
  </si>
  <si>
    <t>Evaluación</t>
  </si>
  <si>
    <t>Auditoría</t>
  </si>
  <si>
    <t>7. Costos directos Totales para el proyecto</t>
  </si>
  <si>
    <t>8. Subtotal (Sumar los valores de las actividades + costos directos)</t>
  </si>
  <si>
    <t>9. Costos indirectos Totales para el proyecto (GMS)</t>
  </si>
  <si>
    <t>TOTAL PRESUPUESTO A TRANSFERIR  (sumar subtotal + gastos indirectos)</t>
  </si>
  <si>
    <t>Tasa dic</t>
  </si>
  <si>
    <t> ENMIENDA 3 </t>
  </si>
  <si>
    <t>Concepto</t>
  </si>
  <si>
    <t>USD</t>
  </si>
  <si>
    <t>COP</t>
  </si>
  <si>
    <t> COP </t>
  </si>
  <si>
    <t> USD </t>
  </si>
  <si>
    <t>Producto 1</t>
  </si>
  <si>
    <t>a.Proceso de Formación (Diplomado)  entorno a la consolidación de  la política pública  de seguridad humana y el respeto a los Derechos Humanos. </t>
  </si>
  <si>
    <t>se crea una activity 2.5</t>
  </si>
  <si>
    <t>Producto 2</t>
  </si>
  <si>
    <t>b.Desarrollar una consultoría con el propósito de elaborar un marco conceptual, metodologías y herramientas cualitativas y cuantitativas para el análisis de riesgos frente a las afectaciones a los DD.HH. </t>
  </si>
  <si>
    <t>se incorpora en la activity 2.4 ( se debe crear una categoria de gasto)</t>
  </si>
  <si>
    <t>Producto 3</t>
  </si>
  <si>
    <t>c. Adicionar recursos para prestar asistencia técnica a Organizaciones sociales dirigidas a fortalecer la prevención y defensa de los DD.HH. </t>
  </si>
  <si>
    <t>se incorpora en la activity 2.4 (transferencias)</t>
  </si>
  <si>
    <t>Equipo de implementación PNUD</t>
  </si>
  <si>
    <t>Seguimiento y monitoreo oficina PNUD (DPC)</t>
  </si>
  <si>
    <t>Evaluacion</t>
  </si>
  <si>
    <t>Auditoria</t>
  </si>
  <si>
    <t>Costos Directos</t>
  </si>
  <si>
    <t>GMS (5%)</t>
  </si>
  <si>
    <t>Total presupuesto</t>
  </si>
  <si>
    <t>% Costos indirectos, y Operacion PNUD</t>
  </si>
  <si>
    <t>Categoría de gasto</t>
  </si>
  <si>
    <t>Valor Total USD</t>
  </si>
  <si>
    <t>Costos de personal</t>
  </si>
  <si>
    <t>Servicios contractuales (consultorías, logística eventos y talleres)</t>
  </si>
  <si>
    <t xml:space="preserve">Transferencias, ASBV y APR a contrapartes </t>
  </si>
  <si>
    <t>Viajes – Viáticos, eventos</t>
  </si>
  <si>
    <t>Otros costos directos (evaluación y auditoría)</t>
  </si>
  <si>
    <t>Costos PNUD (GMS – DPC)</t>
  </si>
  <si>
    <t>Total</t>
  </si>
  <si>
    <t xml:space="preserve">Área geográfica </t>
  </si>
  <si>
    <t xml:space="preserve">Organización participante responsable </t>
  </si>
  <si>
    <t>T1</t>
  </si>
  <si>
    <t>T2</t>
  </si>
  <si>
    <t>X</t>
  </si>
  <si>
    <t xml:space="preserve">1) Magdalena, 2) Chocó, 3) Valle de cauca,  4)Cauca, 5)Nariño, 6) Putumayo, 7) Montes de María,  8) Nordeste Antioqueño, 9) Arauca,  10) Norte de Santander, 11) Huila, 12) Caquetá, y  13) Magdalena Medio.  
</t>
  </si>
  <si>
    <t>MIN INTERIOR-PNUD</t>
  </si>
  <si>
    <t>x</t>
  </si>
  <si>
    <t>Consultoria</t>
  </si>
  <si>
    <t>TOTAL</t>
  </si>
  <si>
    <t xml:space="preserve">  PRODUCTOS ESPERADOS</t>
  </si>
  <si>
    <t>ACTIVIDADES PREVISTAS</t>
  </si>
  <si>
    <t>Presupuesto Previsto
Año 2023</t>
  </si>
  <si>
    <t>Presupuesto Previsto por trimestre 
Año 2024</t>
  </si>
  <si>
    <t>RESPONSABLE</t>
  </si>
  <si>
    <t>PRESUPUESTO PREVISTO</t>
  </si>
  <si>
    <t>Fuente de Financiamiento</t>
  </si>
  <si>
    <t>Descripción Presupuesto</t>
  </si>
  <si>
    <t>Monto</t>
  </si>
  <si>
    <r>
      <t xml:space="preserve">Producto 1
</t>
    </r>
    <r>
      <rPr>
        <sz val="9"/>
        <color theme="1"/>
        <rFont val="Calibri"/>
        <family val="2"/>
      </rPr>
      <t>Fortalecer la política pública de prevención de violaciones a los Derechos a la vida, integridad, libertad y seguridad de personas, grupos y comunidades.</t>
    </r>
    <r>
      <rPr>
        <b/>
        <i/>
        <sz val="9"/>
        <color theme="1"/>
        <rFont val="Calibri"/>
        <family val="2"/>
      </rPr>
      <t xml:space="preserve">
</t>
    </r>
    <r>
      <rPr>
        <i/>
        <sz val="9"/>
        <color theme="1"/>
        <rFont val="Calibri"/>
        <family val="2"/>
      </rPr>
      <t xml:space="preserve">
Indicador de género: GEN2</t>
    </r>
    <r>
      <rPr>
        <b/>
        <i/>
        <sz val="9"/>
        <color theme="1"/>
        <rFont val="Calibri"/>
        <family val="2"/>
      </rPr>
      <t xml:space="preserve">
</t>
    </r>
  </si>
  <si>
    <t>1.1    Actividad : Formular y diseñar documentos metodológicos en Gestión Preventiva del Riesgo.</t>
  </si>
  <si>
    <t>UNDP</t>
  </si>
  <si>
    <t>Ministerio del Interior</t>
  </si>
  <si>
    <t xml:space="preserve">1.2 Actividad: : Realizar ajustes técnicos a la Metodología de Gestión en el territorio de la política pública de prevención a violaciones a los DDHH. </t>
  </si>
  <si>
    <t xml:space="preserve">1.3 Actividad: Fortalecer las iniciativas focalizadas en los Planes de Prevención de los territorios priorizados. </t>
  </si>
  <si>
    <t>1.4. Actividad: Adecuar espacios destinados a la inhumación de cuerpos o restos Humanos de personas no identificadas e identificadas no reclamadas en cementerios, como apoyo a la acción institucional en el marco del proceso de búsqueda de personas desaparecidas en Colombia.</t>
  </si>
  <si>
    <t>Subtotal para el Producto 1</t>
  </si>
  <si>
    <r>
      <t xml:space="preserve">
</t>
    </r>
    <r>
      <rPr>
        <i/>
        <sz val="9"/>
        <color theme="1"/>
        <rFont val="Calibri"/>
        <family val="2"/>
      </rPr>
      <t xml:space="preserve">
</t>
    </r>
    <r>
      <rPr>
        <b/>
        <i/>
        <sz val="9"/>
        <color theme="1"/>
        <rFont val="Calibri"/>
        <family val="2"/>
      </rPr>
      <t>Producto 2</t>
    </r>
    <r>
      <rPr>
        <i/>
        <sz val="9"/>
        <color theme="1"/>
        <rFont val="Calibri"/>
        <family val="2"/>
      </rPr>
      <t xml:space="preserve">
</t>
    </r>
    <r>
      <rPr>
        <b/>
        <i/>
        <sz val="9"/>
        <color theme="1"/>
        <rFont val="Calibri"/>
        <family val="2"/>
      </rPr>
      <t xml:space="preserve">
</t>
    </r>
    <r>
      <rPr>
        <sz val="9"/>
        <color theme="1"/>
        <rFont val="Calibri"/>
        <family val="2"/>
      </rPr>
      <t xml:space="preserve">Fortalecer la intervención territorial de la Dirección de DDHH a través de la gestión de programas e instancias tendientes a consolidar los ecosistemas de promoción y protección de DDHH.   </t>
    </r>
    <r>
      <rPr>
        <b/>
        <i/>
        <sz val="9"/>
        <color theme="1"/>
        <rFont val="Calibri"/>
        <family val="2"/>
      </rPr>
      <t xml:space="preserve">
Indicador de género: GEN2</t>
    </r>
  </si>
  <si>
    <t xml:space="preserve">2.1 Actividad : Cofinanciar proyectos territoriales seleccionados en el marco de los planes de trabajo en Derechos Humanos de las entidades territoriales </t>
  </si>
  <si>
    <t>2.2 Actividad: Fortalecer la implementación de los planes integrales de prevención y autoprotección de comunidades en el marco del decreto 660 de 2018, a través del apoyo a iniciativas comunitarias.</t>
  </si>
  <si>
    <t xml:space="preserve">2.3 Actividad : Diseñar e implementar un plan estratégico de cultura de respeto y de garantías a la labor de defensa de los Derechos Humanos a nivel nacional y territorial. </t>
  </si>
  <si>
    <t xml:space="preserve">2.4. Actividad: Transferir capacidades para la incidencia política y la exigibilidad de derechos, a las Organizaciones defensoras de DDHH, con enfoque diferencial, de genero y OSIGD priorizando acciones en las Zonas Especiales de garantías para el liderazgo y la defensa de los DDHH. </t>
  </si>
  <si>
    <t>Subtotal para el Producto 2</t>
  </si>
  <si>
    <r>
      <t xml:space="preserve">Producto 3
</t>
    </r>
    <r>
      <rPr>
        <sz val="9"/>
        <color theme="1"/>
        <rFont val="Calibri"/>
        <family val="2"/>
      </rPr>
      <t xml:space="preserve"> Implementar las políticas públicas en materia de Garantías para el goce efectivo de los DDHH, la protección de personas y comunidades en riesgo y el seguimiento de los autos y órdenes judiciales a cargo de la Dirección de Derechos Humano
</t>
    </r>
    <r>
      <rPr>
        <b/>
        <sz val="9"/>
        <color theme="1"/>
        <rFont val="Calibri"/>
        <family val="2"/>
      </rPr>
      <t xml:space="preserve">
</t>
    </r>
    <r>
      <rPr>
        <i/>
        <sz val="9"/>
        <color theme="1"/>
        <rFont val="Calibri"/>
        <family val="2"/>
      </rPr>
      <t>Indicador de género: GEN2</t>
    </r>
  </si>
  <si>
    <t xml:space="preserve">Actividad 3.1: Apoyar la implementación del Plan de Acción Nacional del Programa Integral de Garantías para Lideresas y Defensoras de DDHH, en el marco del auto 737, de la sentencia T-025/2004. </t>
  </si>
  <si>
    <t xml:space="preserve">Actividad 3.2: Implementar los planes de acción de las Zonas Especiales de Garantías para el Liderazgo Social y Defensa de los Derechos Humanos, para la mitigación de riesgos de vulneraciones conexos a esta actividad. </t>
  </si>
  <si>
    <t xml:space="preserve">Actividad 3.3: Realizar seguimiento al cumplimiento de las órdenes judiciales a cargo de la Dirección de Derechos Humanos. </t>
  </si>
  <si>
    <t xml:space="preserve">Actividad 3.4: Apoyar iniciativas organizativas y/o comunitarias dirigidas a la protección y autoprotección de mujeres dedicadas al liderazgo social y la defensa de los DDHH.   </t>
  </si>
  <si>
    <t>Subtotal para el Producto 3</t>
  </si>
  <si>
    <t>Costo de Apoyo (GMS)</t>
  </si>
  <si>
    <t>T3</t>
  </si>
  <si>
    <t>T4</t>
  </si>
  <si>
    <t>Adición No. 3</t>
  </si>
  <si>
    <t>4.4. Soporte proceso de automatización ASBV</t>
  </si>
  <si>
    <t xml:space="preserve">4.3. Plataforma </t>
  </si>
  <si>
    <t>4.2. Cofinanciar proyectos territoriales seleccionados en el marco de los planes de trabajo en derechos humanos de las entidades territoriales (L.8)</t>
  </si>
  <si>
    <t>Tasa proyección ciclo IV</t>
  </si>
  <si>
    <t>UNV</t>
  </si>
  <si>
    <t>6.3. ASBV - iniciativas focalizadas en Planes de Prevención de municipios PDET (L.1)</t>
  </si>
  <si>
    <t>6.4.ASBV - iniciativas en Planes Integrales de Prevención y Autoprotección para comunidades (L.2)</t>
  </si>
  <si>
    <t>6.5.ASBV - iniciativas en materia de Derechos Humanos para la implementación de los planes de integrales de prevención y autoprotección de comunidades priorizadas (L.4)</t>
  </si>
  <si>
    <t>4.2. Contratos par apoyar a las entidades territoriales en la adecuación de espacios destinados a la inhumación de cuerpos o restos humanos de personas no identificadas e identificadas no reclamadas en cementerios. (L.7)</t>
  </si>
  <si>
    <t>6.2. ASBV- Realizar seguimiento al cumplimiento de las órdenes enmarcadas en los autos priorizados para la vigencia a cargo de la Dirección de Derechos Humanos (L.11)</t>
  </si>
  <si>
    <t>6.2. ASBV - iniciativas a organizaciones defensoras de Derechos Humanos, con enfoque diferencial, de género, y orientación e identidad sexual diversa (L.5)</t>
  </si>
  <si>
    <t>6.3. ASBV - iniciativa dirigidas a apoyar la implementación de los planes de acción construidos en las zonas especiales de garantías para el liderazgo social y defensa de los derechos humanos (L.6)</t>
  </si>
  <si>
    <t>6.4. ASBV - iniciativas de autoprotección de organizaciones y colectividades de los sectores sociales LGBTIQ+, en el marco de los planes de autoprotección territorial (L.9)</t>
  </si>
  <si>
    <t>6.5. Apoyar iniciativas en materia de Derechos Humanos con enfoque de género y diferencial con énfasis en protección y prevención hacia las mujeres. (L.10)</t>
  </si>
  <si>
    <t>6.6. ASBV - Diseñar, seleccionar e implementar proyectos para la  promoción y prevención de los derechos humanos de las mujeres lideresas defensoras de derechos humanos. (L.12)</t>
  </si>
  <si>
    <t>6.7. ASBV - Cofinanciar iniciativas focalizadas en el impulso del programa de fortalecimiento de la capacidad de denuncia de las organizaciones de derechos humanos en los territorios rurales. (L.3)</t>
  </si>
  <si>
    <t xml:space="preserve">1.8 Asociado técnico </t>
  </si>
  <si>
    <t>1.8 Asociado técnico fortalecimiento organizativo</t>
  </si>
  <si>
    <t>1.2 Asociado técnico territorial en DDHH</t>
  </si>
  <si>
    <t>Presupuesto Previsto por trimestre 
Año 2025</t>
  </si>
  <si>
    <t xml:space="preserve">2.5. Actividad: Fortalecer las capacidades en materia de prevención, análisis de riesgo y defensa de los Derechos Humanos.  </t>
  </si>
  <si>
    <t>Calendario (por actividad)  20023</t>
  </si>
  <si>
    <t>Calendario (por actividad)  2024</t>
  </si>
  <si>
    <t>Calendario (por actividad) 2025</t>
  </si>
  <si>
    <t>Servicios contractuales 71300</t>
  </si>
  <si>
    <t>Recurso humano NPSA 71400</t>
  </si>
  <si>
    <t>Recurso humano UNV 71500</t>
  </si>
  <si>
    <t>Eventos/talleres 75700</t>
  </si>
  <si>
    <t>Viajes y viáticos 71600</t>
  </si>
  <si>
    <t>ASBV - APR 72600</t>
  </si>
  <si>
    <t>DPC 74500</t>
  </si>
  <si>
    <t>Evaluación 74100</t>
  </si>
  <si>
    <t>Auditoria 74100</t>
  </si>
  <si>
    <t>GMS 75100</t>
  </si>
  <si>
    <t>4.2. Consultoría  - Asistencia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</si>
</sst>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i/>
      <sz val="8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5"/>
      <color theme="1"/>
      <name val="Calibri"/>
      <family val="2"/>
      <scheme val="minor"/>
    </font>
    <font>
      <b/>
      <sz val="15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i/>
      <sz val="9"/>
      <color theme="1"/>
      <name val="Calibri"/>
      <family val="2"/>
    </font>
    <font>
      <sz val="9"/>
      <color theme="1"/>
      <name val="Calibri"/>
      <family val="2"/>
    </font>
    <font>
      <i/>
      <sz val="9"/>
      <color theme="1"/>
      <name val="Calibri"/>
      <family val="2"/>
    </font>
    <font>
      <b/>
      <sz val="9"/>
      <color theme="1"/>
      <name val="Calibri"/>
      <family val="2"/>
    </font>
    <font>
      <b/>
      <sz val="11"/>
      <color theme="5" tint="-0.249977111117893"/>
      <name val="Calibri"/>
      <family val="2"/>
      <scheme val="minor"/>
    </font>
    <font>
      <sz val="10"/>
      <color rgb="FF000000"/>
      <name val="Calibri"/>
      <family val="2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4CF5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321">
    <xf numFmtId="0" fontId="0" fillId="0" borderId="0" xfId="0"/>
    <xf numFmtId="44" fontId="9" fillId="5" borderId="3" xfId="2" applyFont="1" applyFill="1" applyBorder="1" applyAlignment="1">
      <alignment horizontal="center" vertical="center" wrapText="1"/>
    </xf>
    <xf numFmtId="164" fontId="11" fillId="7" borderId="3" xfId="1" applyNumberFormat="1" applyFont="1" applyFill="1" applyBorder="1" applyAlignment="1">
      <alignment horizontal="center" vertical="center" wrapText="1"/>
    </xf>
    <xf numFmtId="164" fontId="11" fillId="7" borderId="6" xfId="1" applyNumberFormat="1" applyFont="1" applyFill="1" applyBorder="1" applyAlignment="1">
      <alignment horizontal="center" vertical="center" wrapText="1"/>
    </xf>
    <xf numFmtId="164" fontId="12" fillId="0" borderId="3" xfId="1" applyNumberFormat="1" applyFont="1" applyBorder="1" applyAlignment="1">
      <alignment horizontal="left" vertical="center" wrapText="1"/>
    </xf>
    <xf numFmtId="164" fontId="13" fillId="0" borderId="3" xfId="1" applyNumberFormat="1" applyFont="1" applyBorder="1" applyAlignment="1">
      <alignment horizontal="left" vertical="center" wrapText="1"/>
    </xf>
    <xf numFmtId="164" fontId="13" fillId="0" borderId="3" xfId="1" applyNumberFormat="1" applyFont="1" applyBorder="1" applyAlignment="1">
      <alignment horizontal="center" vertical="center" wrapText="1"/>
    </xf>
    <xf numFmtId="164" fontId="12" fillId="0" borderId="3" xfId="1" applyNumberFormat="1" applyFont="1" applyBorder="1" applyAlignment="1">
      <alignment horizontal="center" vertical="center" wrapText="1"/>
    </xf>
    <xf numFmtId="164" fontId="13" fillId="0" borderId="6" xfId="1" applyNumberFormat="1" applyFont="1" applyBorder="1" applyAlignment="1">
      <alignment horizontal="center" vertical="center" wrapText="1"/>
    </xf>
    <xf numFmtId="164" fontId="12" fillId="0" borderId="9" xfId="1" applyNumberFormat="1" applyFont="1" applyBorder="1" applyAlignment="1">
      <alignment horizontal="center" vertical="center" wrapText="1"/>
    </xf>
    <xf numFmtId="44" fontId="0" fillId="0" borderId="0" xfId="0" applyNumberFormat="1"/>
    <xf numFmtId="164" fontId="12" fillId="0" borderId="3" xfId="1" applyNumberFormat="1" applyFont="1" applyBorder="1" applyAlignment="1">
      <alignment horizontal="justify" vertical="center" wrapText="1"/>
    </xf>
    <xf numFmtId="164" fontId="13" fillId="0" borderId="3" xfId="1" applyNumberFormat="1" applyFont="1" applyBorder="1" applyAlignment="1">
      <alignment horizontal="justify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164" fontId="13" fillId="0" borderId="6" xfId="1" applyNumberFormat="1" applyFont="1" applyFill="1" applyBorder="1" applyAlignment="1">
      <alignment horizontal="center" vertical="center" wrapText="1"/>
    </xf>
    <xf numFmtId="164" fontId="12" fillId="0" borderId="3" xfId="1" applyNumberFormat="1" applyFont="1" applyFill="1" applyBorder="1" applyAlignment="1">
      <alignment horizontal="justify" vertical="center" wrapText="1"/>
    </xf>
    <xf numFmtId="164" fontId="13" fillId="0" borderId="3" xfId="1" applyNumberFormat="1" applyFont="1" applyFill="1" applyBorder="1" applyAlignment="1">
      <alignment horizontal="justify" vertical="center" wrapText="1"/>
    </xf>
    <xf numFmtId="164" fontId="13" fillId="0" borderId="3" xfId="1" applyNumberFormat="1" applyFont="1" applyFill="1" applyBorder="1" applyAlignment="1">
      <alignment horizontal="left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164" fontId="11" fillId="0" borderId="3" xfId="1" applyNumberFormat="1" applyFont="1" applyFill="1" applyBorder="1" applyAlignment="1">
      <alignment horizontal="center" vertical="center" wrapText="1"/>
    </xf>
    <xf numFmtId="164" fontId="12" fillId="0" borderId="6" xfId="1" applyNumberFormat="1" applyFont="1" applyBorder="1" applyAlignment="1">
      <alignment horizontal="center" vertical="center" wrapText="1"/>
    </xf>
    <xf numFmtId="164" fontId="11" fillId="0" borderId="6" xfId="1" applyNumberFormat="1" applyFont="1" applyBorder="1" applyAlignment="1">
      <alignment horizontal="center" vertical="center" wrapText="1"/>
    </xf>
    <xf numFmtId="164" fontId="11" fillId="0" borderId="9" xfId="1" applyNumberFormat="1" applyFont="1" applyBorder="1" applyAlignment="1">
      <alignment horizontal="center" vertical="center" wrapText="1"/>
    </xf>
    <xf numFmtId="164" fontId="17" fillId="8" borderId="29" xfId="1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44" fontId="18" fillId="0" borderId="0" xfId="2" applyFont="1" applyBorder="1" applyAlignment="1">
      <alignment horizontal="center"/>
    </xf>
    <xf numFmtId="44" fontId="19" fillId="0" borderId="0" xfId="2" applyFont="1" applyBorder="1"/>
    <xf numFmtId="44" fontId="0" fillId="0" borderId="0" xfId="2" applyFont="1"/>
    <xf numFmtId="0" fontId="0" fillId="0" borderId="0" xfId="0" applyAlignment="1">
      <alignment horizontal="center"/>
    </xf>
    <xf numFmtId="44" fontId="20" fillId="0" borderId="0" xfId="2" applyFont="1"/>
    <xf numFmtId="164" fontId="20" fillId="0" borderId="0" xfId="1" applyNumberFormat="1" applyFont="1"/>
    <xf numFmtId="0" fontId="22" fillId="10" borderId="3" xfId="4" applyFont="1" applyFill="1" applyBorder="1" applyAlignment="1">
      <alignment horizontal="center" vertical="center" wrapText="1"/>
    </xf>
    <xf numFmtId="165" fontId="22" fillId="10" borderId="3" xfId="5" applyNumberFormat="1" applyFont="1" applyFill="1" applyBorder="1" applyAlignment="1">
      <alignment horizontal="center" vertical="center" wrapText="1"/>
    </xf>
    <xf numFmtId="0" fontId="23" fillId="0" borderId="0" xfId="4" applyFont="1" applyAlignment="1">
      <alignment horizontal="left" vertical="center"/>
    </xf>
    <xf numFmtId="0" fontId="24" fillId="0" borderId="3" xfId="4" applyFont="1" applyBorder="1" applyAlignment="1">
      <alignment horizontal="left" vertical="center" wrapText="1"/>
    </xf>
    <xf numFmtId="164" fontId="24" fillId="0" borderId="3" xfId="1" applyNumberFormat="1" applyFont="1" applyFill="1" applyBorder="1" applyAlignment="1">
      <alignment horizontal="left" vertical="center" wrapText="1"/>
    </xf>
    <xf numFmtId="164" fontId="24" fillId="0" borderId="3" xfId="6" applyNumberFormat="1" applyFont="1" applyFill="1" applyBorder="1" applyAlignment="1">
      <alignment horizontal="left" vertical="center" wrapText="1"/>
    </xf>
    <xf numFmtId="0" fontId="26" fillId="10" borderId="3" xfId="4" applyFont="1" applyFill="1" applyBorder="1" applyAlignment="1">
      <alignment vertical="center" wrapText="1"/>
    </xf>
    <xf numFmtId="164" fontId="27" fillId="0" borderId="3" xfId="1" applyNumberFormat="1" applyFont="1" applyFill="1" applyBorder="1" applyAlignment="1">
      <alignment horizontal="left" vertical="center" wrapText="1"/>
    </xf>
    <xf numFmtId="10" fontId="28" fillId="0" borderId="3" xfId="3" applyNumberFormat="1" applyFont="1" applyBorder="1" applyAlignment="1">
      <alignment horizontal="center" vertical="center"/>
    </xf>
    <xf numFmtId="164" fontId="23" fillId="0" borderId="0" xfId="1" applyNumberFormat="1" applyFont="1" applyAlignment="1">
      <alignment horizontal="left" vertical="center"/>
    </xf>
    <xf numFmtId="43" fontId="23" fillId="0" borderId="0" xfId="4" applyNumberFormat="1" applyFont="1" applyAlignment="1">
      <alignment horizontal="left" vertical="center"/>
    </xf>
    <xf numFmtId="164" fontId="11" fillId="5" borderId="3" xfId="1" applyNumberFormat="1" applyFont="1" applyFill="1" applyBorder="1" applyAlignment="1">
      <alignment horizontal="center" vertical="center" wrapText="1"/>
    </xf>
    <xf numFmtId="164" fontId="17" fillId="5" borderId="3" xfId="1" applyNumberFormat="1" applyFont="1" applyFill="1" applyBorder="1" applyAlignment="1">
      <alignment horizontal="center" vertical="center" wrapText="1"/>
    </xf>
    <xf numFmtId="43" fontId="24" fillId="0" borderId="0" xfId="1" applyFont="1" applyFill="1" applyBorder="1" applyAlignment="1">
      <alignment horizontal="center" vertical="center" wrapText="1"/>
    </xf>
    <xf numFmtId="43" fontId="25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 wrapText="1"/>
    </xf>
    <xf numFmtId="44" fontId="0" fillId="0" borderId="0" xfId="2" applyFont="1" applyBorder="1"/>
    <xf numFmtId="43" fontId="23" fillId="0" borderId="0" xfId="1" applyFont="1" applyBorder="1" applyAlignment="1">
      <alignment horizontal="left" vertical="center"/>
    </xf>
    <xf numFmtId="164" fontId="24" fillId="0" borderId="0" xfId="6" applyNumberFormat="1" applyFont="1" applyFill="1" applyBorder="1" applyAlignment="1">
      <alignment horizontal="left" vertical="center" wrapText="1"/>
    </xf>
    <xf numFmtId="164" fontId="27" fillId="0" borderId="0" xfId="1" applyNumberFormat="1" applyFont="1" applyFill="1" applyBorder="1" applyAlignment="1">
      <alignment horizontal="left" vertical="center" wrapText="1"/>
    </xf>
    <xf numFmtId="164" fontId="27" fillId="0" borderId="3" xfId="6" applyNumberFormat="1" applyFont="1" applyFill="1" applyBorder="1" applyAlignment="1">
      <alignment horizontal="left" vertical="center" wrapText="1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44" fontId="9" fillId="12" borderId="3" xfId="2" applyFont="1" applyFill="1" applyBorder="1" applyAlignment="1">
      <alignment horizontal="center" vertical="center" wrapText="1"/>
    </xf>
    <xf numFmtId="164" fontId="13" fillId="0" borderId="16" xfId="1" applyNumberFormat="1" applyFont="1" applyBorder="1" applyAlignment="1">
      <alignment horizontal="center" vertical="center" wrapText="1"/>
    </xf>
    <xf numFmtId="164" fontId="11" fillId="12" borderId="3" xfId="1" applyNumberFormat="1" applyFont="1" applyFill="1" applyBorder="1" applyAlignment="1">
      <alignment horizontal="center" vertical="center" wrapText="1"/>
    </xf>
    <xf numFmtId="164" fontId="17" fillId="13" borderId="3" xfId="1" applyNumberFormat="1" applyFont="1" applyFill="1" applyBorder="1" applyAlignment="1">
      <alignment horizontal="center" vertical="center" wrapText="1"/>
    </xf>
    <xf numFmtId="164" fontId="12" fillId="14" borderId="3" xfId="1" applyNumberFormat="1" applyFont="1" applyFill="1" applyBorder="1" applyAlignment="1">
      <alignment horizontal="left" vertical="center" wrapText="1"/>
    </xf>
    <xf numFmtId="164" fontId="13" fillId="14" borderId="3" xfId="1" applyNumberFormat="1" applyFont="1" applyFill="1" applyBorder="1" applyAlignment="1">
      <alignment horizontal="left" vertical="center" wrapText="1"/>
    </xf>
    <xf numFmtId="44" fontId="2" fillId="15" borderId="24" xfId="2" applyFont="1" applyFill="1" applyBorder="1" applyAlignment="1"/>
    <xf numFmtId="44" fontId="2" fillId="15" borderId="3" xfId="2" applyFont="1" applyFill="1" applyBorder="1" applyAlignment="1"/>
    <xf numFmtId="0" fontId="29" fillId="0" borderId="0" xfId="0" applyFont="1" applyAlignment="1">
      <alignment vertical="center" wrapText="1" readingOrder="1"/>
    </xf>
    <xf numFmtId="0" fontId="1" fillId="0" borderId="6" xfId="0" applyFont="1" applyBorder="1" applyAlignment="1">
      <alignment horizontal="left" vertical="center" wrapText="1" readingOrder="1"/>
    </xf>
    <xf numFmtId="165" fontId="1" fillId="0" borderId="3" xfId="2" applyNumberFormat="1" applyFont="1" applyBorder="1" applyAlignment="1">
      <alignment vertical="center" wrapText="1" readingOrder="1"/>
    </xf>
    <xf numFmtId="0" fontId="1" fillId="0" borderId="3" xfId="0" applyFont="1" applyBorder="1" applyAlignment="1">
      <alignment vertical="center" wrapText="1" readingOrder="1"/>
    </xf>
    <xf numFmtId="165" fontId="1" fillId="16" borderId="3" xfId="2" applyNumberFormat="1" applyFont="1" applyFill="1" applyBorder="1" applyAlignment="1">
      <alignment vertical="center" wrapText="1" readingOrder="1"/>
    </xf>
    <xf numFmtId="0" fontId="1" fillId="0" borderId="6" xfId="0" applyFont="1" applyBorder="1" applyAlignment="1">
      <alignment horizontal="center"/>
    </xf>
    <xf numFmtId="165" fontId="2" fillId="0" borderId="3" xfId="2" applyNumberFormat="1" applyFont="1" applyBorder="1" applyAlignment="1">
      <alignment vertical="center" wrapText="1" readingOrder="1"/>
    </xf>
    <xf numFmtId="0" fontId="1" fillId="0" borderId="3" xfId="0" applyFont="1" applyBorder="1"/>
    <xf numFmtId="164" fontId="17" fillId="13" borderId="32" xfId="1" applyNumberFormat="1" applyFont="1" applyFill="1" applyBorder="1" applyAlignment="1">
      <alignment horizontal="center" vertical="center" wrapText="1"/>
    </xf>
    <xf numFmtId="164" fontId="17" fillId="13" borderId="33" xfId="1" applyNumberFormat="1" applyFont="1" applyFill="1" applyBorder="1" applyAlignment="1">
      <alignment horizontal="center" vertical="center" wrapText="1"/>
    </xf>
    <xf numFmtId="44" fontId="17" fillId="0" borderId="0" xfId="2" applyFont="1" applyFill="1" applyBorder="1" applyAlignment="1">
      <alignment horizontal="center" vertical="center" wrapText="1"/>
    </xf>
    <xf numFmtId="44" fontId="11" fillId="0" borderId="0" xfId="2" applyFont="1" applyFill="1" applyBorder="1" applyAlignment="1">
      <alignment horizontal="center" vertical="center" wrapText="1"/>
    </xf>
    <xf numFmtId="44" fontId="12" fillId="0" borderId="0" xfId="2" applyFont="1" applyFill="1" applyBorder="1" applyAlignment="1">
      <alignment horizontal="center" vertical="center" wrapText="1"/>
    </xf>
    <xf numFmtId="0" fontId="33" fillId="4" borderId="3" xfId="0" applyFont="1" applyFill="1" applyBorder="1" applyAlignment="1">
      <alignment horizontal="center" vertical="center" wrapText="1"/>
    </xf>
    <xf numFmtId="0" fontId="35" fillId="18" borderId="3" xfId="0" applyFont="1" applyFill="1" applyBorder="1" applyAlignment="1">
      <alignment horizontal="center" vertical="center" wrapText="1"/>
    </xf>
    <xf numFmtId="0" fontId="37" fillId="0" borderId="3" xfId="0" applyFont="1" applyBorder="1" applyAlignment="1">
      <alignment horizontal="left" vertical="center" wrapText="1"/>
    </xf>
    <xf numFmtId="165" fontId="37" fillId="0" borderId="3" xfId="2" applyNumberFormat="1" applyFont="1" applyFill="1" applyBorder="1" applyAlignment="1">
      <alignment horizontal="right" vertical="center"/>
    </xf>
    <xf numFmtId="165" fontId="37" fillId="0" borderId="3" xfId="2" applyNumberFormat="1" applyFont="1" applyFill="1" applyBorder="1" applyAlignment="1">
      <alignment horizontal="right" vertical="center" wrapText="1"/>
    </xf>
    <xf numFmtId="0" fontId="37" fillId="0" borderId="3" xfId="0" applyFont="1" applyBorder="1" applyAlignment="1">
      <alignment horizontal="center" vertical="center" wrapText="1"/>
    </xf>
    <xf numFmtId="165" fontId="37" fillId="0" borderId="3" xfId="2" applyNumberFormat="1" applyFont="1" applyFill="1" applyBorder="1" applyAlignment="1">
      <alignment horizontal="center" vertical="center" wrapText="1"/>
    </xf>
    <xf numFmtId="165" fontId="37" fillId="0" borderId="3" xfId="2" applyNumberFormat="1" applyFont="1" applyBorder="1" applyAlignment="1">
      <alignment horizontal="center" vertical="center" wrapText="1"/>
    </xf>
    <xf numFmtId="165" fontId="39" fillId="20" borderId="3" xfId="2" applyNumberFormat="1" applyFont="1" applyFill="1" applyBorder="1" applyAlignment="1">
      <alignment horizontal="center" vertical="center" wrapText="1"/>
    </xf>
    <xf numFmtId="0" fontId="34" fillId="20" borderId="3" xfId="0" applyFont="1" applyFill="1" applyBorder="1" applyAlignment="1">
      <alignment horizontal="left" vertical="center" wrapText="1"/>
    </xf>
    <xf numFmtId="0" fontId="34" fillId="20" borderId="3" xfId="0" applyFont="1" applyFill="1" applyBorder="1" applyAlignment="1">
      <alignment horizontal="center" vertical="center" wrapText="1"/>
    </xf>
    <xf numFmtId="44" fontId="37" fillId="0" borderId="3" xfId="2" applyFont="1" applyBorder="1" applyAlignment="1">
      <alignment horizontal="right" vertical="center" wrapText="1"/>
    </xf>
    <xf numFmtId="165" fontId="39" fillId="21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19" borderId="0" xfId="0" applyFill="1"/>
    <xf numFmtId="2" fontId="0" fillId="0" borderId="0" xfId="0" applyNumberFormat="1"/>
    <xf numFmtId="165" fontId="37" fillId="0" borderId="3" xfId="2" applyNumberFormat="1" applyFont="1" applyFill="1" applyBorder="1" applyAlignment="1">
      <alignment vertical="center" wrapText="1"/>
    </xf>
    <xf numFmtId="0" fontId="37" fillId="0" borderId="3" xfId="0" applyFont="1" applyBorder="1" applyAlignment="1">
      <alignment vertical="center" wrapText="1"/>
    </xf>
    <xf numFmtId="0" fontId="34" fillId="22" borderId="3" xfId="0" applyFont="1" applyFill="1" applyBorder="1" applyAlignment="1">
      <alignment horizontal="left" vertical="center" wrapText="1"/>
    </xf>
    <xf numFmtId="0" fontId="34" fillId="22" borderId="3" xfId="0" applyFont="1" applyFill="1" applyBorder="1" applyAlignment="1">
      <alignment horizontal="center" vertical="center" wrapText="1"/>
    </xf>
    <xf numFmtId="165" fontId="39" fillId="22" borderId="3" xfId="2" applyNumberFormat="1" applyFont="1" applyFill="1" applyBorder="1" applyAlignment="1">
      <alignment horizontal="center" vertical="center" wrapText="1"/>
    </xf>
    <xf numFmtId="0" fontId="24" fillId="22" borderId="3" xfId="4" applyFont="1" applyFill="1" applyBorder="1" applyAlignment="1">
      <alignment horizontal="left" vertical="center" wrapText="1"/>
    </xf>
    <xf numFmtId="164" fontId="24" fillId="22" borderId="3" xfId="1" applyNumberFormat="1" applyFont="1" applyFill="1" applyBorder="1" applyAlignment="1">
      <alignment horizontal="left" vertical="center" wrapText="1"/>
    </xf>
    <xf numFmtId="164" fontId="13" fillId="14" borderId="3" xfId="1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/>
    </xf>
    <xf numFmtId="0" fontId="30" fillId="17" borderId="31" xfId="0" applyFont="1" applyFill="1" applyBorder="1" applyAlignment="1">
      <alignment horizontal="center" vertical="center" wrapText="1"/>
    </xf>
    <xf numFmtId="0" fontId="30" fillId="17" borderId="39" xfId="0" applyFont="1" applyFill="1" applyBorder="1" applyAlignment="1">
      <alignment horizontal="center" vertical="center" wrapText="1"/>
    </xf>
    <xf numFmtId="0" fontId="41" fillId="0" borderId="40" xfId="0" applyFont="1" applyBorder="1" applyAlignment="1">
      <alignment horizontal="left" vertical="center" wrapText="1"/>
    </xf>
    <xf numFmtId="164" fontId="41" fillId="0" borderId="34" xfId="0" applyNumberFormat="1" applyFont="1" applyBorder="1" applyAlignment="1">
      <alignment horizontal="right" vertical="center" wrapText="1"/>
    </xf>
    <xf numFmtId="8" fontId="41" fillId="0" borderId="34" xfId="0" applyNumberFormat="1" applyFont="1" applyBorder="1" applyAlignment="1">
      <alignment horizontal="right" vertical="center" wrapText="1"/>
    </xf>
    <xf numFmtId="0" fontId="30" fillId="17" borderId="40" xfId="0" applyFont="1" applyFill="1" applyBorder="1" applyAlignment="1">
      <alignment horizontal="left" vertical="center" wrapText="1"/>
    </xf>
    <xf numFmtId="164" fontId="23" fillId="0" borderId="0" xfId="4" applyNumberFormat="1" applyFont="1" applyAlignment="1">
      <alignment horizontal="left" vertical="center"/>
    </xf>
    <xf numFmtId="6" fontId="30" fillId="17" borderId="34" xfId="0" applyNumberFormat="1" applyFont="1" applyFill="1" applyBorder="1" applyAlignment="1">
      <alignment horizontal="right" vertical="center" wrapText="1"/>
    </xf>
    <xf numFmtId="164" fontId="11" fillId="13" borderId="31" xfId="1" applyNumberFormat="1" applyFont="1" applyFill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165" fontId="0" fillId="0" borderId="0" xfId="2" applyNumberFormat="1" applyFont="1"/>
    <xf numFmtId="10" fontId="0" fillId="0" borderId="0" xfId="0" applyNumberFormat="1" applyAlignment="1">
      <alignment horizontal="center"/>
    </xf>
    <xf numFmtId="9" fontId="20" fillId="0" borderId="0" xfId="3" applyFont="1"/>
    <xf numFmtId="44" fontId="0" fillId="0" borderId="0" xfId="0" applyNumberFormat="1" applyAlignment="1">
      <alignment horizontal="left"/>
    </xf>
    <xf numFmtId="4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44" fontId="0" fillId="0" borderId="0" xfId="0" applyNumberFormat="1" applyAlignment="1">
      <alignment horizontal="center"/>
    </xf>
    <xf numFmtId="43" fontId="12" fillId="0" borderId="9" xfId="1" applyFont="1" applyBorder="1" applyAlignment="1">
      <alignment horizontal="center" vertical="center" wrapText="1"/>
    </xf>
    <xf numFmtId="164" fontId="19" fillId="0" borderId="0" xfId="1" applyNumberFormat="1" applyFont="1" applyBorder="1"/>
    <xf numFmtId="164" fontId="19" fillId="0" borderId="0" xfId="1" applyNumberFormat="1" applyFont="1" applyBorder="1" applyAlignment="1">
      <alignment horizontal="right"/>
    </xf>
    <xf numFmtId="164" fontId="20" fillId="0" borderId="0" xfId="1" applyNumberFormat="1" applyFont="1" applyAlignment="1">
      <alignment horizontal="right"/>
    </xf>
    <xf numFmtId="164" fontId="40" fillId="0" borderId="0" xfId="1" applyNumberFormat="1" applyFont="1"/>
    <xf numFmtId="10" fontId="20" fillId="0" borderId="0" xfId="3" applyNumberFormat="1" applyFont="1"/>
    <xf numFmtId="164" fontId="0" fillId="0" borderId="0" xfId="0" applyNumberFormat="1"/>
    <xf numFmtId="43" fontId="0" fillId="0" borderId="0" xfId="0" applyNumberFormat="1"/>
    <xf numFmtId="43" fontId="0" fillId="0" borderId="0" xfId="1" applyFont="1" applyFill="1"/>
    <xf numFmtId="43" fontId="0" fillId="0" borderId="0" xfId="0" applyNumberFormat="1" applyAlignment="1">
      <alignment wrapText="1"/>
    </xf>
    <xf numFmtId="0" fontId="0" fillId="0" borderId="0" xfId="0" applyAlignment="1">
      <alignment wrapText="1"/>
    </xf>
    <xf numFmtId="164" fontId="0" fillId="0" borderId="0" xfId="1" applyNumberFormat="1" applyFont="1" applyFill="1" applyBorder="1"/>
    <xf numFmtId="0" fontId="0" fillId="0" borderId="0" xfId="0" quotePrefix="1"/>
    <xf numFmtId="164" fontId="12" fillId="0" borderId="6" xfId="1" applyNumberFormat="1" applyFont="1" applyFill="1" applyBorder="1" applyAlignment="1">
      <alignment horizontal="center" vertical="center" wrapText="1"/>
    </xf>
    <xf numFmtId="44" fontId="9" fillId="23" borderId="3" xfId="2" applyFont="1" applyFill="1" applyBorder="1" applyAlignment="1">
      <alignment horizontal="center" vertical="center" wrapText="1"/>
    </xf>
    <xf numFmtId="164" fontId="11" fillId="23" borderId="3" xfId="1" applyNumberFormat="1" applyFont="1" applyFill="1" applyBorder="1" applyAlignment="1">
      <alignment horizontal="center" vertical="center" wrapText="1"/>
    </xf>
    <xf numFmtId="164" fontId="17" fillId="23" borderId="3" xfId="1" applyNumberFormat="1" applyFont="1" applyFill="1" applyBorder="1" applyAlignment="1">
      <alignment horizontal="center" vertical="center" wrapText="1"/>
    </xf>
    <xf numFmtId="164" fontId="17" fillId="23" borderId="33" xfId="1" applyNumberFormat="1" applyFont="1" applyFill="1" applyBorder="1" applyAlignment="1">
      <alignment horizontal="center" vertical="center" wrapText="1"/>
    </xf>
    <xf numFmtId="164" fontId="12" fillId="6" borderId="3" xfId="1" applyNumberFormat="1" applyFont="1" applyFill="1" applyBorder="1" applyAlignment="1">
      <alignment horizontal="left" vertical="center" wrapText="1"/>
    </xf>
    <xf numFmtId="164" fontId="12" fillId="0" borderId="3" xfId="1" applyNumberFormat="1" applyFont="1" applyFill="1" applyBorder="1" applyAlignment="1">
      <alignment horizontal="left" vertical="center" wrapText="1"/>
    </xf>
    <xf numFmtId="164" fontId="13" fillId="6" borderId="3" xfId="1" applyNumberFormat="1" applyFont="1" applyFill="1" applyBorder="1" applyAlignment="1">
      <alignment horizontal="left" vertical="center" wrapText="1"/>
    </xf>
    <xf numFmtId="164" fontId="0" fillId="0" borderId="3" xfId="1" applyNumberFormat="1" applyFont="1" applyBorder="1" applyAlignment="1">
      <alignment horizontal="center" vertical="center"/>
    </xf>
    <xf numFmtId="164" fontId="12" fillId="0" borderId="17" xfId="1" applyNumberFormat="1" applyFont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justify" vertical="center" wrapText="1"/>
    </xf>
    <xf numFmtId="44" fontId="9" fillId="23" borderId="6" xfId="2" applyFont="1" applyFill="1" applyBorder="1" applyAlignment="1">
      <alignment horizontal="center" vertical="center" wrapText="1"/>
    </xf>
    <xf numFmtId="164" fontId="11" fillId="23" borderId="6" xfId="1" applyNumberFormat="1" applyFont="1" applyFill="1" applyBorder="1" applyAlignment="1">
      <alignment horizontal="center" vertical="center" wrapText="1"/>
    </xf>
    <xf numFmtId="164" fontId="17" fillId="23" borderId="6" xfId="1" applyNumberFormat="1" applyFont="1" applyFill="1" applyBorder="1" applyAlignment="1">
      <alignment horizontal="center" vertical="center" wrapText="1"/>
    </xf>
    <xf numFmtId="164" fontId="13" fillId="14" borderId="6" xfId="1" applyNumberFormat="1" applyFont="1" applyFill="1" applyBorder="1" applyAlignment="1">
      <alignment horizontal="center" vertical="center" wrapText="1"/>
    </xf>
    <xf numFmtId="43" fontId="12" fillId="0" borderId="6" xfId="1" applyFont="1" applyBorder="1" applyAlignment="1">
      <alignment horizontal="center" vertical="center" wrapText="1"/>
    </xf>
    <xf numFmtId="43" fontId="11" fillId="0" borderId="6" xfId="1" applyFont="1" applyBorder="1" applyAlignment="1">
      <alignment horizontal="center" vertical="center" wrapText="1"/>
    </xf>
    <xf numFmtId="164" fontId="11" fillId="23" borderId="32" xfId="1" applyNumberFormat="1" applyFont="1" applyFill="1" applyBorder="1" applyAlignment="1">
      <alignment horizontal="center" vertical="center" wrapText="1"/>
    </xf>
    <xf numFmtId="164" fontId="11" fillId="8" borderId="5" xfId="1" applyNumberFormat="1" applyFont="1" applyFill="1" applyBorder="1" applyAlignment="1">
      <alignment horizontal="center" vertical="center" wrapText="1"/>
    </xf>
    <xf numFmtId="164" fontId="13" fillId="0" borderId="5" xfId="1" applyNumberFormat="1" applyFont="1" applyBorder="1" applyAlignment="1">
      <alignment horizontal="center" vertical="center" wrapText="1"/>
    </xf>
    <xf numFmtId="164" fontId="17" fillId="8" borderId="5" xfId="1" applyNumberFormat="1" applyFont="1" applyFill="1" applyBorder="1" applyAlignment="1">
      <alignment horizontal="center" vertical="center" wrapText="1"/>
    </xf>
    <xf numFmtId="44" fontId="9" fillId="23" borderId="16" xfId="2" applyFont="1" applyFill="1" applyBorder="1" applyAlignment="1">
      <alignment horizontal="center" vertical="center" wrapText="1"/>
    </xf>
    <xf numFmtId="164" fontId="11" fillId="23" borderId="16" xfId="1" applyNumberFormat="1" applyFont="1" applyFill="1" applyBorder="1" applyAlignment="1">
      <alignment horizontal="center" vertical="center" wrapText="1"/>
    </xf>
    <xf numFmtId="164" fontId="13" fillId="0" borderId="16" xfId="1" applyNumberFormat="1" applyFont="1" applyFill="1" applyBorder="1" applyAlignment="1">
      <alignment horizontal="center" vertical="center" wrapText="1"/>
    </xf>
    <xf numFmtId="164" fontId="13" fillId="0" borderId="16" xfId="1" applyNumberFormat="1" applyFont="1" applyBorder="1" applyAlignment="1">
      <alignment horizontal="left" vertical="center" wrapText="1"/>
    </xf>
    <xf numFmtId="164" fontId="12" fillId="0" borderId="16" xfId="1" applyNumberFormat="1" applyFont="1" applyBorder="1" applyAlignment="1">
      <alignment horizontal="left" vertical="center" wrapText="1"/>
    </xf>
    <xf numFmtId="164" fontId="17" fillId="23" borderId="16" xfId="1" applyNumberFormat="1" applyFont="1" applyFill="1" applyBorder="1" applyAlignment="1">
      <alignment horizontal="center" vertical="center" wrapText="1"/>
    </xf>
    <xf numFmtId="44" fontId="9" fillId="12" borderId="5" xfId="2" applyFont="1" applyFill="1" applyBorder="1" applyAlignment="1">
      <alignment horizontal="center" vertical="center" wrapText="1"/>
    </xf>
    <xf numFmtId="44" fontId="9" fillId="12" borderId="9" xfId="2" applyFont="1" applyFill="1" applyBorder="1" applyAlignment="1">
      <alignment horizontal="center" vertical="center" wrapText="1"/>
    </xf>
    <xf numFmtId="164" fontId="11" fillId="12" borderId="5" xfId="1" applyNumberFormat="1" applyFont="1" applyFill="1" applyBorder="1" applyAlignment="1">
      <alignment horizontal="center" vertical="center" wrapText="1"/>
    </xf>
    <xf numFmtId="164" fontId="11" fillId="12" borderId="9" xfId="1" applyNumberFormat="1" applyFont="1" applyFill="1" applyBorder="1" applyAlignment="1">
      <alignment horizontal="center" vertical="center" wrapText="1"/>
    </xf>
    <xf numFmtId="164" fontId="13" fillId="0" borderId="9" xfId="1" applyNumberFormat="1" applyFont="1" applyBorder="1" applyAlignment="1">
      <alignment horizontal="center" vertical="center" wrapText="1"/>
    </xf>
    <xf numFmtId="164" fontId="13" fillId="0" borderId="9" xfId="1" applyNumberFormat="1" applyFont="1" applyFill="1" applyBorder="1" applyAlignment="1">
      <alignment horizontal="center" vertical="center" wrapText="1"/>
    </xf>
    <xf numFmtId="164" fontId="13" fillId="0" borderId="5" xfId="1" applyNumberFormat="1" applyFont="1" applyFill="1" applyBorder="1" applyAlignment="1">
      <alignment horizontal="center" vertical="center" wrapText="1"/>
    </xf>
    <xf numFmtId="164" fontId="13" fillId="0" borderId="5" xfId="1" applyNumberFormat="1" applyFont="1" applyBorder="1" applyAlignment="1">
      <alignment horizontal="left" vertical="center" wrapText="1"/>
    </xf>
    <xf numFmtId="164" fontId="12" fillId="0" borderId="5" xfId="1" applyNumberFormat="1" applyFont="1" applyBorder="1" applyAlignment="1">
      <alignment horizontal="left" vertical="center" wrapText="1"/>
    </xf>
    <xf numFmtId="164" fontId="17" fillId="13" borderId="5" xfId="1" applyNumberFormat="1" applyFont="1" applyFill="1" applyBorder="1" applyAlignment="1">
      <alignment horizontal="center" vertical="center" wrapText="1"/>
    </xf>
    <xf numFmtId="164" fontId="17" fillId="13" borderId="9" xfId="1" applyNumberFormat="1" applyFont="1" applyFill="1" applyBorder="1" applyAlignment="1">
      <alignment horizontal="center" vertical="center" wrapText="1"/>
    </xf>
    <xf numFmtId="164" fontId="13" fillId="14" borderId="9" xfId="1" applyNumberFormat="1" applyFont="1" applyFill="1" applyBorder="1" applyAlignment="1">
      <alignment horizontal="center" vertical="center" wrapText="1"/>
    </xf>
    <xf numFmtId="164" fontId="11" fillId="13" borderId="9" xfId="1" applyNumberFormat="1" applyFont="1" applyFill="1" applyBorder="1" applyAlignment="1">
      <alignment horizontal="center" vertical="center" wrapText="1"/>
    </xf>
    <xf numFmtId="164" fontId="12" fillId="0" borderId="5" xfId="1" applyNumberFormat="1" applyFont="1" applyBorder="1" applyAlignment="1">
      <alignment horizontal="center" vertical="center" wrapText="1"/>
    </xf>
    <xf numFmtId="43" fontId="11" fillId="0" borderId="9" xfId="1" applyFont="1" applyBorder="1" applyAlignment="1">
      <alignment horizontal="center" vertical="center" wrapText="1"/>
    </xf>
    <xf numFmtId="164" fontId="12" fillId="0" borderId="37" xfId="1" applyNumberFormat="1" applyFont="1" applyBorder="1" applyAlignment="1">
      <alignment horizontal="center" vertical="center" wrapText="1"/>
    </xf>
    <xf numFmtId="164" fontId="17" fillId="9" borderId="6" xfId="1" applyNumberFormat="1" applyFont="1" applyFill="1" applyBorder="1" applyAlignment="1">
      <alignment horizontal="center" vertical="center" wrapText="1"/>
    </xf>
    <xf numFmtId="164" fontId="10" fillId="7" borderId="6" xfId="1" applyNumberFormat="1" applyFont="1" applyFill="1" applyBorder="1" applyAlignment="1">
      <alignment vertical="center" wrapText="1"/>
    </xf>
    <xf numFmtId="164" fontId="17" fillId="9" borderId="45" xfId="1" applyNumberFormat="1" applyFont="1" applyFill="1" applyBorder="1" applyAlignment="1">
      <alignment horizontal="center" vertical="center" wrapText="1"/>
    </xf>
    <xf numFmtId="44" fontId="9" fillId="5" borderId="5" xfId="2" applyFont="1" applyFill="1" applyBorder="1" applyAlignment="1">
      <alignment horizontal="center" vertical="center" wrapText="1"/>
    </xf>
    <xf numFmtId="44" fontId="9" fillId="5" borderId="9" xfId="2" applyFont="1" applyFill="1" applyBorder="1" applyAlignment="1">
      <alignment horizontal="center" vertical="center" wrapText="1"/>
    </xf>
    <xf numFmtId="164" fontId="11" fillId="5" borderId="5" xfId="1" applyNumberFormat="1" applyFont="1" applyFill="1" applyBorder="1" applyAlignment="1">
      <alignment horizontal="center" vertical="center" wrapText="1"/>
    </xf>
    <xf numFmtId="164" fontId="11" fillId="5" borderId="9" xfId="1" applyNumberFormat="1" applyFont="1" applyFill="1" applyBorder="1" applyAlignment="1">
      <alignment horizontal="center" vertical="center" wrapText="1"/>
    </xf>
    <xf numFmtId="164" fontId="12" fillId="0" borderId="5" xfId="1" applyNumberFormat="1" applyFont="1" applyFill="1" applyBorder="1" applyAlignment="1">
      <alignment horizontal="center" vertical="center" wrapText="1"/>
    </xf>
    <xf numFmtId="164" fontId="11" fillId="0" borderId="5" xfId="1" applyNumberFormat="1" applyFont="1" applyFill="1" applyBorder="1" applyAlignment="1">
      <alignment horizontal="center" vertical="center" wrapText="1"/>
    </xf>
    <xf numFmtId="164" fontId="17" fillId="5" borderId="5" xfId="1" applyNumberFormat="1" applyFont="1" applyFill="1" applyBorder="1" applyAlignment="1">
      <alignment horizontal="center" vertical="center" wrapText="1"/>
    </xf>
    <xf numFmtId="164" fontId="17" fillId="11" borderId="9" xfId="1" applyNumberFormat="1" applyFont="1" applyFill="1" applyBorder="1" applyAlignment="1">
      <alignment horizontal="center" vertical="center" wrapText="1"/>
    </xf>
    <xf numFmtId="164" fontId="11" fillId="7" borderId="5" xfId="1" applyNumberFormat="1" applyFont="1" applyFill="1" applyBorder="1" applyAlignment="1">
      <alignment horizontal="center" vertical="center" wrapText="1"/>
    </xf>
    <xf numFmtId="164" fontId="11" fillId="7" borderId="9" xfId="1" applyNumberFormat="1" applyFont="1" applyFill="1" applyBorder="1" applyAlignment="1">
      <alignment horizontal="center" vertical="center" wrapText="1"/>
    </xf>
    <xf numFmtId="165" fontId="17" fillId="11" borderId="30" xfId="1" applyNumberFormat="1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164" fontId="42" fillId="0" borderId="0" xfId="1" applyNumberFormat="1" applyFont="1" applyAlignment="1">
      <alignment horizontal="center" vertical="center"/>
    </xf>
    <xf numFmtId="43" fontId="37" fillId="0" borderId="3" xfId="1" applyFont="1" applyBorder="1" applyAlignment="1">
      <alignment horizontal="left" vertical="center" wrapText="1"/>
    </xf>
    <xf numFmtId="2" fontId="2" fillId="0" borderId="0" xfId="3" applyNumberFormat="1" applyFont="1" applyBorder="1"/>
    <xf numFmtId="43" fontId="34" fillId="22" borderId="3" xfId="1" applyFont="1" applyFill="1" applyBorder="1" applyAlignment="1">
      <alignment horizontal="left" vertical="center" wrapText="1"/>
    </xf>
    <xf numFmtId="43" fontId="34" fillId="20" borderId="3" xfId="1" applyFont="1" applyFill="1" applyBorder="1" applyAlignment="1">
      <alignment horizontal="left" vertical="center" wrapText="1"/>
    </xf>
    <xf numFmtId="43" fontId="37" fillId="0" borderId="3" xfId="0" applyNumberFormat="1" applyFont="1" applyBorder="1" applyAlignment="1">
      <alignment horizontal="right" vertical="center" wrapText="1"/>
    </xf>
    <xf numFmtId="44" fontId="8" fillId="4" borderId="19" xfId="2" applyFont="1" applyFill="1" applyBorder="1" applyAlignment="1">
      <alignment horizontal="center" vertical="center" wrapText="1"/>
    </xf>
    <xf numFmtId="43" fontId="2" fillId="0" borderId="0" xfId="0" applyNumberFormat="1" applyFont="1"/>
    <xf numFmtId="164" fontId="2" fillId="0" borderId="0" xfId="1" applyNumberFormat="1" applyFont="1" applyFill="1" applyBorder="1"/>
    <xf numFmtId="164" fontId="13" fillId="24" borderId="6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right"/>
    </xf>
    <xf numFmtId="165" fontId="37" fillId="0" borderId="3" xfId="0" applyNumberFormat="1" applyFont="1" applyBorder="1" applyAlignment="1">
      <alignment vertical="center" wrapText="1"/>
    </xf>
    <xf numFmtId="165" fontId="37" fillId="0" borderId="3" xfId="2" applyNumberFormat="1" applyFont="1" applyFill="1" applyBorder="1" applyAlignment="1">
      <alignment vertical="center"/>
    </xf>
    <xf numFmtId="0" fontId="43" fillId="0" borderId="3" xfId="0" applyFont="1" applyBorder="1" applyAlignment="1">
      <alignment horizontal="left" vertical="center" wrapText="1"/>
    </xf>
    <xf numFmtId="165" fontId="37" fillId="0" borderId="3" xfId="2" applyNumberFormat="1" applyFont="1" applyFill="1" applyBorder="1" applyAlignment="1">
      <alignment horizontal="center" vertical="center"/>
    </xf>
    <xf numFmtId="43" fontId="10" fillId="8" borderId="9" xfId="1" applyFont="1" applyFill="1" applyBorder="1" applyAlignment="1">
      <alignment horizontal="center" vertical="center" wrapText="1"/>
    </xf>
    <xf numFmtId="43" fontId="12" fillId="0" borderId="9" xfId="1" applyFont="1" applyFill="1" applyBorder="1" applyAlignment="1">
      <alignment horizontal="center" vertical="center" wrapText="1"/>
    </xf>
    <xf numFmtId="43" fontId="11" fillId="8" borderId="9" xfId="1" applyFont="1" applyFill="1" applyBorder="1" applyAlignment="1">
      <alignment horizontal="center" vertical="center" wrapText="1"/>
    </xf>
    <xf numFmtId="43" fontId="17" fillId="8" borderId="9" xfId="1" applyFont="1" applyFill="1" applyBorder="1" applyAlignment="1">
      <alignment horizontal="center" vertical="center" wrapText="1"/>
    </xf>
    <xf numFmtId="43" fontId="11" fillId="8" borderId="30" xfId="1" applyFont="1" applyFill="1" applyBorder="1" applyAlignment="1">
      <alignment horizontal="center" vertical="center" wrapText="1"/>
    </xf>
    <xf numFmtId="43" fontId="19" fillId="0" borderId="0" xfId="2" applyNumberFormat="1" applyFont="1" applyBorder="1"/>
    <xf numFmtId="43" fontId="8" fillId="13" borderId="0" xfId="2" applyNumberFormat="1" applyFont="1" applyFill="1"/>
    <xf numFmtId="43" fontId="20" fillId="0" borderId="0" xfId="2" applyNumberFormat="1" applyFont="1"/>
    <xf numFmtId="165" fontId="0" fillId="0" borderId="0" xfId="0" applyNumberFormat="1"/>
    <xf numFmtId="44" fontId="2" fillId="15" borderId="0" xfId="2" applyFont="1" applyFill="1" applyBorder="1" applyAlignment="1">
      <alignment horizontal="center"/>
    </xf>
    <xf numFmtId="49" fontId="0" fillId="0" borderId="17" xfId="1" applyNumberFormat="1" applyFont="1" applyBorder="1" applyAlignment="1">
      <alignment horizontal="center" vertical="center" wrapText="1"/>
    </xf>
    <xf numFmtId="49" fontId="0" fillId="0" borderId="18" xfId="1" applyNumberFormat="1" applyFont="1" applyBorder="1" applyAlignment="1">
      <alignment horizontal="center" vertical="center" wrapText="1"/>
    </xf>
    <xf numFmtId="49" fontId="0" fillId="0" borderId="19" xfId="1" applyNumberFormat="1" applyFont="1" applyBorder="1" applyAlignment="1">
      <alignment horizontal="center" vertical="center" wrapText="1"/>
    </xf>
    <xf numFmtId="164" fontId="0" fillId="0" borderId="12" xfId="1" applyNumberFormat="1" applyFont="1" applyBorder="1" applyAlignment="1">
      <alignment horizontal="center" vertical="center" wrapText="1"/>
    </xf>
    <xf numFmtId="164" fontId="0" fillId="0" borderId="13" xfId="1" applyNumberFormat="1" applyFont="1" applyBorder="1" applyAlignment="1">
      <alignment horizontal="center" vertical="center" wrapText="1"/>
    </xf>
    <xf numFmtId="164" fontId="0" fillId="0" borderId="14" xfId="1" applyNumberFormat="1" applyFont="1" applyBorder="1" applyAlignment="1">
      <alignment horizontal="center" vertical="center" wrapText="1"/>
    </xf>
    <xf numFmtId="49" fontId="0" fillId="0" borderId="12" xfId="1" applyNumberFormat="1" applyFont="1" applyBorder="1" applyAlignment="1">
      <alignment horizontal="center" vertical="center" wrapText="1"/>
    </xf>
    <xf numFmtId="49" fontId="0" fillId="0" borderId="13" xfId="1" applyNumberFormat="1" applyFont="1" applyBorder="1" applyAlignment="1">
      <alignment horizontal="center" vertical="center" wrapText="1"/>
    </xf>
    <xf numFmtId="164" fontId="10" fillId="7" borderId="3" xfId="1" applyNumberFormat="1" applyFont="1" applyFill="1" applyBorder="1" applyAlignment="1">
      <alignment horizontal="left" vertical="center" wrapText="1"/>
    </xf>
    <xf numFmtId="164" fontId="2" fillId="0" borderId="6" xfId="1" applyNumberFormat="1" applyFont="1" applyBorder="1" applyAlignment="1">
      <alignment horizontal="right" vertical="center" wrapText="1"/>
    </xf>
    <xf numFmtId="164" fontId="2" fillId="0" borderId="15" xfId="1" applyNumberFormat="1" applyFont="1" applyBorder="1" applyAlignment="1">
      <alignment horizontal="right" vertical="center" wrapText="1"/>
    </xf>
    <xf numFmtId="164" fontId="2" fillId="0" borderId="16" xfId="1" applyNumberFormat="1" applyFont="1" applyBorder="1" applyAlignment="1">
      <alignment horizontal="right" vertical="center" wrapText="1"/>
    </xf>
    <xf numFmtId="164" fontId="12" fillId="0" borderId="48" xfId="1" applyNumberFormat="1" applyFont="1" applyBorder="1" applyAlignment="1">
      <alignment horizontal="center" vertical="center" wrapText="1"/>
    </xf>
    <xf numFmtId="164" fontId="12" fillId="0" borderId="20" xfId="1" applyNumberFormat="1" applyFont="1" applyBorder="1" applyAlignment="1">
      <alignment horizontal="center" vertical="center" wrapText="1"/>
    </xf>
    <xf numFmtId="164" fontId="12" fillId="0" borderId="21" xfId="1" applyNumberFormat="1" applyFont="1" applyBorder="1" applyAlignment="1">
      <alignment horizontal="center" vertical="center" wrapText="1"/>
    </xf>
    <xf numFmtId="164" fontId="12" fillId="0" borderId="4" xfId="1" applyNumberFormat="1" applyFont="1" applyBorder="1" applyAlignment="1">
      <alignment horizontal="center" vertical="center" wrapText="1"/>
    </xf>
    <xf numFmtId="164" fontId="12" fillId="0" borderId="0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164" fontId="12" fillId="0" borderId="49" xfId="1" applyNumberFormat="1" applyFont="1" applyBorder="1" applyAlignment="1">
      <alignment horizontal="center" vertical="center" wrapText="1"/>
    </xf>
    <xf numFmtId="164" fontId="12" fillId="0" borderId="35" xfId="1" applyNumberFormat="1" applyFont="1" applyBorder="1" applyAlignment="1">
      <alignment horizontal="center" vertical="center" wrapText="1"/>
    </xf>
    <xf numFmtId="164" fontId="12" fillId="0" borderId="50" xfId="1" applyNumberFormat="1" applyFont="1" applyBorder="1" applyAlignment="1">
      <alignment horizontal="center" vertical="center" wrapText="1"/>
    </xf>
    <xf numFmtId="164" fontId="2" fillId="0" borderId="26" xfId="1" applyNumberFormat="1" applyFont="1" applyBorder="1" applyAlignment="1">
      <alignment horizontal="right" vertical="center" wrapText="1"/>
    </xf>
    <xf numFmtId="164" fontId="2" fillId="0" borderId="27" xfId="1" applyNumberFormat="1" applyFont="1" applyBorder="1" applyAlignment="1">
      <alignment horizontal="right" vertical="center" wrapText="1"/>
    </xf>
    <xf numFmtId="164" fontId="2" fillId="0" borderId="28" xfId="1" applyNumberFormat="1" applyFont="1" applyBorder="1" applyAlignment="1">
      <alignment horizontal="right" vertical="center" wrapText="1"/>
    </xf>
    <xf numFmtId="164" fontId="17" fillId="11" borderId="26" xfId="1" applyNumberFormat="1" applyFont="1" applyFill="1" applyBorder="1" applyAlignment="1">
      <alignment horizontal="center" vertical="center" wrapText="1"/>
    </xf>
    <xf numFmtId="164" fontId="17" fillId="11" borderId="27" xfId="1" applyNumberFormat="1" applyFont="1" applyFill="1" applyBorder="1" applyAlignment="1">
      <alignment horizontal="center" vertical="center" wrapText="1"/>
    </xf>
    <xf numFmtId="164" fontId="17" fillId="11" borderId="28" xfId="1" applyNumberFormat="1" applyFont="1" applyFill="1" applyBorder="1" applyAlignment="1">
      <alignment horizontal="center" vertical="center" wrapText="1"/>
    </xf>
    <xf numFmtId="164" fontId="2" fillId="0" borderId="10" xfId="1" applyNumberFormat="1" applyFont="1" applyBorder="1" applyAlignment="1">
      <alignment horizontal="center" vertical="center" wrapText="1"/>
    </xf>
    <xf numFmtId="164" fontId="2" fillId="0" borderId="11" xfId="1" applyNumberFormat="1" applyFont="1" applyBorder="1" applyAlignment="1">
      <alignment horizontal="center" vertical="center" wrapText="1"/>
    </xf>
    <xf numFmtId="164" fontId="2" fillId="0" borderId="8" xfId="1" applyNumberFormat="1" applyFont="1" applyBorder="1" applyAlignment="1">
      <alignment horizontal="center" vertical="center" wrapText="1"/>
    </xf>
    <xf numFmtId="0" fontId="27" fillId="0" borderId="3" xfId="4" applyFont="1" applyBorder="1" applyAlignment="1">
      <alignment horizontal="center" vertical="center"/>
    </xf>
    <xf numFmtId="164" fontId="17" fillId="11" borderId="23" xfId="1" applyNumberFormat="1" applyFont="1" applyFill="1" applyBorder="1" applyAlignment="1">
      <alignment horizontal="center" vertical="center" wrapText="1"/>
    </xf>
    <xf numFmtId="164" fontId="17" fillId="11" borderId="15" xfId="1" applyNumberFormat="1" applyFont="1" applyFill="1" applyBorder="1" applyAlignment="1">
      <alignment horizontal="center" vertical="center" wrapText="1"/>
    </xf>
    <xf numFmtId="164" fontId="17" fillId="11" borderId="16" xfId="1" applyNumberFormat="1" applyFont="1" applyFill="1" applyBorder="1" applyAlignment="1">
      <alignment horizontal="center" vertical="center" wrapText="1"/>
    </xf>
    <xf numFmtId="164" fontId="12" fillId="0" borderId="5" xfId="1" applyNumberFormat="1" applyFont="1" applyBorder="1" applyAlignment="1">
      <alignment horizontal="right" vertical="center" wrapText="1"/>
    </xf>
    <xf numFmtId="164" fontId="12" fillId="0" borderId="3" xfId="1" applyNumberFormat="1" applyFont="1" applyBorder="1" applyAlignment="1">
      <alignment horizontal="right" vertical="center" wrapText="1"/>
    </xf>
    <xf numFmtId="164" fontId="12" fillId="0" borderId="41" xfId="1" applyNumberFormat="1" applyFont="1" applyBorder="1" applyAlignment="1">
      <alignment horizontal="center" vertical="center" wrapText="1"/>
    </xf>
    <xf numFmtId="164" fontId="12" fillId="0" borderId="24" xfId="1" applyNumberFormat="1" applyFont="1" applyBorder="1" applyAlignment="1">
      <alignment horizontal="center" vertical="center" wrapText="1"/>
    </xf>
    <xf numFmtId="164" fontId="12" fillId="0" borderId="25" xfId="1" applyNumberFormat="1" applyFont="1" applyBorder="1" applyAlignment="1">
      <alignment horizontal="center" vertical="center" wrapText="1"/>
    </xf>
    <xf numFmtId="164" fontId="12" fillId="0" borderId="10" xfId="1" applyNumberFormat="1" applyFont="1" applyBorder="1" applyAlignment="1">
      <alignment horizontal="center" vertical="center" wrapText="1"/>
    </xf>
    <xf numFmtId="164" fontId="12" fillId="0" borderId="11" xfId="1" applyNumberFormat="1" applyFont="1" applyBorder="1" applyAlignment="1">
      <alignment horizontal="center" vertical="center" wrapText="1"/>
    </xf>
    <xf numFmtId="164" fontId="12" fillId="0" borderId="8" xfId="1" applyNumberFormat="1" applyFont="1" applyBorder="1" applyAlignment="1">
      <alignment horizontal="center" vertical="center" wrapText="1"/>
    </xf>
    <xf numFmtId="164" fontId="2" fillId="0" borderId="23" xfId="1" applyNumberFormat="1" applyFont="1" applyBorder="1" applyAlignment="1">
      <alignment horizontal="right" vertical="center" wrapText="1"/>
    </xf>
    <xf numFmtId="164" fontId="0" fillId="0" borderId="3" xfId="1" applyNumberFormat="1" applyFont="1" applyBorder="1" applyAlignment="1">
      <alignment horizontal="center" vertical="top" wrapText="1"/>
    </xf>
    <xf numFmtId="164" fontId="0" fillId="0" borderId="3" xfId="1" applyNumberFormat="1" applyFont="1" applyBorder="1" applyAlignment="1">
      <alignment horizontal="center" vertical="center" wrapText="1"/>
    </xf>
    <xf numFmtId="164" fontId="10" fillId="7" borderId="6" xfId="1" applyNumberFormat="1" applyFont="1" applyFill="1" applyBorder="1" applyAlignment="1">
      <alignment horizontal="left" vertical="center" wrapText="1"/>
    </xf>
    <xf numFmtId="164" fontId="10" fillId="7" borderId="15" xfId="1" applyNumberFormat="1" applyFont="1" applyFill="1" applyBorder="1" applyAlignment="1">
      <alignment horizontal="left" vertical="center" wrapText="1"/>
    </xf>
    <xf numFmtId="164" fontId="10" fillId="7" borderId="16" xfId="1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44" fontId="4" fillId="4" borderId="43" xfId="2" applyFont="1" applyFill="1" applyBorder="1" applyAlignment="1">
      <alignment horizontal="center" vertical="center" wrapText="1"/>
    </xf>
    <xf numFmtId="44" fontId="4" fillId="4" borderId="3" xfId="2" applyFont="1" applyFill="1" applyBorder="1" applyAlignment="1">
      <alignment horizontal="center" vertical="center" wrapText="1"/>
    </xf>
    <xf numFmtId="44" fontId="8" fillId="4" borderId="44" xfId="2" applyFont="1" applyFill="1" applyBorder="1" applyAlignment="1">
      <alignment horizontal="center" vertical="center" wrapText="1"/>
    </xf>
    <xf numFmtId="44" fontId="8" fillId="4" borderId="6" xfId="2" applyFont="1" applyFill="1" applyBorder="1" applyAlignment="1">
      <alignment horizontal="center" vertical="center" wrapText="1"/>
    </xf>
    <xf numFmtId="44" fontId="8" fillId="5" borderId="42" xfId="2" applyFont="1" applyFill="1" applyBorder="1" applyAlignment="1">
      <alignment horizontal="center" vertical="center" wrapText="1"/>
    </xf>
    <xf numFmtId="44" fontId="8" fillId="5" borderId="43" xfId="2" applyFont="1" applyFill="1" applyBorder="1" applyAlignment="1">
      <alignment horizontal="center" vertical="center" wrapText="1"/>
    </xf>
    <xf numFmtId="44" fontId="8" fillId="5" borderId="7" xfId="2" applyFont="1" applyFill="1" applyBorder="1" applyAlignment="1">
      <alignment horizontal="center" vertical="center" wrapText="1"/>
    </xf>
    <xf numFmtId="44" fontId="8" fillId="6" borderId="46" xfId="2" applyFont="1" applyFill="1" applyBorder="1" applyAlignment="1">
      <alignment horizontal="center" vertical="center" wrapText="1"/>
    </xf>
    <xf numFmtId="44" fontId="8" fillId="6" borderId="8" xfId="2" applyFont="1" applyFill="1" applyBorder="1" applyAlignment="1">
      <alignment horizontal="center" vertical="center" wrapText="1"/>
    </xf>
    <xf numFmtId="43" fontId="8" fillId="6" borderId="7" xfId="2" applyNumberFormat="1" applyFont="1" applyFill="1" applyBorder="1" applyAlignment="1">
      <alignment horizontal="center" vertical="center" wrapText="1"/>
    </xf>
    <xf numFmtId="43" fontId="8" fillId="6" borderId="9" xfId="2" applyNumberFormat="1" applyFont="1" applyFill="1" applyBorder="1" applyAlignment="1">
      <alignment horizontal="center" vertical="center" wrapText="1"/>
    </xf>
    <xf numFmtId="44" fontId="8" fillId="12" borderId="42" xfId="2" applyFont="1" applyFill="1" applyBorder="1" applyAlignment="1">
      <alignment horizontal="center" vertical="center" wrapText="1"/>
    </xf>
    <xf numFmtId="44" fontId="8" fillId="12" borderId="43" xfId="2" applyFont="1" applyFill="1" applyBorder="1" applyAlignment="1">
      <alignment horizontal="center" vertical="center" wrapText="1"/>
    </xf>
    <xf numFmtId="44" fontId="8" fillId="12" borderId="7" xfId="2" applyFont="1" applyFill="1" applyBorder="1" applyAlignment="1">
      <alignment horizontal="center" vertical="center" wrapText="1"/>
    </xf>
    <xf numFmtId="44" fontId="8" fillId="23" borderId="47" xfId="2" applyFont="1" applyFill="1" applyBorder="1" applyAlignment="1">
      <alignment horizontal="center" vertical="center" wrapText="1"/>
    </xf>
    <xf numFmtId="44" fontId="8" fillId="23" borderId="43" xfId="2" applyFont="1" applyFill="1" applyBorder="1" applyAlignment="1">
      <alignment horizontal="center" vertical="center" wrapText="1"/>
    </xf>
    <xf numFmtId="44" fontId="8" fillId="23" borderId="44" xfId="2" applyFont="1" applyFill="1" applyBorder="1" applyAlignment="1">
      <alignment horizontal="center" vertical="center" wrapText="1"/>
    </xf>
    <xf numFmtId="165" fontId="37" fillId="0" borderId="3" xfId="2" applyNumberFormat="1" applyFont="1" applyFill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165" fontId="37" fillId="0" borderId="3" xfId="2" applyNumberFormat="1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4" fillId="21" borderId="3" xfId="0" applyFont="1" applyFill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4" fillId="18" borderId="3" xfId="0" applyFont="1" applyFill="1" applyBorder="1" applyAlignment="1">
      <alignment horizontal="center" vertical="center" wrapText="1"/>
    </xf>
    <xf numFmtId="0" fontId="34" fillId="18" borderId="3" xfId="0" applyFont="1" applyFill="1" applyBorder="1" applyAlignment="1">
      <alignment horizontal="left" vertical="center" wrapText="1"/>
    </xf>
    <xf numFmtId="0" fontId="34" fillId="18" borderId="12" xfId="0" applyFont="1" applyFill="1" applyBorder="1" applyAlignment="1">
      <alignment horizontal="center" vertical="center" wrapText="1"/>
    </xf>
    <xf numFmtId="0" fontId="34" fillId="18" borderId="14" xfId="0" applyFont="1" applyFill="1" applyBorder="1" applyAlignment="1">
      <alignment horizontal="center" vertical="center" wrapText="1"/>
    </xf>
    <xf numFmtId="0" fontId="34" fillId="18" borderId="6" xfId="0" applyFont="1" applyFill="1" applyBorder="1" applyAlignment="1">
      <alignment horizontal="center" vertical="center" wrapText="1"/>
    </xf>
    <xf numFmtId="0" fontId="34" fillId="18" borderId="15" xfId="0" applyFont="1" applyFill="1" applyBorder="1" applyAlignment="1">
      <alignment horizontal="center" vertical="center" wrapText="1"/>
    </xf>
    <xf numFmtId="0" fontId="34" fillId="18" borderId="16" xfId="0" applyFont="1" applyFill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wrapText="1"/>
    </xf>
    <xf numFmtId="0" fontId="32" fillId="4" borderId="9" xfId="0" applyFont="1" applyFill="1" applyBorder="1" applyAlignment="1">
      <alignment horizont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8">
    <cellStyle name="Millares" xfId="1" builtinId="3"/>
    <cellStyle name="Millares 2" xfId="6" xr:uid="{1D31136D-5646-45DA-82AB-428A75D712FB}"/>
    <cellStyle name="Moneda" xfId="2" builtinId="4"/>
    <cellStyle name="Moneda 2" xfId="5" xr:uid="{DAAE0530-B59E-43B7-BC83-5904D58CA2FA}"/>
    <cellStyle name="Normal" xfId="0" builtinId="0"/>
    <cellStyle name="Normal 3" xfId="4" xr:uid="{BB6B15BE-7295-415D-9C1A-8ECCD6283523}"/>
    <cellStyle name="Porcentaje" xfId="3" builtinId="5"/>
    <cellStyle name="Porcentaje 2" xfId="7" xr:uid="{2F1A3860-9F72-47E7-BBFE-B801E1EA4D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1066799</xdr:colOff>
      <xdr:row>0</xdr:row>
      <xdr:rowOff>95412</xdr:rowOff>
    </xdr:from>
    <xdr:to>
      <xdr:col>37</xdr:col>
      <xdr:colOff>1393316</xdr:colOff>
      <xdr:row>0</xdr:row>
      <xdr:rowOff>817407</xdr:rowOff>
    </xdr:to>
    <xdr:pic>
      <xdr:nvPicPr>
        <xdr:cNvPr id="2" name="Imagen 1" descr="Programa de las Naciones Unidas PNUD Logo PNG Vector (AI) Free Download">
          <a:extLst>
            <a:ext uri="{FF2B5EF4-FFF2-40B4-BE49-F238E27FC236}">
              <a16:creationId xmlns:a16="http://schemas.microsoft.com/office/drawing/2014/main" id="{F28FD14E-7BBD-4ED1-B334-C321686042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8628" y="95412"/>
          <a:ext cx="322707" cy="718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412749</xdr:colOff>
      <xdr:row>0</xdr:row>
      <xdr:rowOff>63500</xdr:rowOff>
    </xdr:from>
    <xdr:ext cx="347472" cy="742950"/>
    <xdr:pic>
      <xdr:nvPicPr>
        <xdr:cNvPr id="2" name="Imagen 1" descr="Programa de las Naciones Unidas PNUD Logo PNG Vector (AI) Free Download">
          <a:extLst>
            <a:ext uri="{FF2B5EF4-FFF2-40B4-BE49-F238E27FC236}">
              <a16:creationId xmlns:a16="http://schemas.microsoft.com/office/drawing/2014/main" id="{69BE2CAA-FB61-46EF-BCAD-8787F5933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4749" y="63500"/>
          <a:ext cx="347472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14C4906-845C-4FA2-99ED-EC1506D4FBF2}">
  <we:reference id="c001ba1d-deed-ab1e-fa57-beefab8d5eed" version="1.0.0.0" store="EXCatalog" storeType="EXCatalog"/>
  <we:alternateReferences>
    <we:reference id="WA104381504" version="1.0.0.0" store="da-DK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3693C-2045-4EC0-96D2-2C1D5CCEC6BF}">
  <sheetPr>
    <tabColor rgb="FF92D050"/>
    <pageSetUpPr fitToPage="1"/>
  </sheetPr>
  <dimension ref="R1:AT116"/>
  <sheetViews>
    <sheetView showGridLines="0" tabSelected="1" topLeftCell="AD1" zoomScale="85" zoomScaleNormal="85" workbookViewId="0">
      <selection activeCell="AF115" sqref="AF115"/>
    </sheetView>
  </sheetViews>
  <sheetFormatPr baseColWidth="10" defaultColWidth="11.42578125" defaultRowHeight="15" x14ac:dyDescent="0.25"/>
  <cols>
    <col min="18" max="18" width="29.140625" customWidth="1"/>
    <col min="19" max="19" width="32" customWidth="1"/>
    <col min="20" max="20" width="48.42578125" customWidth="1"/>
    <col min="21" max="21" width="14.7109375" customWidth="1"/>
    <col min="22" max="22" width="19.5703125" style="27" customWidth="1"/>
    <col min="23" max="23" width="15.42578125" style="28" customWidth="1"/>
    <col min="24" max="24" width="21.85546875" style="29" customWidth="1"/>
    <col min="25" max="25" width="19.7109375" style="29" customWidth="1"/>
    <col min="26" max="26" width="14.42578125" style="29" customWidth="1"/>
    <col min="27" max="27" width="16.5703125" style="29" customWidth="1"/>
    <col min="28" max="28" width="16.7109375" style="29" customWidth="1"/>
    <col min="29" max="29" width="17.28515625" style="29" customWidth="1"/>
    <col min="30" max="30" width="19" style="29" customWidth="1"/>
    <col min="31" max="31" width="14.5703125" style="29" customWidth="1"/>
    <col min="32" max="32" width="66.28515625" style="29" customWidth="1"/>
    <col min="33" max="33" width="19.5703125" style="29" customWidth="1"/>
    <col min="34" max="34" width="15.85546875" style="29" customWidth="1"/>
    <col min="35" max="35" width="18.7109375" style="29" customWidth="1"/>
    <col min="36" max="36" width="18.28515625" style="29" customWidth="1"/>
    <col min="37" max="37" width="15.42578125" style="29" customWidth="1"/>
    <col min="38" max="38" width="22.42578125" style="211" customWidth="1"/>
    <col min="39" max="39" width="17.28515625" bestFit="1" customWidth="1"/>
    <col min="40" max="40" width="15.5703125" bestFit="1" customWidth="1"/>
    <col min="41" max="41" width="14.7109375" bestFit="1" customWidth="1"/>
    <col min="44" max="44" width="12.7109375" bestFit="1" customWidth="1"/>
    <col min="45" max="46" width="13.7109375" bestFit="1" customWidth="1"/>
  </cols>
  <sheetData>
    <row r="1" spans="18:46" ht="77.099999999999994" customHeight="1" x14ac:dyDescent="0.25">
      <c r="R1" s="262" t="s">
        <v>0</v>
      </c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  <c r="AF1" s="263"/>
      <c r="AG1" s="263"/>
      <c r="AH1" s="263"/>
      <c r="AI1" s="263"/>
      <c r="AJ1" s="263"/>
      <c r="AK1" s="263"/>
      <c r="AL1" s="263"/>
      <c r="AM1" s="188" t="s">
        <v>157</v>
      </c>
      <c r="AN1" s="189">
        <v>4182</v>
      </c>
    </row>
    <row r="2" spans="18:46" ht="56.1" customHeight="1" x14ac:dyDescent="0.25">
      <c r="R2" s="264" t="s">
        <v>1</v>
      </c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  <c r="AJ2" s="264"/>
      <c r="AK2" s="264"/>
      <c r="AL2" s="264"/>
    </row>
    <row r="3" spans="18:46" ht="72.599999999999994" customHeight="1" thickBot="1" x14ac:dyDescent="0.3">
      <c r="R3" s="265" t="s">
        <v>2</v>
      </c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  <c r="AD3" s="266"/>
      <c r="AE3" s="266"/>
      <c r="AF3" s="266"/>
      <c r="AG3" s="266"/>
      <c r="AH3" s="266"/>
      <c r="AI3" s="266"/>
      <c r="AJ3" s="266"/>
      <c r="AK3" s="266"/>
      <c r="AL3" s="266"/>
      <c r="AM3" s="124"/>
      <c r="AN3" s="125"/>
      <c r="AO3" s="125"/>
      <c r="AS3" s="126"/>
      <c r="AT3" s="126"/>
    </row>
    <row r="4" spans="18:46" ht="36" customHeight="1" x14ac:dyDescent="0.25">
      <c r="R4" s="267" t="s">
        <v>3</v>
      </c>
      <c r="S4" s="268"/>
      <c r="T4" s="268"/>
      <c r="U4" s="268" t="s">
        <v>4</v>
      </c>
      <c r="V4" s="271" t="s">
        <v>5</v>
      </c>
      <c r="W4" s="268" t="s">
        <v>6</v>
      </c>
      <c r="X4" s="273" t="s">
        <v>7</v>
      </c>
      <c r="Y4" s="275" t="s">
        <v>8</v>
      </c>
      <c r="Z4" s="276"/>
      <c r="AA4" s="276"/>
      <c r="AB4" s="277"/>
      <c r="AC4" s="282" t="s">
        <v>9</v>
      </c>
      <c r="AD4" s="283"/>
      <c r="AE4" s="283"/>
      <c r="AF4" s="284"/>
      <c r="AG4" s="285" t="s">
        <v>153</v>
      </c>
      <c r="AH4" s="286"/>
      <c r="AI4" s="286"/>
      <c r="AJ4" s="287"/>
      <c r="AK4" s="278" t="s">
        <v>10</v>
      </c>
      <c r="AL4" s="280" t="s">
        <v>11</v>
      </c>
      <c r="AM4" s="124"/>
      <c r="AN4" s="125"/>
      <c r="AO4" s="125"/>
      <c r="AS4" s="126"/>
      <c r="AT4" s="126"/>
    </row>
    <row r="5" spans="18:46" ht="30" customHeight="1" x14ac:dyDescent="0.25">
      <c r="R5" s="269"/>
      <c r="S5" s="270"/>
      <c r="T5" s="270"/>
      <c r="U5" s="270"/>
      <c r="V5" s="272"/>
      <c r="W5" s="270"/>
      <c r="X5" s="274"/>
      <c r="Y5" s="177" t="s">
        <v>4</v>
      </c>
      <c r="Z5" s="1" t="s">
        <v>12</v>
      </c>
      <c r="AA5" s="1" t="s">
        <v>13</v>
      </c>
      <c r="AB5" s="178" t="s">
        <v>14</v>
      </c>
      <c r="AC5" s="158" t="s">
        <v>4</v>
      </c>
      <c r="AD5" s="54" t="s">
        <v>12</v>
      </c>
      <c r="AE5" s="54" t="s">
        <v>13</v>
      </c>
      <c r="AF5" s="159" t="s">
        <v>14</v>
      </c>
      <c r="AG5" s="152" t="s">
        <v>4</v>
      </c>
      <c r="AH5" s="132" t="s">
        <v>12</v>
      </c>
      <c r="AI5" s="132" t="s">
        <v>13</v>
      </c>
      <c r="AJ5" s="142" t="s">
        <v>14</v>
      </c>
      <c r="AK5" s="279"/>
      <c r="AL5" s="281"/>
      <c r="AM5" s="125"/>
      <c r="AO5" s="124"/>
      <c r="AP5" s="125"/>
      <c r="AS5" s="125"/>
    </row>
    <row r="6" spans="18:46" ht="24" customHeight="1" x14ac:dyDescent="0.25">
      <c r="R6" s="241" t="s">
        <v>15</v>
      </c>
      <c r="S6" s="257" t="s">
        <v>16</v>
      </c>
      <c r="T6" s="222" t="s">
        <v>17</v>
      </c>
      <c r="U6" s="222"/>
      <c r="V6" s="222"/>
      <c r="W6" s="222"/>
      <c r="X6" s="3">
        <f>X7</f>
        <v>23752.827351311138</v>
      </c>
      <c r="Y6" s="179"/>
      <c r="Z6" s="42"/>
      <c r="AA6" s="42"/>
      <c r="AB6" s="180">
        <f>SUM(AB7)</f>
        <v>0</v>
      </c>
      <c r="AC6" s="160"/>
      <c r="AD6" s="56"/>
      <c r="AE6" s="56"/>
      <c r="AF6" s="161"/>
      <c r="AG6" s="153"/>
      <c r="AH6" s="133"/>
      <c r="AI6" s="133"/>
      <c r="AJ6" s="143">
        <f>SUM(AJ7)</f>
        <v>0</v>
      </c>
      <c r="AK6" s="149"/>
      <c r="AL6" s="204">
        <f>SUM(AL7)</f>
        <v>23752.827351311138</v>
      </c>
      <c r="AM6" s="127"/>
      <c r="AN6" s="128"/>
      <c r="AP6" s="125"/>
      <c r="AS6" s="125"/>
    </row>
    <row r="7" spans="18:46" ht="59.1" customHeight="1" x14ac:dyDescent="0.25">
      <c r="R7" s="242"/>
      <c r="S7" s="257"/>
      <c r="T7" s="4" t="s">
        <v>18</v>
      </c>
      <c r="U7" s="5" t="s">
        <v>19</v>
      </c>
      <c r="V7" s="5">
        <v>23752.827351311138</v>
      </c>
      <c r="W7" s="6">
        <v>1</v>
      </c>
      <c r="X7" s="20">
        <f>V7*W7</f>
        <v>23752.827351311138</v>
      </c>
      <c r="Y7" s="171">
        <v>0</v>
      </c>
      <c r="Z7" s="7"/>
      <c r="AA7" s="7"/>
      <c r="AB7" s="162">
        <f>AA7*Z7</f>
        <v>0</v>
      </c>
      <c r="AC7" s="150"/>
      <c r="AD7" s="6"/>
      <c r="AE7" s="6"/>
      <c r="AF7" s="162"/>
      <c r="AG7" s="55"/>
      <c r="AH7" s="6"/>
      <c r="AI7" s="6"/>
      <c r="AJ7" s="8"/>
      <c r="AK7" s="150">
        <f>W7+AA7+AE7+AI7</f>
        <v>1</v>
      </c>
      <c r="AL7" s="205">
        <f>AB7+X7+AF7+AJ7</f>
        <v>23752.827351311138</v>
      </c>
      <c r="AM7" s="125"/>
      <c r="AN7" s="124"/>
      <c r="AO7" s="125"/>
      <c r="AS7" s="125"/>
    </row>
    <row r="8" spans="18:46" ht="20.100000000000001" customHeight="1" x14ac:dyDescent="0.25">
      <c r="R8" s="242"/>
      <c r="S8" s="217" t="s">
        <v>20</v>
      </c>
      <c r="T8" s="222" t="s">
        <v>17</v>
      </c>
      <c r="U8" s="222"/>
      <c r="V8" s="222"/>
      <c r="W8" s="222"/>
      <c r="X8" s="3">
        <f>X9</f>
        <v>23752.827351311138</v>
      </c>
      <c r="Y8" s="179"/>
      <c r="Z8" s="42"/>
      <c r="AA8" s="42"/>
      <c r="AB8" s="180">
        <f>SUM(AB9:AB10)</f>
        <v>0</v>
      </c>
      <c r="AC8" s="160"/>
      <c r="AD8" s="56"/>
      <c r="AE8" s="56"/>
      <c r="AF8" s="161"/>
      <c r="AG8" s="153"/>
      <c r="AH8" s="133"/>
      <c r="AI8" s="133"/>
      <c r="AJ8" s="143">
        <f>SUM(AJ9:AJ10)</f>
        <v>343069.46051609208</v>
      </c>
      <c r="AK8" s="149"/>
      <c r="AL8" s="204">
        <f>SUM(AL9:AL10)</f>
        <v>366822.28786740324</v>
      </c>
      <c r="AM8" s="125"/>
      <c r="AP8" s="125"/>
    </row>
    <row r="9" spans="18:46" ht="71.45" customHeight="1" x14ac:dyDescent="0.25">
      <c r="R9" s="242"/>
      <c r="S9" s="218"/>
      <c r="T9" s="4" t="s">
        <v>21</v>
      </c>
      <c r="U9" s="5" t="s">
        <v>19</v>
      </c>
      <c r="V9" s="5">
        <v>23752.827351311138</v>
      </c>
      <c r="W9" s="6">
        <v>1</v>
      </c>
      <c r="X9" s="20">
        <f>V9*W9</f>
        <v>23752.827351311138</v>
      </c>
      <c r="Y9" s="171">
        <v>0</v>
      </c>
      <c r="Z9" s="7"/>
      <c r="AA9" s="7"/>
      <c r="AB9" s="162">
        <f>AA9*Z9</f>
        <v>0</v>
      </c>
      <c r="AC9" s="150"/>
      <c r="AD9" s="6"/>
      <c r="AE9" s="6"/>
      <c r="AF9" s="162"/>
      <c r="AG9" s="55"/>
      <c r="AH9" s="6"/>
      <c r="AI9" s="6"/>
      <c r="AJ9" s="8"/>
      <c r="AK9" s="150">
        <f>W9+AA9+AE9+AI9</f>
        <v>1</v>
      </c>
      <c r="AL9" s="205">
        <f>AB9+X9+AF9+AJ9</f>
        <v>23752.827351311138</v>
      </c>
      <c r="AM9" s="125"/>
      <c r="AN9" s="129"/>
      <c r="AO9" s="129"/>
    </row>
    <row r="10" spans="18:46" ht="71.45" customHeight="1" x14ac:dyDescent="0.25">
      <c r="R10" s="242"/>
      <c r="S10" s="219"/>
      <c r="T10" s="136" t="s">
        <v>156</v>
      </c>
      <c r="U10" s="5"/>
      <c r="V10" s="5"/>
      <c r="W10" s="6"/>
      <c r="X10" s="20"/>
      <c r="Y10" s="171"/>
      <c r="Z10" s="7"/>
      <c r="AA10" s="7"/>
      <c r="AB10" s="162"/>
      <c r="AC10" s="150"/>
      <c r="AD10" s="6"/>
      <c r="AE10" s="6"/>
      <c r="AF10" s="162"/>
      <c r="AG10" s="55" t="s">
        <v>40</v>
      </c>
      <c r="AH10" s="6">
        <v>14916.063500699654</v>
      </c>
      <c r="AI10" s="6">
        <v>23</v>
      </c>
      <c r="AJ10" s="198">
        <f>AI10*AH10</f>
        <v>343069.46051609208</v>
      </c>
      <c r="AK10" s="150">
        <f>W10+AA10+AE10+AI10</f>
        <v>23</v>
      </c>
      <c r="AL10" s="205">
        <f>AB10+X10+AF10+AJ10</f>
        <v>343069.46051609208</v>
      </c>
      <c r="AM10" s="125"/>
      <c r="AN10" s="129"/>
      <c r="AO10" s="129"/>
    </row>
    <row r="11" spans="18:46" ht="14.45" customHeight="1" x14ac:dyDescent="0.25">
      <c r="R11" s="242"/>
      <c r="S11" s="217" t="s">
        <v>22</v>
      </c>
      <c r="T11" s="222" t="s">
        <v>23</v>
      </c>
      <c r="U11" s="222"/>
      <c r="V11" s="222"/>
      <c r="W11" s="222"/>
      <c r="X11" s="3">
        <f>SUM(X12:X18)</f>
        <v>168311.68831168831</v>
      </c>
      <c r="Y11" s="179"/>
      <c r="Z11" s="42"/>
      <c r="AA11" s="42"/>
      <c r="AB11" s="180">
        <f>SUM(AB12:AB19)</f>
        <v>25032</v>
      </c>
      <c r="AC11" s="160"/>
      <c r="AD11" s="56"/>
      <c r="AE11" s="56"/>
      <c r="AF11" s="161">
        <f>SUM(AF12:AF18)</f>
        <v>55908</v>
      </c>
      <c r="AG11" s="153"/>
      <c r="AH11" s="133"/>
      <c r="AI11" s="133"/>
      <c r="AJ11" s="143">
        <f>SUM(AJ12:AJ19)</f>
        <v>265824</v>
      </c>
      <c r="AK11" s="149"/>
      <c r="AL11" s="204">
        <f>SUM(AL12:AL19)</f>
        <v>515075.68831168837</v>
      </c>
      <c r="AM11" s="196"/>
      <c r="AN11" s="197"/>
      <c r="AO11" s="197"/>
      <c r="AP11" s="124"/>
    </row>
    <row r="12" spans="18:46" x14ac:dyDescent="0.25">
      <c r="R12" s="242"/>
      <c r="S12" s="218"/>
      <c r="T12" s="11" t="s">
        <v>24</v>
      </c>
      <c r="U12" s="12" t="s">
        <v>25</v>
      </c>
      <c r="V12" s="5">
        <v>4329.0043290043286</v>
      </c>
      <c r="W12" s="6">
        <v>12</v>
      </c>
      <c r="X12" s="20">
        <f>V12*W12</f>
        <v>51948.051948051943</v>
      </c>
      <c r="Y12" s="171"/>
      <c r="Z12" s="7"/>
      <c r="AA12" s="7"/>
      <c r="AB12" s="162">
        <f>AA12*Z12</f>
        <v>0</v>
      </c>
      <c r="AC12" s="150" t="s">
        <v>25</v>
      </c>
      <c r="AD12" s="99">
        <v>4314</v>
      </c>
      <c r="AE12" s="6">
        <v>4</v>
      </c>
      <c r="AF12" s="163">
        <f>AE12*AD12</f>
        <v>17256</v>
      </c>
      <c r="AG12" s="55" t="s">
        <v>25</v>
      </c>
      <c r="AH12" s="99">
        <v>5165</v>
      </c>
      <c r="AI12" s="6">
        <v>12</v>
      </c>
      <c r="AJ12" s="198">
        <f>AI12*AH12</f>
        <v>61980</v>
      </c>
      <c r="AK12" s="150">
        <f t="shared" ref="AK12:AK19" si="0">W12+AA12+AE12+AI12</f>
        <v>28</v>
      </c>
      <c r="AL12" s="205">
        <f t="shared" ref="AL12:AL19" si="1">AB12+X12+AF12+AJ12</f>
        <v>131184.05194805196</v>
      </c>
      <c r="AM12" s="125"/>
      <c r="AN12" s="124"/>
      <c r="AO12" s="125"/>
    </row>
    <row r="13" spans="18:46" x14ac:dyDescent="0.25">
      <c r="R13" s="242"/>
      <c r="S13" s="218"/>
      <c r="T13" s="11" t="s">
        <v>172</v>
      </c>
      <c r="U13" s="12" t="s">
        <v>25</v>
      </c>
      <c r="V13" s="5">
        <v>2317.2905525846704</v>
      </c>
      <c r="W13" s="6">
        <v>12</v>
      </c>
      <c r="X13" s="20">
        <f t="shared" ref="X13:X18" si="2">V13*W13</f>
        <v>27807.486631016043</v>
      </c>
      <c r="Y13" s="171"/>
      <c r="Z13" s="7"/>
      <c r="AA13" s="7"/>
      <c r="AB13" s="162">
        <f t="shared" ref="AB13:AB18" si="3">AA13*Z13</f>
        <v>0</v>
      </c>
      <c r="AC13" s="150" t="s">
        <v>25</v>
      </c>
      <c r="AD13" s="99">
        <v>2309</v>
      </c>
      <c r="AE13" s="6">
        <v>4</v>
      </c>
      <c r="AF13" s="163">
        <f t="shared" ref="AF13:AF18" si="4">AE13*AD13</f>
        <v>9236</v>
      </c>
      <c r="AG13" s="55" t="s">
        <v>25</v>
      </c>
      <c r="AH13" s="99">
        <v>2400</v>
      </c>
      <c r="AI13" s="6">
        <v>12</v>
      </c>
      <c r="AJ13" s="198">
        <f t="shared" ref="AJ13:AJ19" si="5">AI13*AH13</f>
        <v>28800</v>
      </c>
      <c r="AK13" s="150">
        <f t="shared" si="0"/>
        <v>28</v>
      </c>
      <c r="AL13" s="205">
        <f t="shared" si="1"/>
        <v>65843.486631016043</v>
      </c>
      <c r="AM13" s="125"/>
      <c r="AN13" s="124"/>
    </row>
    <row r="14" spans="18:46" x14ac:dyDescent="0.25">
      <c r="R14" s="242"/>
      <c r="S14" s="218"/>
      <c r="T14" s="11" t="s">
        <v>27</v>
      </c>
      <c r="U14" s="12" t="s">
        <v>25</v>
      </c>
      <c r="V14" s="5">
        <v>2049.9108734402853</v>
      </c>
      <c r="W14" s="6">
        <v>12</v>
      </c>
      <c r="X14" s="20">
        <f t="shared" si="2"/>
        <v>24598.930481283423</v>
      </c>
      <c r="Y14" s="171"/>
      <c r="Z14" s="7"/>
      <c r="AA14" s="7"/>
      <c r="AB14" s="162">
        <f t="shared" si="3"/>
        <v>0</v>
      </c>
      <c r="AC14" s="150" t="s">
        <v>25</v>
      </c>
      <c r="AD14" s="99">
        <v>2043</v>
      </c>
      <c r="AE14" s="6">
        <v>4</v>
      </c>
      <c r="AF14" s="163">
        <f t="shared" si="4"/>
        <v>8172</v>
      </c>
      <c r="AG14" s="55" t="s">
        <v>25</v>
      </c>
      <c r="AH14" s="99">
        <v>2400</v>
      </c>
      <c r="AI14" s="6">
        <v>12</v>
      </c>
      <c r="AJ14" s="198">
        <f t="shared" si="5"/>
        <v>28800</v>
      </c>
      <c r="AK14" s="150">
        <f t="shared" si="0"/>
        <v>28</v>
      </c>
      <c r="AL14" s="205">
        <f t="shared" si="1"/>
        <v>61570.930481283423</v>
      </c>
      <c r="AM14" s="125"/>
      <c r="AO14" s="124"/>
    </row>
    <row r="15" spans="18:46" x14ac:dyDescent="0.25">
      <c r="R15" s="242"/>
      <c r="S15" s="218"/>
      <c r="T15" s="11" t="s">
        <v>28</v>
      </c>
      <c r="U15" s="12" t="s">
        <v>25</v>
      </c>
      <c r="V15" s="5">
        <v>2317.2905525846704</v>
      </c>
      <c r="W15" s="6">
        <v>12</v>
      </c>
      <c r="X15" s="20">
        <f t="shared" si="2"/>
        <v>27807.486631016043</v>
      </c>
      <c r="Y15" s="181"/>
      <c r="Z15" s="13"/>
      <c r="AA15" s="13"/>
      <c r="AB15" s="163">
        <f t="shared" si="3"/>
        <v>0</v>
      </c>
      <c r="AC15" s="164" t="s">
        <v>25</v>
      </c>
      <c r="AD15" s="99">
        <v>2309</v>
      </c>
      <c r="AE15" s="18">
        <v>4</v>
      </c>
      <c r="AF15" s="163">
        <f t="shared" si="4"/>
        <v>9236</v>
      </c>
      <c r="AG15" s="154" t="s">
        <v>25</v>
      </c>
      <c r="AH15" s="99">
        <v>2400</v>
      </c>
      <c r="AI15" s="18">
        <v>12</v>
      </c>
      <c r="AJ15" s="198">
        <f t="shared" si="5"/>
        <v>28800</v>
      </c>
      <c r="AK15" s="150">
        <f t="shared" si="0"/>
        <v>28</v>
      </c>
      <c r="AL15" s="205">
        <f t="shared" si="1"/>
        <v>65843.486631016043</v>
      </c>
      <c r="AM15" s="125"/>
      <c r="AN15" s="124"/>
    </row>
    <row r="16" spans="18:46" x14ac:dyDescent="0.25">
      <c r="R16" s="242"/>
      <c r="S16" s="218"/>
      <c r="T16" s="11" t="s">
        <v>29</v>
      </c>
      <c r="U16" s="12" t="s">
        <v>25</v>
      </c>
      <c r="V16" s="5">
        <v>1158.6452762923352</v>
      </c>
      <c r="W16" s="6">
        <v>12</v>
      </c>
      <c r="X16" s="20">
        <f>V16*W16</f>
        <v>13903.743315508022</v>
      </c>
      <c r="Y16" s="181" t="s">
        <v>25</v>
      </c>
      <c r="Z16" s="13">
        <v>1159</v>
      </c>
      <c r="AA16" s="13">
        <v>12</v>
      </c>
      <c r="AB16" s="163">
        <f>AA16*Z16</f>
        <v>13908</v>
      </c>
      <c r="AC16" s="164" t="s">
        <v>25</v>
      </c>
      <c r="AD16" s="99">
        <v>1154</v>
      </c>
      <c r="AE16" s="18">
        <v>4</v>
      </c>
      <c r="AF16" s="163">
        <f t="shared" si="4"/>
        <v>4616</v>
      </c>
      <c r="AG16" s="154" t="s">
        <v>25</v>
      </c>
      <c r="AH16" s="99">
        <v>2400</v>
      </c>
      <c r="AI16" s="18">
        <v>12</v>
      </c>
      <c r="AJ16" s="198">
        <f t="shared" si="5"/>
        <v>28800</v>
      </c>
      <c r="AK16" s="150">
        <f t="shared" si="0"/>
        <v>40</v>
      </c>
      <c r="AL16" s="205">
        <f t="shared" si="1"/>
        <v>61227.743315508022</v>
      </c>
      <c r="AM16" s="125"/>
      <c r="AN16" s="124"/>
      <c r="AO16" s="124"/>
      <c r="AP16" s="124"/>
      <c r="AQ16" s="124"/>
      <c r="AR16" s="125"/>
      <c r="AS16" s="125"/>
    </row>
    <row r="17" spans="18:42" x14ac:dyDescent="0.25">
      <c r="R17" s="242"/>
      <c r="S17" s="218"/>
      <c r="T17" s="15" t="s">
        <v>30</v>
      </c>
      <c r="U17" s="16" t="s">
        <v>25</v>
      </c>
      <c r="V17" s="17">
        <v>926.91622103386806</v>
      </c>
      <c r="W17" s="18">
        <v>12</v>
      </c>
      <c r="X17" s="131">
        <f t="shared" si="2"/>
        <v>11122.994652406416</v>
      </c>
      <c r="Y17" s="181" t="s">
        <v>25</v>
      </c>
      <c r="Z17" s="13">
        <v>927</v>
      </c>
      <c r="AA17" s="13">
        <v>12</v>
      </c>
      <c r="AB17" s="163">
        <f t="shared" si="3"/>
        <v>11124</v>
      </c>
      <c r="AC17" s="164" t="s">
        <v>25</v>
      </c>
      <c r="AD17" s="99">
        <v>924</v>
      </c>
      <c r="AE17" s="18">
        <v>4</v>
      </c>
      <c r="AF17" s="163">
        <f t="shared" si="4"/>
        <v>3696</v>
      </c>
      <c r="AG17" s="154" t="s">
        <v>25</v>
      </c>
      <c r="AH17" s="99">
        <v>2400</v>
      </c>
      <c r="AI17" s="18">
        <v>12</v>
      </c>
      <c r="AJ17" s="198">
        <f t="shared" si="5"/>
        <v>28800</v>
      </c>
      <c r="AK17" s="150">
        <f t="shared" si="0"/>
        <v>40</v>
      </c>
      <c r="AL17" s="205">
        <f t="shared" si="1"/>
        <v>54742.994652406414</v>
      </c>
      <c r="AM17" s="125"/>
      <c r="AN17" s="124"/>
    </row>
    <row r="18" spans="18:42" x14ac:dyDescent="0.25">
      <c r="R18" s="242"/>
      <c r="S18" s="218"/>
      <c r="T18" s="141" t="s">
        <v>31</v>
      </c>
      <c r="U18" s="16" t="s">
        <v>25</v>
      </c>
      <c r="V18" s="17">
        <v>926.91622103386806</v>
      </c>
      <c r="W18" s="18">
        <v>12</v>
      </c>
      <c r="X18" s="131">
        <f t="shared" si="2"/>
        <v>11122.994652406416</v>
      </c>
      <c r="Y18" s="181"/>
      <c r="Z18" s="13"/>
      <c r="AA18" s="13"/>
      <c r="AB18" s="162">
        <f t="shared" si="3"/>
        <v>0</v>
      </c>
      <c r="AC18" s="150" t="s">
        <v>25</v>
      </c>
      <c r="AD18" s="99">
        <v>924</v>
      </c>
      <c r="AE18" s="6">
        <v>4</v>
      </c>
      <c r="AF18" s="163">
        <f t="shared" si="4"/>
        <v>3696</v>
      </c>
      <c r="AG18" s="55" t="s">
        <v>25</v>
      </c>
      <c r="AH18" s="99">
        <f>1087+1500</f>
        <v>2587</v>
      </c>
      <c r="AI18" s="6">
        <v>12</v>
      </c>
      <c r="AJ18" s="198">
        <f t="shared" si="5"/>
        <v>31044</v>
      </c>
      <c r="AK18" s="150">
        <f t="shared" si="0"/>
        <v>28</v>
      </c>
      <c r="AL18" s="205">
        <f t="shared" si="1"/>
        <v>45862.994652406414</v>
      </c>
      <c r="AM18" s="125"/>
      <c r="AO18" s="124"/>
    </row>
    <row r="19" spans="18:42" x14ac:dyDescent="0.25">
      <c r="R19" s="242"/>
      <c r="S19" s="218"/>
      <c r="T19" s="11" t="s">
        <v>171</v>
      </c>
      <c r="U19" s="16"/>
      <c r="V19" s="17"/>
      <c r="W19" s="18"/>
      <c r="X19" s="131"/>
      <c r="Y19" s="181"/>
      <c r="Z19" s="13"/>
      <c r="AA19" s="13"/>
      <c r="AB19" s="162"/>
      <c r="AC19" s="150"/>
      <c r="AD19" s="99"/>
      <c r="AE19" s="6"/>
      <c r="AF19" s="163"/>
      <c r="AG19" s="55" t="s">
        <v>25</v>
      </c>
      <c r="AH19" s="99">
        <v>2400</v>
      </c>
      <c r="AI19" s="6">
        <v>12</v>
      </c>
      <c r="AJ19" s="198">
        <f t="shared" si="5"/>
        <v>28800</v>
      </c>
      <c r="AK19" s="150">
        <f t="shared" si="0"/>
        <v>12</v>
      </c>
      <c r="AL19" s="205">
        <f t="shared" si="1"/>
        <v>28800</v>
      </c>
      <c r="AM19" s="125"/>
      <c r="AO19" s="124"/>
    </row>
    <row r="20" spans="18:42" x14ac:dyDescent="0.25">
      <c r="R20" s="242"/>
      <c r="S20" s="218"/>
      <c r="T20" s="222" t="s">
        <v>17</v>
      </c>
      <c r="U20" s="222"/>
      <c r="V20" s="222"/>
      <c r="W20" s="222"/>
      <c r="X20" s="3">
        <f>X21</f>
        <v>3501.6412099999998</v>
      </c>
      <c r="Y20" s="179"/>
      <c r="Z20" s="42"/>
      <c r="AA20" s="42"/>
      <c r="AB20" s="180">
        <f>SUM(AB21:AB24)</f>
        <v>50000</v>
      </c>
      <c r="AC20" s="160"/>
      <c r="AD20" s="56"/>
      <c r="AE20" s="56"/>
      <c r="AF20" s="161">
        <f>SUM(AF21:AF22)</f>
        <v>50000</v>
      </c>
      <c r="AG20" s="153"/>
      <c r="AH20" s="133"/>
      <c r="AI20" s="133"/>
      <c r="AJ20" s="143">
        <f>SUM(AJ21:AJ24)</f>
        <v>83824.007651841224</v>
      </c>
      <c r="AK20" s="149"/>
      <c r="AL20" s="206">
        <f>SUM(AL21:AL24)</f>
        <v>187325.64886184124</v>
      </c>
      <c r="AM20" s="125"/>
    </row>
    <row r="21" spans="18:42" ht="30" x14ac:dyDescent="0.25">
      <c r="R21" s="242"/>
      <c r="S21" s="218"/>
      <c r="T21" s="5" t="s">
        <v>32</v>
      </c>
      <c r="U21" s="5" t="s">
        <v>33</v>
      </c>
      <c r="V21" s="5">
        <v>763.9</v>
      </c>
      <c r="W21" s="6">
        <v>4.5838999999999999</v>
      </c>
      <c r="X21" s="20">
        <f>(V21*W21)</f>
        <v>3501.6412099999998</v>
      </c>
      <c r="Y21" s="182"/>
      <c r="Z21" s="19"/>
      <c r="AA21" s="19"/>
      <c r="AB21" s="162">
        <f>AA21*Z21</f>
        <v>0</v>
      </c>
      <c r="AC21" s="150"/>
      <c r="AD21" s="6"/>
      <c r="AE21" s="6"/>
      <c r="AF21" s="162"/>
      <c r="AG21" s="55"/>
      <c r="AH21" s="6"/>
      <c r="AI21" s="6"/>
      <c r="AJ21" s="8"/>
      <c r="AK21" s="150">
        <f>W21+AA21+AE21+AI21</f>
        <v>4.5838999999999999</v>
      </c>
      <c r="AL21" s="205">
        <f>AB21+X21+AF21+AJ21</f>
        <v>3501.6412099999998</v>
      </c>
      <c r="AM21" s="125"/>
      <c r="AN21" s="124"/>
    </row>
    <row r="22" spans="18:42" ht="30" x14ac:dyDescent="0.25">
      <c r="R22" s="242"/>
      <c r="S22" s="218"/>
      <c r="T22" s="5" t="s">
        <v>34</v>
      </c>
      <c r="U22" s="5" t="s">
        <v>33</v>
      </c>
      <c r="V22" s="5"/>
      <c r="W22" s="6"/>
      <c r="X22" s="20">
        <f>(V22*W22)</f>
        <v>0</v>
      </c>
      <c r="Y22" s="165" t="s">
        <v>33</v>
      </c>
      <c r="Z22" s="5">
        <v>10000</v>
      </c>
      <c r="AA22" s="6">
        <v>5</v>
      </c>
      <c r="AB22" s="162">
        <f>AA22*Z22</f>
        <v>50000</v>
      </c>
      <c r="AC22" s="165" t="s">
        <v>33</v>
      </c>
      <c r="AD22" s="59">
        <v>10000</v>
      </c>
      <c r="AE22" s="6">
        <v>5</v>
      </c>
      <c r="AF22" s="163">
        <f>AE22*AD22</f>
        <v>50000</v>
      </c>
      <c r="AG22" s="155"/>
      <c r="AH22" s="59"/>
      <c r="AI22" s="6"/>
      <c r="AJ22" s="14">
        <f>AI22*AH22</f>
        <v>0</v>
      </c>
      <c r="AK22" s="150">
        <f>W22+AA22+AE22+AI22</f>
        <v>10</v>
      </c>
      <c r="AL22" s="205">
        <f>AB22+X22+AF22+AJ22</f>
        <v>100000</v>
      </c>
      <c r="AM22" s="125"/>
      <c r="AN22" s="124"/>
    </row>
    <row r="23" spans="18:42" x14ac:dyDescent="0.25">
      <c r="R23" s="242"/>
      <c r="S23" s="218"/>
      <c r="T23" s="138" t="s">
        <v>155</v>
      </c>
      <c r="V23" s="5"/>
      <c r="W23" s="6"/>
      <c r="X23" s="20"/>
      <c r="Y23" s="165"/>
      <c r="Z23" s="5"/>
      <c r="AA23" s="6"/>
      <c r="AB23" s="162"/>
      <c r="AC23" s="165"/>
      <c r="AD23" s="59"/>
      <c r="AE23" s="6"/>
      <c r="AF23" s="163"/>
      <c r="AG23" s="155" t="s">
        <v>119</v>
      </c>
      <c r="AH23" s="59">
        <f>(200000000/AN1)</f>
        <v>47824.007651841224</v>
      </c>
      <c r="AI23" s="6">
        <v>1</v>
      </c>
      <c r="AJ23" s="198">
        <f>AI23*AH23</f>
        <v>47824.007651841224</v>
      </c>
      <c r="AK23" s="150">
        <f>W23+AA23+AE23+AI23</f>
        <v>1</v>
      </c>
      <c r="AL23" s="205">
        <f>AB23+X23+AF23+AJ23</f>
        <v>47824.007651841224</v>
      </c>
      <c r="AM23" s="125"/>
    </row>
    <row r="24" spans="18:42" x14ac:dyDescent="0.25">
      <c r="R24" s="242"/>
      <c r="S24" s="218"/>
      <c r="T24" s="138" t="s">
        <v>154</v>
      </c>
      <c r="U24" s="5"/>
      <c r="V24" s="5"/>
      <c r="W24" s="6"/>
      <c r="X24" s="20"/>
      <c r="Y24" s="165"/>
      <c r="Z24" s="5"/>
      <c r="AA24" s="6"/>
      <c r="AB24" s="162"/>
      <c r="AC24" s="165"/>
      <c r="AD24" s="59"/>
      <c r="AE24" s="6"/>
      <c r="AF24" s="163"/>
      <c r="AG24" s="155" t="s">
        <v>158</v>
      </c>
      <c r="AH24" s="59">
        <v>2000</v>
      </c>
      <c r="AI24" s="6">
        <v>18</v>
      </c>
      <c r="AJ24" s="198">
        <f>AI24*AH24</f>
        <v>36000</v>
      </c>
      <c r="AK24" s="150">
        <f>W24+AA24+AE24+AI24</f>
        <v>18</v>
      </c>
      <c r="AL24" s="205">
        <f>AB24+X24+AF24+AJ24</f>
        <v>36000</v>
      </c>
      <c r="AM24" s="125"/>
    </row>
    <row r="25" spans="18:42" x14ac:dyDescent="0.25">
      <c r="R25" s="242"/>
      <c r="S25" s="218"/>
      <c r="T25" s="222" t="s">
        <v>35</v>
      </c>
      <c r="U25" s="222"/>
      <c r="V25" s="222"/>
      <c r="W25" s="222"/>
      <c r="X25" s="3">
        <f>X26</f>
        <v>7004.9723660400005</v>
      </c>
      <c r="Y25" s="179"/>
      <c r="Z25" s="42"/>
      <c r="AA25" s="42"/>
      <c r="AB25" s="180">
        <f>SUM(AB26:AB26)</f>
        <v>30261</v>
      </c>
      <c r="AC25" s="160"/>
      <c r="AD25" s="56"/>
      <c r="AE25" s="56"/>
      <c r="AF25" s="161">
        <f>SUM(AF26:AF26)</f>
        <v>0</v>
      </c>
      <c r="AG25" s="153"/>
      <c r="AH25" s="133"/>
      <c r="AI25" s="133"/>
      <c r="AJ25" s="143">
        <f>SUM(AJ26:AJ26)</f>
        <v>0</v>
      </c>
      <c r="AK25" s="149"/>
      <c r="AL25" s="206">
        <f>SUM(AL26:AL26)</f>
        <v>37265.972366039998</v>
      </c>
      <c r="AM25" s="125"/>
    </row>
    <row r="26" spans="18:42" x14ac:dyDescent="0.25">
      <c r="R26" s="242"/>
      <c r="S26" s="218"/>
      <c r="T26" s="4" t="s">
        <v>36</v>
      </c>
      <c r="U26" s="5" t="s">
        <v>37</v>
      </c>
      <c r="V26" s="5">
        <v>509.38</v>
      </c>
      <c r="W26" s="6">
        <v>13.751958</v>
      </c>
      <c r="X26" s="20">
        <f>V26*W26</f>
        <v>7004.9723660400005</v>
      </c>
      <c r="Y26" s="165" t="s">
        <v>37</v>
      </c>
      <c r="Z26" s="5">
        <v>504.35</v>
      </c>
      <c r="AA26" s="6">
        <v>60</v>
      </c>
      <c r="AB26" s="162">
        <f>AA26*Z26</f>
        <v>30261</v>
      </c>
      <c r="AC26" s="150"/>
      <c r="AD26" s="6"/>
      <c r="AE26" s="6"/>
      <c r="AF26" s="162"/>
      <c r="AG26" s="55"/>
      <c r="AH26" s="6"/>
      <c r="AI26" s="6"/>
      <c r="AJ26" s="8"/>
      <c r="AK26" s="150">
        <f>W26+AA26+AE26+AI26</f>
        <v>73.751958000000002</v>
      </c>
      <c r="AL26" s="205">
        <f>AB26+X26+AF26+AJ26</f>
        <v>37265.972366039998</v>
      </c>
      <c r="AM26" s="125"/>
      <c r="AN26" s="124"/>
      <c r="AP26" s="124"/>
    </row>
    <row r="27" spans="18:42" x14ac:dyDescent="0.25">
      <c r="R27" s="242"/>
      <c r="S27" s="218"/>
      <c r="T27" s="222" t="s">
        <v>38</v>
      </c>
      <c r="U27" s="222"/>
      <c r="V27" s="222"/>
      <c r="W27" s="222"/>
      <c r="X27" s="3">
        <f>SUM(X28,X29)</f>
        <v>2873789.9209401552</v>
      </c>
      <c r="Y27" s="179"/>
      <c r="Z27" s="42"/>
      <c r="AA27" s="42"/>
      <c r="AB27" s="180">
        <f>SUM(AB28:AB32)</f>
        <v>48358.06</v>
      </c>
      <c r="AC27" s="160"/>
      <c r="AD27" s="56"/>
      <c r="AE27" s="56"/>
      <c r="AF27" s="161">
        <f>AF28+AF29</f>
        <v>12587.45</v>
      </c>
      <c r="AG27" s="153"/>
      <c r="AH27" s="133"/>
      <c r="AI27" s="133"/>
      <c r="AJ27" s="143">
        <f>SUM(AJ28:AJ32)</f>
        <v>5039614.4971575588</v>
      </c>
      <c r="AK27" s="149"/>
      <c r="AL27" s="206">
        <f>SUM(AL28:AL32)</f>
        <v>7974349.9280977137</v>
      </c>
      <c r="AM27" s="125"/>
    </row>
    <row r="28" spans="18:42" ht="27.95" customHeight="1" x14ac:dyDescent="0.25">
      <c r="R28" s="242"/>
      <c r="S28" s="218"/>
      <c r="T28" s="137" t="s">
        <v>39</v>
      </c>
      <c r="U28" s="5" t="s">
        <v>40</v>
      </c>
      <c r="V28" s="5">
        <v>21950.15</v>
      </c>
      <c r="W28" s="6">
        <v>128</v>
      </c>
      <c r="X28" s="20">
        <f>V28*W28</f>
        <v>2809619.2</v>
      </c>
      <c r="Y28" s="165"/>
      <c r="Z28" s="5"/>
      <c r="AA28" s="6"/>
      <c r="AB28" s="162"/>
      <c r="AC28" s="150"/>
      <c r="AD28" s="6"/>
      <c r="AE28" s="6"/>
      <c r="AF28" s="162"/>
      <c r="AG28" s="55"/>
      <c r="AH28" s="6"/>
      <c r="AI28" s="6"/>
      <c r="AJ28" s="8"/>
      <c r="AK28" s="150">
        <f>W28+AA28+AE28+AI28</f>
        <v>128</v>
      </c>
      <c r="AL28" s="205">
        <f>AB28+X28+AF28+AJ28</f>
        <v>2809619.2</v>
      </c>
      <c r="AM28" s="125"/>
    </row>
    <row r="29" spans="18:42" ht="42" customHeight="1" x14ac:dyDescent="0.25">
      <c r="R29" s="242"/>
      <c r="S29" s="218"/>
      <c r="T29" s="4" t="s">
        <v>41</v>
      </c>
      <c r="U29" s="5" t="s">
        <v>40</v>
      </c>
      <c r="V29" s="5">
        <f>(X6+X8+X11+X20+X25+X28+X33+X77+X78)*0.02</f>
        <v>64170.720940154766</v>
      </c>
      <c r="W29" s="139">
        <v>1</v>
      </c>
      <c r="X29" s="20">
        <f>V29*W29</f>
        <v>64170.720940154766</v>
      </c>
      <c r="Y29" s="166" t="s">
        <v>41</v>
      </c>
      <c r="Z29" s="5">
        <v>48358.06</v>
      </c>
      <c r="AA29" s="7">
        <v>1</v>
      </c>
      <c r="AB29" s="162">
        <f>AA29*Z29</f>
        <v>48358.06</v>
      </c>
      <c r="AC29" s="166" t="s">
        <v>41</v>
      </c>
      <c r="AD29" s="5">
        <v>12587.45</v>
      </c>
      <c r="AE29" s="6">
        <v>1</v>
      </c>
      <c r="AF29" s="162">
        <f>AE29*AD29</f>
        <v>12587.45</v>
      </c>
      <c r="AG29" s="156" t="s">
        <v>41</v>
      </c>
      <c r="AH29" s="5">
        <v>157800</v>
      </c>
      <c r="AI29" s="6">
        <v>1</v>
      </c>
      <c r="AJ29" s="198">
        <f>AI29*AH29</f>
        <v>157800</v>
      </c>
      <c r="AK29" s="150">
        <f>W29+AA29+AE29+AI29</f>
        <v>4</v>
      </c>
      <c r="AL29" s="205">
        <f>AB29+X29+AF29+AJ29</f>
        <v>282916.23094015475</v>
      </c>
      <c r="AM29" s="125"/>
    </row>
    <row r="30" spans="18:42" ht="42" customHeight="1" x14ac:dyDescent="0.25">
      <c r="R30" s="242"/>
      <c r="S30" s="218"/>
      <c r="T30" s="136" t="s">
        <v>159</v>
      </c>
      <c r="U30" s="5"/>
      <c r="V30" s="5"/>
      <c r="W30" s="139"/>
      <c r="X30" s="20"/>
      <c r="Y30" s="166"/>
      <c r="Z30" s="5"/>
      <c r="AA30" s="7"/>
      <c r="AB30" s="162"/>
      <c r="AC30" s="166"/>
      <c r="AD30" s="5"/>
      <c r="AE30" s="6"/>
      <c r="AF30" s="162"/>
      <c r="AG30" s="155" t="s">
        <v>40</v>
      </c>
      <c r="AH30" s="5">
        <v>19177.795929470987</v>
      </c>
      <c r="AI30" s="6">
        <v>209</v>
      </c>
      <c r="AJ30" s="198">
        <f>AI30*AH30</f>
        <v>4008159.3492594361</v>
      </c>
      <c r="AK30" s="150">
        <f>W30+AA30+AE30+AI30</f>
        <v>209</v>
      </c>
      <c r="AL30" s="205">
        <f>AB30+X30+AF30+AJ30</f>
        <v>4008159.3492594361</v>
      </c>
      <c r="AM30" s="125"/>
    </row>
    <row r="31" spans="18:42" ht="42" customHeight="1" x14ac:dyDescent="0.25">
      <c r="R31" s="242"/>
      <c r="S31" s="218"/>
      <c r="T31" s="136" t="s">
        <v>160</v>
      </c>
      <c r="U31" s="5"/>
      <c r="V31" s="5"/>
      <c r="W31" s="139"/>
      <c r="X31" s="20"/>
      <c r="Y31" s="166"/>
      <c r="Z31" s="5"/>
      <c r="AA31" s="7"/>
      <c r="AB31" s="162"/>
      <c r="AC31" s="166"/>
      <c r="AD31" s="5"/>
      <c r="AE31" s="6"/>
      <c r="AF31" s="162"/>
      <c r="AG31" s="155" t="s">
        <v>40</v>
      </c>
      <c r="AH31" s="5">
        <v>7458.0317503498272</v>
      </c>
      <c r="AI31" s="6">
        <v>40</v>
      </c>
      <c r="AJ31" s="198">
        <f>AI31*AH31</f>
        <v>298321.27001399308</v>
      </c>
      <c r="AK31" s="150">
        <f>W31+AA31+AE31+AI31</f>
        <v>40</v>
      </c>
      <c r="AL31" s="205">
        <f>AB31+X31+AF31+AJ31</f>
        <v>298321.27001399308</v>
      </c>
      <c r="AM31" s="125"/>
    </row>
    <row r="32" spans="18:42" ht="72" customHeight="1" x14ac:dyDescent="0.25">
      <c r="R32" s="242"/>
      <c r="S32" s="219"/>
      <c r="T32" s="136" t="s">
        <v>161</v>
      </c>
      <c r="U32" s="5"/>
      <c r="V32" s="5"/>
      <c r="W32" s="139"/>
      <c r="X32" s="20"/>
      <c r="Y32" s="166"/>
      <c r="Z32" s="5"/>
      <c r="AA32" s="7"/>
      <c r="AB32" s="162"/>
      <c r="AC32" s="166"/>
      <c r="AD32" s="5"/>
      <c r="AE32" s="6"/>
      <c r="AF32" s="162"/>
      <c r="AG32" s="155" t="s">
        <v>40</v>
      </c>
      <c r="AH32" s="5">
        <v>19177.795929470984</v>
      </c>
      <c r="AI32" s="6">
        <v>30</v>
      </c>
      <c r="AJ32" s="198">
        <f>AI32*AH32</f>
        <v>575333.87788412953</v>
      </c>
      <c r="AK32" s="150">
        <f>W32+AA32+AE32+AI32</f>
        <v>30</v>
      </c>
      <c r="AL32" s="205">
        <f>AB32+X32+AF32+AJ32</f>
        <v>575333.87788412953</v>
      </c>
      <c r="AM32" s="125"/>
    </row>
    <row r="33" spans="18:41" ht="14.45" customHeight="1" x14ac:dyDescent="0.25">
      <c r="R33" s="242"/>
      <c r="S33" s="214" t="s">
        <v>42</v>
      </c>
      <c r="T33" s="222" t="s">
        <v>17</v>
      </c>
      <c r="U33" s="222"/>
      <c r="V33" s="222"/>
      <c r="W33" s="222"/>
      <c r="X33" s="3">
        <f>X34</f>
        <v>127592.89041738724</v>
      </c>
      <c r="Y33" s="179"/>
      <c r="Z33" s="42"/>
      <c r="AA33" s="42"/>
      <c r="AB33" s="180">
        <f>SUM(AB34)</f>
        <v>0</v>
      </c>
      <c r="AC33" s="160"/>
      <c r="AD33" s="56"/>
      <c r="AE33" s="56"/>
      <c r="AF33" s="161"/>
      <c r="AG33" s="153"/>
      <c r="AH33" s="133"/>
      <c r="AI33" s="133"/>
      <c r="AJ33" s="143">
        <f>SUM(AJ34:AJ35)</f>
        <v>441255.1787572992</v>
      </c>
      <c r="AK33" s="149"/>
      <c r="AL33" s="206">
        <f>SUM(AL34:AL35)</f>
        <v>568848.06917468645</v>
      </c>
      <c r="AM33" s="125"/>
    </row>
    <row r="34" spans="18:41" ht="56.25" customHeight="1" x14ac:dyDescent="0.25">
      <c r="R34" s="242"/>
      <c r="S34" s="215"/>
      <c r="T34" s="4" t="s">
        <v>43</v>
      </c>
      <c r="U34" s="5" t="s">
        <v>33</v>
      </c>
      <c r="V34" s="5">
        <v>42530.963472462412</v>
      </c>
      <c r="W34" s="6">
        <v>3</v>
      </c>
      <c r="X34" s="20">
        <f>V34*W34</f>
        <v>127592.89041738724</v>
      </c>
      <c r="Y34" s="171"/>
      <c r="Z34" s="7"/>
      <c r="AA34" s="7"/>
      <c r="AB34" s="162">
        <f>AA34*Z34</f>
        <v>0</v>
      </c>
      <c r="AC34" s="150"/>
      <c r="AD34" s="6"/>
      <c r="AE34" s="6"/>
      <c r="AF34" s="162"/>
      <c r="AG34" s="55"/>
      <c r="AH34" s="6"/>
      <c r="AI34" s="6"/>
      <c r="AJ34" s="8"/>
      <c r="AK34" s="150">
        <f>W34+AA34+AE34+AI34</f>
        <v>3</v>
      </c>
      <c r="AL34" s="205">
        <f>AB34+X34+AF34+AJ34</f>
        <v>127592.89041738724</v>
      </c>
      <c r="AM34" s="125"/>
      <c r="AN34" s="124"/>
      <c r="AO34" s="125"/>
    </row>
    <row r="35" spans="18:41" ht="89.45" customHeight="1" x14ac:dyDescent="0.25">
      <c r="R35" s="242"/>
      <c r="S35" s="216"/>
      <c r="T35" s="136" t="s">
        <v>162</v>
      </c>
      <c r="U35" s="5"/>
      <c r="V35" s="5"/>
      <c r="W35" s="6"/>
      <c r="X35" s="20"/>
      <c r="Y35" s="171"/>
      <c r="Z35" s="7"/>
      <c r="AA35" s="7"/>
      <c r="AB35" s="162"/>
      <c r="AC35" s="150"/>
      <c r="AD35" s="6"/>
      <c r="AE35" s="6"/>
      <c r="AF35" s="162"/>
      <c r="AG35" s="155" t="s">
        <v>119</v>
      </c>
      <c r="AH35" s="6">
        <v>73542.529792883201</v>
      </c>
      <c r="AI35" s="6">
        <v>6</v>
      </c>
      <c r="AJ35" s="198">
        <f>AI35*AH35</f>
        <v>441255.1787572992</v>
      </c>
      <c r="AK35" s="150">
        <f>W35+AA35+AE35+AI35</f>
        <v>6</v>
      </c>
      <c r="AL35" s="205">
        <f>AB35+X35+AF35+AJ35</f>
        <v>441255.1787572992</v>
      </c>
      <c r="AM35" s="125"/>
      <c r="AN35" s="124"/>
      <c r="AO35" s="125"/>
    </row>
    <row r="36" spans="18:41" x14ac:dyDescent="0.25">
      <c r="R36" s="243"/>
      <c r="S36" s="223" t="s">
        <v>44</v>
      </c>
      <c r="T36" s="224"/>
      <c r="U36" s="224"/>
      <c r="V36" s="224"/>
      <c r="W36" s="225"/>
      <c r="X36" s="174">
        <f>X6+X8+X11+X20+X25+X27+X33</f>
        <v>3227706.7679478931</v>
      </c>
      <c r="Y36" s="183"/>
      <c r="Z36" s="43"/>
      <c r="AA36" s="43"/>
      <c r="AB36" s="184">
        <f>AB6+AB8+AB11+AB20+AB25+AB27+AB33</f>
        <v>153651.06</v>
      </c>
      <c r="AC36" s="167"/>
      <c r="AD36" s="57"/>
      <c r="AE36" s="57"/>
      <c r="AF36" s="168">
        <f>AF6+AF8+AF11+AF20+AF25+AF27+AF33</f>
        <v>118495.45</v>
      </c>
      <c r="AG36" s="157"/>
      <c r="AH36" s="134"/>
      <c r="AI36" s="134"/>
      <c r="AJ36" s="144">
        <f>AJ6+AJ8+AJ11+AJ20+AJ25+AJ27+AJ33</f>
        <v>6173587.1440827921</v>
      </c>
      <c r="AK36" s="151"/>
      <c r="AL36" s="207">
        <f>AL6+AL8+AL11+AL20+AL25+AL27+AL33</f>
        <v>9673440.4220306836</v>
      </c>
      <c r="AM36" s="125"/>
    </row>
    <row r="37" spans="18:41" ht="24" customHeight="1" x14ac:dyDescent="0.25">
      <c r="R37" s="241" t="s">
        <v>45</v>
      </c>
      <c r="S37" s="217" t="s">
        <v>46</v>
      </c>
      <c r="T37" s="222" t="s">
        <v>38</v>
      </c>
      <c r="U37" s="222"/>
      <c r="V37" s="222"/>
      <c r="W37" s="222"/>
      <c r="X37" s="3">
        <f>SUM(X38,X39)</f>
        <v>180219.59351908969</v>
      </c>
      <c r="Y37" s="185"/>
      <c r="Z37" s="2"/>
      <c r="AA37" s="2"/>
      <c r="AB37" s="186">
        <f>SUM(AB38:AB39)</f>
        <v>404.8</v>
      </c>
      <c r="AC37" s="160"/>
      <c r="AD37" s="56"/>
      <c r="AE37" s="56"/>
      <c r="AF37" s="161">
        <f>SUM(AF38:AF39)</f>
        <v>3945</v>
      </c>
      <c r="AG37" s="153"/>
      <c r="AH37" s="133"/>
      <c r="AI37" s="133"/>
      <c r="AJ37" s="143">
        <f>SUM(AJ38:AJ39)</f>
        <v>0</v>
      </c>
      <c r="AK37" s="149"/>
      <c r="AL37" s="206">
        <f>SUM(AL38:AL39)</f>
        <v>184569.39351908967</v>
      </c>
      <c r="AM37" s="125"/>
      <c r="AN37" s="125"/>
    </row>
    <row r="38" spans="18:41" ht="67.5" customHeight="1" x14ac:dyDescent="0.25">
      <c r="R38" s="242"/>
      <c r="S38" s="218"/>
      <c r="T38" s="4" t="s">
        <v>47</v>
      </c>
      <c r="U38" s="5" t="s">
        <v>48</v>
      </c>
      <c r="V38" s="5">
        <v>16219.489457601399</v>
      </c>
      <c r="W38" s="6">
        <v>10</v>
      </c>
      <c r="X38" s="20">
        <f>V38*W38</f>
        <v>162194.89457601399</v>
      </c>
      <c r="Y38" s="171"/>
      <c r="Z38" s="7"/>
      <c r="AA38" s="7"/>
      <c r="AB38" s="162">
        <f>AA38*Z38</f>
        <v>0</v>
      </c>
      <c r="AC38" s="150"/>
      <c r="AD38" s="6"/>
      <c r="AE38" s="6">
        <v>0</v>
      </c>
      <c r="AF38" s="169">
        <f>AE38*AD38</f>
        <v>0</v>
      </c>
      <c r="AG38" s="55"/>
      <c r="AH38" s="6"/>
      <c r="AI38" s="6">
        <v>0</v>
      </c>
      <c r="AJ38" s="145">
        <f>AI38*AH38</f>
        <v>0</v>
      </c>
      <c r="AK38" s="150">
        <f>W38+AA38+AE38+AI38</f>
        <v>10</v>
      </c>
      <c r="AL38" s="205">
        <f>AB38+X38+AF38+AJ38</f>
        <v>162194.89457601399</v>
      </c>
      <c r="AM38" s="125"/>
    </row>
    <row r="39" spans="18:41" ht="54.75" customHeight="1" x14ac:dyDescent="0.25">
      <c r="R39" s="242"/>
      <c r="S39" s="219"/>
      <c r="T39" s="58" t="s">
        <v>41</v>
      </c>
      <c r="U39" s="17" t="s">
        <v>40</v>
      </c>
      <c r="V39" s="5">
        <f>(X38+X40+X42+X44+X46+X48+X53)*0.02</f>
        <v>18024.698943075695</v>
      </c>
      <c r="W39" s="6">
        <v>1</v>
      </c>
      <c r="X39" s="20">
        <f>W39*V39</f>
        <v>18024.698943075695</v>
      </c>
      <c r="Y39" s="166" t="s">
        <v>41</v>
      </c>
      <c r="Z39" s="17">
        <v>404.8</v>
      </c>
      <c r="AA39" s="13">
        <v>1</v>
      </c>
      <c r="AB39" s="163">
        <f>AA39*Z39</f>
        <v>404.8</v>
      </c>
      <c r="AC39" s="166" t="s">
        <v>41</v>
      </c>
      <c r="AD39" s="5">
        <v>3945</v>
      </c>
      <c r="AE39" s="6">
        <v>1</v>
      </c>
      <c r="AF39" s="162">
        <f>AE39*AD39</f>
        <v>3945</v>
      </c>
      <c r="AG39" s="156"/>
      <c r="AH39" s="5"/>
      <c r="AI39" s="6"/>
      <c r="AJ39" s="8">
        <f>AI39*AH39</f>
        <v>0</v>
      </c>
      <c r="AK39" s="150">
        <f>W39+AA39+AE39+AI39</f>
        <v>3</v>
      </c>
      <c r="AL39" s="205">
        <f>AB39+X39+AF39+AJ39</f>
        <v>22374.498943075694</v>
      </c>
      <c r="AM39" s="125"/>
    </row>
    <row r="40" spans="18:41" ht="24" customHeight="1" x14ac:dyDescent="0.25">
      <c r="R40" s="242"/>
      <c r="S40" s="258" t="s">
        <v>49</v>
      </c>
      <c r="T40" s="222" t="s">
        <v>17</v>
      </c>
      <c r="U40" s="222"/>
      <c r="V40" s="222"/>
      <c r="W40" s="222"/>
      <c r="X40" s="3">
        <f>X41</f>
        <v>3501.8991596638639</v>
      </c>
      <c r="Y40" s="179"/>
      <c r="Z40" s="42"/>
      <c r="AA40" s="42"/>
      <c r="AB40" s="180">
        <f>SUM(AB41)</f>
        <v>0</v>
      </c>
      <c r="AC40" s="160"/>
      <c r="AD40" s="56"/>
      <c r="AE40" s="56"/>
      <c r="AF40" s="161">
        <f>SUM(AF41)</f>
        <v>74808.599999999991</v>
      </c>
      <c r="AG40" s="153"/>
      <c r="AH40" s="133"/>
      <c r="AI40" s="133"/>
      <c r="AJ40" s="143">
        <f>SUM(AJ41)</f>
        <v>0</v>
      </c>
      <c r="AK40" s="149"/>
      <c r="AL40" s="206">
        <f>SUM(AL41)</f>
        <v>78310.499159663857</v>
      </c>
      <c r="AM40" s="125"/>
    </row>
    <row r="41" spans="18:41" ht="30" x14ac:dyDescent="0.25">
      <c r="R41" s="242"/>
      <c r="S41" s="258"/>
      <c r="T41" s="5" t="s">
        <v>50</v>
      </c>
      <c r="U41" s="5" t="s">
        <v>51</v>
      </c>
      <c r="V41" s="5">
        <v>763.94193887445886</v>
      </c>
      <c r="W41" s="6">
        <v>4.5839860092290898</v>
      </c>
      <c r="X41" s="20">
        <f>V41*W41</f>
        <v>3501.8991596638639</v>
      </c>
      <c r="Y41" s="171"/>
      <c r="Z41" s="7"/>
      <c r="AA41" s="7"/>
      <c r="AB41" s="162">
        <f>AA41*Z41</f>
        <v>0</v>
      </c>
      <c r="AC41" s="150" t="s">
        <v>33</v>
      </c>
      <c r="AD41" s="6">
        <v>7480.86</v>
      </c>
      <c r="AE41" s="6">
        <v>10</v>
      </c>
      <c r="AF41" s="163">
        <f>AE41*AD41</f>
        <v>74808.599999999991</v>
      </c>
      <c r="AG41" s="55"/>
      <c r="AH41" s="6"/>
      <c r="AI41" s="6"/>
      <c r="AJ41" s="14">
        <f>AI41*AH41</f>
        <v>0</v>
      </c>
      <c r="AK41" s="150">
        <f>W41+AA41+AE41+AI41</f>
        <v>14.58398600922909</v>
      </c>
      <c r="AL41" s="205">
        <f>AB41+X41+AF41+AJ41</f>
        <v>78310.499159663857</v>
      </c>
      <c r="AM41" s="125"/>
    </row>
    <row r="42" spans="18:41" ht="24" customHeight="1" x14ac:dyDescent="0.25">
      <c r="R42" s="242"/>
      <c r="S42" s="258"/>
      <c r="T42" s="222" t="s">
        <v>35</v>
      </c>
      <c r="U42" s="222"/>
      <c r="V42" s="222"/>
      <c r="W42" s="222"/>
      <c r="X42" s="3">
        <f>X43</f>
        <v>7003.7983193272494</v>
      </c>
      <c r="Y42" s="179"/>
      <c r="Z42" s="42"/>
      <c r="AA42" s="42"/>
      <c r="AB42" s="180">
        <f>SUM(AB43)</f>
        <v>20240.288</v>
      </c>
      <c r="AC42" s="160"/>
      <c r="AD42" s="56"/>
      <c r="AE42" s="56"/>
      <c r="AF42" s="161">
        <f>SUM(AF43)</f>
        <v>24316.63</v>
      </c>
      <c r="AG42" s="153"/>
      <c r="AH42" s="133"/>
      <c r="AI42" s="133"/>
      <c r="AJ42" s="143">
        <f>SUM(AJ43)</f>
        <v>0</v>
      </c>
      <c r="AK42" s="149"/>
      <c r="AL42" s="206">
        <f>SUM(AL43)</f>
        <v>51560.71631932725</v>
      </c>
      <c r="AM42" s="125"/>
    </row>
    <row r="43" spans="18:41" x14ac:dyDescent="0.25">
      <c r="R43" s="242"/>
      <c r="S43" s="258"/>
      <c r="T43" s="4" t="s">
        <v>36</v>
      </c>
      <c r="U43" s="5" t="s">
        <v>37</v>
      </c>
      <c r="V43" s="5">
        <v>509.29462694165073</v>
      </c>
      <c r="W43" s="6">
        <v>13.751958</v>
      </c>
      <c r="X43" s="20">
        <f>V43*W43</f>
        <v>7003.7983193272494</v>
      </c>
      <c r="Y43" s="165" t="s">
        <v>37</v>
      </c>
      <c r="Z43" s="5">
        <v>506.00720000000001</v>
      </c>
      <c r="AA43" s="6">
        <v>40</v>
      </c>
      <c r="AB43" s="162">
        <f>AA43*Z43</f>
        <v>20240.288</v>
      </c>
      <c r="AC43" s="150" t="s">
        <v>33</v>
      </c>
      <c r="AD43" s="6">
        <v>2431.663</v>
      </c>
      <c r="AE43" s="6">
        <v>10</v>
      </c>
      <c r="AF43" s="163">
        <f>AE43*AD43</f>
        <v>24316.63</v>
      </c>
      <c r="AG43" s="55"/>
      <c r="AH43" s="6"/>
      <c r="AI43" s="6"/>
      <c r="AJ43" s="14">
        <f>AI43*AH43</f>
        <v>0</v>
      </c>
      <c r="AK43" s="150">
        <f>W43+AA43+AE43+AI43</f>
        <v>63.751958000000002</v>
      </c>
      <c r="AL43" s="205">
        <f>AB43+X43+AF43+AJ43</f>
        <v>51560.71631932725</v>
      </c>
      <c r="AM43" s="125"/>
    </row>
    <row r="44" spans="18:41" ht="24" customHeight="1" x14ac:dyDescent="0.25">
      <c r="R44" s="242"/>
      <c r="S44" s="258"/>
      <c r="T44" s="222" t="s">
        <v>38</v>
      </c>
      <c r="U44" s="222"/>
      <c r="V44" s="222"/>
      <c r="W44" s="222"/>
      <c r="X44" s="3">
        <f>X45</f>
        <v>403915.05893557426</v>
      </c>
      <c r="Y44" s="179"/>
      <c r="Z44" s="42"/>
      <c r="AA44" s="42"/>
      <c r="AB44" s="180">
        <f>SUM(AB45:AB45)</f>
        <v>0</v>
      </c>
      <c r="AC44" s="160"/>
      <c r="AD44" s="56"/>
      <c r="AE44" s="56"/>
      <c r="AF44" s="161">
        <f>SUM(AF45:AF45)</f>
        <v>0</v>
      </c>
      <c r="AG44" s="153"/>
      <c r="AH44" s="133"/>
      <c r="AI44" s="133"/>
      <c r="AJ44" s="143">
        <f>SUM(AJ45:AJ45)</f>
        <v>0</v>
      </c>
      <c r="AK44" s="149"/>
      <c r="AL44" s="206">
        <f>SUM(AL45:AL45)</f>
        <v>403915.05893557426</v>
      </c>
      <c r="AM44" s="125"/>
    </row>
    <row r="45" spans="18:41" ht="40.5" customHeight="1" x14ac:dyDescent="0.25">
      <c r="R45" s="242"/>
      <c r="S45" s="258"/>
      <c r="T45" s="4" t="s">
        <v>52</v>
      </c>
      <c r="U45" s="5" t="s">
        <v>48</v>
      </c>
      <c r="V45" s="5">
        <v>18359.775406162466</v>
      </c>
      <c r="W45" s="6">
        <v>22</v>
      </c>
      <c r="X45" s="20">
        <f>V45*W45</f>
        <v>403915.05893557426</v>
      </c>
      <c r="Y45" s="171"/>
      <c r="Z45" s="7"/>
      <c r="AA45" s="7"/>
      <c r="AB45" s="162">
        <f>AA45*Z45</f>
        <v>0</v>
      </c>
      <c r="AC45" s="150"/>
      <c r="AD45" s="6"/>
      <c r="AE45" s="6"/>
      <c r="AF45" s="162"/>
      <c r="AG45" s="55"/>
      <c r="AH45" s="6"/>
      <c r="AI45" s="6"/>
      <c r="AJ45" s="8"/>
      <c r="AK45" s="150">
        <f>W45+AA45+AE45+AI45</f>
        <v>22</v>
      </c>
      <c r="AL45" s="205">
        <f>AB45+X45+AF45+AJ45</f>
        <v>403915.05893557426</v>
      </c>
      <c r="AM45" s="125"/>
    </row>
    <row r="46" spans="18:41" ht="24" customHeight="1" x14ac:dyDescent="0.25">
      <c r="R46" s="242"/>
      <c r="S46" s="258" t="s">
        <v>53</v>
      </c>
      <c r="T46" s="222" t="s">
        <v>17</v>
      </c>
      <c r="U46" s="222"/>
      <c r="V46" s="222"/>
      <c r="W46" s="222"/>
      <c r="X46" s="3">
        <f>X47</f>
        <v>47313.011060073281</v>
      </c>
      <c r="Y46" s="185"/>
      <c r="Z46" s="2"/>
      <c r="AA46" s="2"/>
      <c r="AB46" s="186">
        <f>SUM(AB47)</f>
        <v>0</v>
      </c>
      <c r="AC46" s="160"/>
      <c r="AD46" s="56"/>
      <c r="AE46" s="56"/>
      <c r="AF46" s="161">
        <f>SUM(AF47)</f>
        <v>0</v>
      </c>
      <c r="AG46" s="153"/>
      <c r="AH46" s="133"/>
      <c r="AI46" s="133"/>
      <c r="AJ46" s="143">
        <f>SUM(AJ47)</f>
        <v>0</v>
      </c>
      <c r="AK46" s="149"/>
      <c r="AL46" s="206">
        <f>SUM(AL47)</f>
        <v>47313.011060073281</v>
      </c>
      <c r="AM46" s="125"/>
    </row>
    <row r="47" spans="18:41" ht="94.5" customHeight="1" x14ac:dyDescent="0.25">
      <c r="R47" s="242"/>
      <c r="S47" s="258"/>
      <c r="T47" s="4" t="s">
        <v>54</v>
      </c>
      <c r="U47" s="5" t="s">
        <v>19</v>
      </c>
      <c r="V47" s="5">
        <v>47313.011060073281</v>
      </c>
      <c r="W47" s="6">
        <v>1</v>
      </c>
      <c r="X47" s="20">
        <f>V47*W47</f>
        <v>47313.011060073281</v>
      </c>
      <c r="Y47" s="171"/>
      <c r="Z47" s="7"/>
      <c r="AA47" s="7"/>
      <c r="AB47" s="162">
        <f>AA47*Z47</f>
        <v>0</v>
      </c>
      <c r="AC47" s="150"/>
      <c r="AD47" s="99"/>
      <c r="AE47" s="99"/>
      <c r="AF47" s="169">
        <f>AE47*AD47</f>
        <v>0</v>
      </c>
      <c r="AG47" s="55"/>
      <c r="AH47" s="99"/>
      <c r="AI47" s="99"/>
      <c r="AJ47" s="145">
        <f>AI47*AH47</f>
        <v>0</v>
      </c>
      <c r="AK47" s="150">
        <f>W47+AA47+AE47+AI47</f>
        <v>1</v>
      </c>
      <c r="AL47" s="205">
        <f>AB47+X47+AF47+AJ47</f>
        <v>47313.011060073281</v>
      </c>
      <c r="AM47" s="125"/>
    </row>
    <row r="48" spans="18:41" ht="14.45" customHeight="1" x14ac:dyDescent="0.25">
      <c r="R48" s="242"/>
      <c r="S48" s="220" t="s">
        <v>55</v>
      </c>
      <c r="T48" s="222" t="s">
        <v>17</v>
      </c>
      <c r="U48" s="222"/>
      <c r="V48" s="222"/>
      <c r="W48" s="222"/>
      <c r="X48" s="3">
        <f>X52</f>
        <v>277306.28510313213</v>
      </c>
      <c r="Y48" s="185"/>
      <c r="Z48" s="2"/>
      <c r="AA48" s="2"/>
      <c r="AB48" s="186">
        <f>SUM(AB49:AB50)</f>
        <v>230000</v>
      </c>
      <c r="AC48" s="160"/>
      <c r="AD48" s="56"/>
      <c r="AE48" s="56"/>
      <c r="AF48" s="161">
        <f>SUM(AF49)</f>
        <v>64145</v>
      </c>
      <c r="AG48" s="153"/>
      <c r="AH48" s="133"/>
      <c r="AI48" s="133"/>
      <c r="AJ48" s="143">
        <f>SUM(AJ49)</f>
        <v>0</v>
      </c>
      <c r="AK48" s="149"/>
      <c r="AL48" s="206">
        <f>SUM(AL49:AL50)</f>
        <v>294145</v>
      </c>
      <c r="AM48" s="125"/>
    </row>
    <row r="49" spans="18:39" x14ac:dyDescent="0.25">
      <c r="R49" s="242"/>
      <c r="S49" s="221"/>
      <c r="T49" s="4" t="s">
        <v>54</v>
      </c>
      <c r="U49" s="5"/>
      <c r="V49" s="5"/>
      <c r="W49" s="6"/>
      <c r="X49" s="20">
        <f>V49*W49</f>
        <v>0</v>
      </c>
      <c r="Y49" s="171"/>
      <c r="Z49" s="7"/>
      <c r="AA49" s="7"/>
      <c r="AB49" s="162">
        <f>AA49*Z49</f>
        <v>0</v>
      </c>
      <c r="AC49" s="150" t="s">
        <v>19</v>
      </c>
      <c r="AD49" s="18">
        <v>64145</v>
      </c>
      <c r="AE49" s="99">
        <v>1</v>
      </c>
      <c r="AF49" s="163">
        <f>AE49*AD49</f>
        <v>64145</v>
      </c>
      <c r="AG49" s="55"/>
      <c r="AH49" s="18"/>
      <c r="AI49" s="99"/>
      <c r="AJ49" s="14">
        <f>AI49*AH49</f>
        <v>0</v>
      </c>
      <c r="AK49" s="150">
        <f>W49+AA49+AE49+AI49</f>
        <v>1</v>
      </c>
      <c r="AL49" s="205">
        <f>AB49+X49+AF49+AJ49</f>
        <v>64145</v>
      </c>
      <c r="AM49" s="125"/>
    </row>
    <row r="50" spans="18:39" x14ac:dyDescent="0.25">
      <c r="R50" s="242"/>
      <c r="S50" s="221"/>
      <c r="T50" s="4" t="s">
        <v>188</v>
      </c>
      <c r="U50" s="5"/>
      <c r="V50" s="5"/>
      <c r="W50" s="6"/>
      <c r="X50" s="20"/>
      <c r="Y50" s="5" t="s">
        <v>19</v>
      </c>
      <c r="Z50" s="5">
        <v>115000</v>
      </c>
      <c r="AA50" s="6">
        <v>2</v>
      </c>
      <c r="AB50" s="162">
        <f>AA50*Z50</f>
        <v>230000</v>
      </c>
      <c r="AC50" s="150"/>
      <c r="AD50" s="18"/>
      <c r="AE50" s="99"/>
      <c r="AF50" s="163"/>
      <c r="AG50" s="55"/>
      <c r="AH50" s="18"/>
      <c r="AI50" s="99"/>
      <c r="AJ50" s="14"/>
      <c r="AK50" s="150"/>
      <c r="AL50" s="205">
        <f>AB50+X50+AF50+AJ50</f>
        <v>230000</v>
      </c>
      <c r="AM50" s="125"/>
    </row>
    <row r="51" spans="18:39" x14ac:dyDescent="0.25">
      <c r="R51" s="242"/>
      <c r="S51" s="221"/>
      <c r="T51" s="222" t="s">
        <v>38</v>
      </c>
      <c r="U51" s="222"/>
      <c r="V51" s="222"/>
      <c r="W51" s="222"/>
      <c r="X51" s="3">
        <f>X53</f>
        <v>0</v>
      </c>
      <c r="Y51" s="185"/>
      <c r="Z51" s="2"/>
      <c r="AA51" s="2"/>
      <c r="AB51" s="186">
        <f>SUM(AB52:AB53)</f>
        <v>1934189.9499999955</v>
      </c>
      <c r="AC51" s="160"/>
      <c r="AD51" s="56"/>
      <c r="AE51" s="56"/>
      <c r="AF51" s="161">
        <f>SUM(AF52:AF52)</f>
        <v>137714</v>
      </c>
      <c r="AG51" s="153"/>
      <c r="AH51" s="133"/>
      <c r="AI51" s="133"/>
      <c r="AJ51" s="143">
        <f>SUM(AJ52:AJ52)</f>
        <v>0</v>
      </c>
      <c r="AK51" s="149"/>
      <c r="AL51" s="206">
        <f>SUM(AL52:AL52)</f>
        <v>2349210.2351031275</v>
      </c>
      <c r="AM51" s="125"/>
    </row>
    <row r="52" spans="18:39" ht="84.6" customHeight="1" x14ac:dyDescent="0.25">
      <c r="R52" s="242"/>
      <c r="S52" s="221"/>
      <c r="T52" s="4" t="s">
        <v>56</v>
      </c>
      <c r="U52" s="59" t="s">
        <v>48</v>
      </c>
      <c r="V52" s="5">
        <v>6932.6571275783035</v>
      </c>
      <c r="W52" s="6">
        <v>40</v>
      </c>
      <c r="X52" s="20">
        <f>V52*W52</f>
        <v>277306.28510313213</v>
      </c>
      <c r="Y52" s="165" t="s">
        <v>40</v>
      </c>
      <c r="Z52" s="5">
        <v>19537.272222222178</v>
      </c>
      <c r="AA52" s="6">
        <v>99</v>
      </c>
      <c r="AB52" s="162">
        <f>AA52*Z52</f>
        <v>1934189.9499999955</v>
      </c>
      <c r="AC52" s="150" t="s">
        <v>48</v>
      </c>
      <c r="AD52" s="18">
        <v>137714</v>
      </c>
      <c r="AE52" s="6">
        <v>1</v>
      </c>
      <c r="AF52" s="163">
        <f>AE52*AD52</f>
        <v>137714</v>
      </c>
      <c r="AG52" s="55"/>
      <c r="AH52" s="18"/>
      <c r="AI52" s="6"/>
      <c r="AJ52" s="14">
        <f>AI52*AH52</f>
        <v>0</v>
      </c>
      <c r="AK52" s="150">
        <f>W52+AA52+AE52+AI52</f>
        <v>140</v>
      </c>
      <c r="AL52" s="205">
        <f>AB52+X52+AF52+AJ52</f>
        <v>2349210.2351031275</v>
      </c>
      <c r="AM52" s="125"/>
    </row>
    <row r="53" spans="18:39" ht="15" customHeight="1" x14ac:dyDescent="0.25">
      <c r="R53" s="242"/>
      <c r="S53" s="214" t="s">
        <v>57</v>
      </c>
      <c r="T53" s="259" t="s">
        <v>17</v>
      </c>
      <c r="U53" s="260"/>
      <c r="V53" s="260"/>
      <c r="W53" s="261"/>
      <c r="X53" s="175"/>
      <c r="Y53" s="185"/>
      <c r="Z53" s="2"/>
      <c r="AA53" s="2"/>
      <c r="AB53" s="186">
        <f>AB54</f>
        <v>0</v>
      </c>
      <c r="AC53" s="160"/>
      <c r="AD53" s="56"/>
      <c r="AE53" s="56"/>
      <c r="AF53" s="161">
        <f>SUM(AF54)</f>
        <v>500000</v>
      </c>
      <c r="AG53" s="153"/>
      <c r="AH53" s="133"/>
      <c r="AI53" s="133"/>
      <c r="AJ53" s="143">
        <f>SUM(AJ54)</f>
        <v>0</v>
      </c>
      <c r="AK53" s="149"/>
      <c r="AL53" s="206">
        <f>SUM(AL54:AL54)</f>
        <v>500000</v>
      </c>
      <c r="AM53" s="125"/>
    </row>
    <row r="54" spans="18:39" ht="92.25" customHeight="1" x14ac:dyDescent="0.25">
      <c r="R54" s="242"/>
      <c r="S54" s="216"/>
      <c r="T54" s="58" t="s">
        <v>58</v>
      </c>
      <c r="U54" s="59"/>
      <c r="V54" s="5"/>
      <c r="W54" s="6"/>
      <c r="X54" s="20"/>
      <c r="Y54" s="171"/>
      <c r="Z54" s="7"/>
      <c r="AA54" s="7"/>
      <c r="AB54" s="162"/>
      <c r="AC54" s="150" t="s">
        <v>59</v>
      </c>
      <c r="AD54" s="18">
        <v>500000</v>
      </c>
      <c r="AE54" s="6">
        <v>1</v>
      </c>
      <c r="AF54" s="163">
        <f>AE54*AD54</f>
        <v>500000</v>
      </c>
      <c r="AG54" s="55"/>
      <c r="AH54" s="18"/>
      <c r="AI54" s="6"/>
      <c r="AJ54" s="14">
        <f>AI54*AH54</f>
        <v>0</v>
      </c>
      <c r="AK54" s="150">
        <f>W54+AA54+AE54+AI54</f>
        <v>1</v>
      </c>
      <c r="AL54" s="205">
        <f>AB54+X54+AF54+AJ54</f>
        <v>500000</v>
      </c>
      <c r="AM54" s="125"/>
    </row>
    <row r="55" spans="18:39" ht="13.5" customHeight="1" x14ac:dyDescent="0.25">
      <c r="R55" s="243"/>
      <c r="S55" s="223" t="s">
        <v>60</v>
      </c>
      <c r="T55" s="224"/>
      <c r="U55" s="224"/>
      <c r="V55" s="224"/>
      <c r="W55" s="225"/>
      <c r="X55" s="174">
        <f>X37+X40+X42+X44+X46+X48+X53</f>
        <v>919259.64609686041</v>
      </c>
      <c r="Y55" s="183"/>
      <c r="Z55" s="43"/>
      <c r="AA55" s="43"/>
      <c r="AB55" s="184">
        <f>AB37+AB40+AB42+AB44+AB46+AB51+AB48</f>
        <v>2184835.0379999955</v>
      </c>
      <c r="AC55" s="167"/>
      <c r="AD55" s="57"/>
      <c r="AE55" s="57"/>
      <c r="AF55" s="170">
        <f>AF37+AF40+AF42+AF44+AF46+AF48+AF51+AF53</f>
        <v>804929.23</v>
      </c>
      <c r="AG55" s="157"/>
      <c r="AH55" s="134"/>
      <c r="AI55" s="134"/>
      <c r="AJ55" s="143">
        <f>AJ37+AJ40+AJ42+AJ44+AJ46+AJ48+AJ51+AJ53</f>
        <v>0</v>
      </c>
      <c r="AK55" s="151"/>
      <c r="AL55" s="206">
        <f>AL37+AL40+AL42+AL44+AL46+AL48+AL51+AL53</f>
        <v>3909023.9140968556</v>
      </c>
      <c r="AM55" s="125"/>
    </row>
    <row r="56" spans="18:39" ht="24" customHeight="1" x14ac:dyDescent="0.25">
      <c r="R56" s="241" t="s">
        <v>61</v>
      </c>
      <c r="S56" s="217" t="s">
        <v>62</v>
      </c>
      <c r="T56" s="222" t="s">
        <v>17</v>
      </c>
      <c r="U56" s="222"/>
      <c r="V56" s="222"/>
      <c r="W56" s="222"/>
      <c r="X56" s="3">
        <f>X57</f>
        <v>3501.8991596638639</v>
      </c>
      <c r="Y56" s="179"/>
      <c r="Z56" s="42"/>
      <c r="AA56" s="42"/>
      <c r="AB56" s="180">
        <f>SUM(AB57)</f>
        <v>0</v>
      </c>
      <c r="AC56" s="160"/>
      <c r="AD56" s="56"/>
      <c r="AE56" s="56"/>
      <c r="AF56" s="161"/>
      <c r="AG56" s="153"/>
      <c r="AH56" s="133"/>
      <c r="AI56" s="133"/>
      <c r="AJ56" s="143"/>
      <c r="AK56" s="149"/>
      <c r="AL56" s="206">
        <f>SUM(AL57)</f>
        <v>3501.8991596638639</v>
      </c>
      <c r="AM56" s="125"/>
    </row>
    <row r="57" spans="18:39" ht="30" x14ac:dyDescent="0.25">
      <c r="R57" s="242"/>
      <c r="S57" s="218"/>
      <c r="T57" s="5" t="s">
        <v>63</v>
      </c>
      <c r="U57" s="5" t="s">
        <v>51</v>
      </c>
      <c r="V57" s="5">
        <v>763.94193887445886</v>
      </c>
      <c r="W57" s="6">
        <v>4.5839860092290898</v>
      </c>
      <c r="X57" s="20">
        <f>V57*W57</f>
        <v>3501.8991596638639</v>
      </c>
      <c r="Y57" s="171"/>
      <c r="Z57" s="7"/>
      <c r="AA57" s="7"/>
      <c r="AB57" s="162">
        <f>AA57*Z57</f>
        <v>0</v>
      </c>
      <c r="AC57" s="150"/>
      <c r="AD57" s="6"/>
      <c r="AE57" s="6"/>
      <c r="AF57" s="162"/>
      <c r="AG57" s="55"/>
      <c r="AH57" s="6"/>
      <c r="AI57" s="6"/>
      <c r="AJ57" s="8"/>
      <c r="AK57" s="150">
        <f>W57+AA57+AE57+AI57</f>
        <v>4.5839860092290898</v>
      </c>
      <c r="AL57" s="205">
        <f>AB57+X57+AF57+AJ57</f>
        <v>3501.8991596638639</v>
      </c>
      <c r="AM57" s="125"/>
    </row>
    <row r="58" spans="18:39" ht="24" customHeight="1" x14ac:dyDescent="0.25">
      <c r="R58" s="242"/>
      <c r="S58" s="218"/>
      <c r="T58" s="222" t="s">
        <v>35</v>
      </c>
      <c r="U58" s="222"/>
      <c r="V58" s="222"/>
      <c r="W58" s="222"/>
      <c r="X58" s="3">
        <f>X59</f>
        <v>7003.7983193272494</v>
      </c>
      <c r="Y58" s="179"/>
      <c r="Z58" s="42"/>
      <c r="AA58" s="42"/>
      <c r="AB58" s="180">
        <f>SUM(AB59)</f>
        <v>20240</v>
      </c>
      <c r="AC58" s="160"/>
      <c r="AD58" s="56"/>
      <c r="AE58" s="56"/>
      <c r="AF58" s="161"/>
      <c r="AG58" s="153"/>
      <c r="AH58" s="133"/>
      <c r="AI58" s="133"/>
      <c r="AJ58" s="143"/>
      <c r="AK58" s="149"/>
      <c r="AL58" s="206">
        <f>SUM(AL59)</f>
        <v>27243.798319327248</v>
      </c>
      <c r="AM58" s="125"/>
    </row>
    <row r="59" spans="18:39" x14ac:dyDescent="0.25">
      <c r="R59" s="242"/>
      <c r="S59" s="218"/>
      <c r="T59" s="4" t="s">
        <v>36</v>
      </c>
      <c r="U59" s="5" t="s">
        <v>37</v>
      </c>
      <c r="V59" s="5">
        <v>509.29462694165073</v>
      </c>
      <c r="W59" s="6">
        <v>13.751958</v>
      </c>
      <c r="X59" s="20">
        <f>V59*W59</f>
        <v>7003.7983193272494</v>
      </c>
      <c r="Y59" s="165" t="s">
        <v>37</v>
      </c>
      <c r="Z59" s="5">
        <v>506</v>
      </c>
      <c r="AA59" s="6">
        <v>40</v>
      </c>
      <c r="AB59" s="162">
        <f>AA59*Z59</f>
        <v>20240</v>
      </c>
      <c r="AC59" s="150"/>
      <c r="AD59" s="6"/>
      <c r="AE59" s="6"/>
      <c r="AF59" s="162"/>
      <c r="AG59" s="55"/>
      <c r="AH59" s="6"/>
      <c r="AI59" s="6"/>
      <c r="AJ59" s="8"/>
      <c r="AK59" s="150">
        <f>W59+AA59+AE59+AI59</f>
        <v>53.751958000000002</v>
      </c>
      <c r="AL59" s="205">
        <f>AB59+X59+AF59+AJ59</f>
        <v>27243.798319327248</v>
      </c>
      <c r="AM59" s="125"/>
    </row>
    <row r="60" spans="18:39" ht="24" customHeight="1" x14ac:dyDescent="0.25">
      <c r="R60" s="242"/>
      <c r="S60" s="218"/>
      <c r="T60" s="222" t="s">
        <v>38</v>
      </c>
      <c r="U60" s="222"/>
      <c r="V60" s="222"/>
      <c r="W60" s="222"/>
      <c r="X60" s="3">
        <f>SUM(X61,X62)</f>
        <v>261974.47070741025</v>
      </c>
      <c r="Y60" s="179"/>
      <c r="Z60" s="42"/>
      <c r="AA60" s="42"/>
      <c r="AB60" s="180">
        <f>SUM(AB61:AB62)</f>
        <v>404.8</v>
      </c>
      <c r="AC60" s="160"/>
      <c r="AD60" s="56"/>
      <c r="AE60" s="56"/>
      <c r="AF60" s="161">
        <f>SUM(AF61:AF62)</f>
        <v>1975.56</v>
      </c>
      <c r="AG60" s="153"/>
      <c r="AH60" s="133"/>
      <c r="AI60" s="133"/>
      <c r="AJ60" s="143">
        <f>SUM(AJ61:AJ62)</f>
        <v>0</v>
      </c>
      <c r="AK60" s="149"/>
      <c r="AL60" s="206">
        <f>SUM(AL61:AL62)</f>
        <v>264354.83070741023</v>
      </c>
      <c r="AM60" s="125"/>
    </row>
    <row r="61" spans="18:39" ht="45" x14ac:dyDescent="0.25">
      <c r="R61" s="242"/>
      <c r="S61" s="218"/>
      <c r="T61" s="4" t="s">
        <v>64</v>
      </c>
      <c r="U61" s="5" t="s">
        <v>48</v>
      </c>
      <c r="V61" s="5">
        <v>17494.20847975554</v>
      </c>
      <c r="W61" s="6">
        <v>14</v>
      </c>
      <c r="X61" s="20">
        <f>V61*W61</f>
        <v>244918.91871657755</v>
      </c>
      <c r="Y61" s="171"/>
      <c r="Z61" s="7"/>
      <c r="AA61" s="7"/>
      <c r="AB61" s="162">
        <f>AA61*Z61</f>
        <v>0</v>
      </c>
      <c r="AC61" s="150"/>
      <c r="AD61" s="6"/>
      <c r="AE61" s="6"/>
      <c r="AF61" s="162"/>
      <c r="AG61" s="55"/>
      <c r="AH61" s="6"/>
      <c r="AI61" s="6"/>
      <c r="AJ61" s="8"/>
      <c r="AK61" s="150">
        <f>W61+AA61+AE61+AI61</f>
        <v>14</v>
      </c>
      <c r="AL61" s="205">
        <f>AB61+X61+AF61+AJ61</f>
        <v>244918.91871657755</v>
      </c>
      <c r="AM61" s="125"/>
    </row>
    <row r="62" spans="18:39" ht="72" customHeight="1" x14ac:dyDescent="0.25">
      <c r="R62" s="242"/>
      <c r="S62" s="219"/>
      <c r="T62" s="4" t="s">
        <v>41</v>
      </c>
      <c r="U62" s="5" t="s">
        <v>48</v>
      </c>
      <c r="V62" s="5">
        <f>(X56+X58+X61+X63+X65+X68)*0.02</f>
        <v>17055.55199083269</v>
      </c>
      <c r="W62" s="6">
        <v>1</v>
      </c>
      <c r="X62" s="20">
        <f>V62*W62</f>
        <v>17055.55199083269</v>
      </c>
      <c r="Y62" s="165" t="s">
        <v>48</v>
      </c>
      <c r="Z62" s="5">
        <f>(AB56+AB58+AB61+AB63+AB65+AB68)*0.02</f>
        <v>404.8</v>
      </c>
      <c r="AA62" s="7">
        <v>1</v>
      </c>
      <c r="AB62" s="162">
        <f>AA62*Z62</f>
        <v>404.8</v>
      </c>
      <c r="AC62" s="166" t="s">
        <v>41</v>
      </c>
      <c r="AD62" s="6">
        <v>1975.56</v>
      </c>
      <c r="AE62" s="6">
        <v>1</v>
      </c>
      <c r="AF62" s="162">
        <f>AE62*AD62</f>
        <v>1975.56</v>
      </c>
      <c r="AG62" s="156"/>
      <c r="AH62" s="6"/>
      <c r="AI62" s="6"/>
      <c r="AJ62" s="8">
        <f>AI62*AH62</f>
        <v>0</v>
      </c>
      <c r="AK62" s="150">
        <f>W62+AA62+AE62+AI62</f>
        <v>3</v>
      </c>
      <c r="AL62" s="205">
        <f>AB62+X62+AF62+AJ62</f>
        <v>19435.91199083269</v>
      </c>
      <c r="AM62" s="125"/>
    </row>
    <row r="63" spans="18:39" ht="24" customHeight="1" x14ac:dyDescent="0.25">
      <c r="R63" s="242"/>
      <c r="S63" s="217" t="s">
        <v>65</v>
      </c>
      <c r="T63" s="222" t="s">
        <v>38</v>
      </c>
      <c r="U63" s="222"/>
      <c r="V63" s="222"/>
      <c r="W63" s="222"/>
      <c r="X63" s="3">
        <f>X64</f>
        <v>50126</v>
      </c>
      <c r="Y63" s="179"/>
      <c r="Z63" s="42"/>
      <c r="AA63" s="42"/>
      <c r="AB63" s="180">
        <f>SUM(AB64:AB64)</f>
        <v>0</v>
      </c>
      <c r="AC63" s="160"/>
      <c r="AD63" s="56"/>
      <c r="AE63" s="56"/>
      <c r="AF63" s="161"/>
      <c r="AG63" s="153"/>
      <c r="AH63" s="133"/>
      <c r="AI63" s="133"/>
      <c r="AJ63" s="143">
        <f>AJ64</f>
        <v>0</v>
      </c>
      <c r="AK63" s="149"/>
      <c r="AL63" s="206">
        <f>SUM(AL64:AL64)</f>
        <v>50126</v>
      </c>
      <c r="AM63" s="125"/>
    </row>
    <row r="64" spans="18:39" ht="92.25" customHeight="1" x14ac:dyDescent="0.25">
      <c r="R64" s="242"/>
      <c r="S64" s="218"/>
      <c r="T64" s="4" t="s">
        <v>66</v>
      </c>
      <c r="U64" s="5" t="s">
        <v>48</v>
      </c>
      <c r="V64" s="5">
        <v>5012.6000000000004</v>
      </c>
      <c r="W64" s="6">
        <v>10</v>
      </c>
      <c r="X64" s="20">
        <f>V64*W64</f>
        <v>50126</v>
      </c>
      <c r="Y64" s="171"/>
      <c r="Z64" s="7"/>
      <c r="AA64" s="7"/>
      <c r="AB64" s="162">
        <f>AA64*Z64</f>
        <v>0</v>
      </c>
      <c r="AC64" s="150"/>
      <c r="AD64" s="6"/>
      <c r="AE64" s="6"/>
      <c r="AF64" s="162"/>
      <c r="AG64" s="55"/>
      <c r="AH64" s="6"/>
      <c r="AI64" s="6"/>
      <c r="AJ64" s="8"/>
      <c r="AK64" s="150">
        <f>W64+AA64+AE64+AI64</f>
        <v>10</v>
      </c>
      <c r="AL64" s="205">
        <f>AB64+X64+AF64+AJ64</f>
        <v>50126</v>
      </c>
      <c r="AM64" s="125"/>
    </row>
    <row r="65" spans="18:39" ht="24" customHeight="1" x14ac:dyDescent="0.25">
      <c r="R65" s="242"/>
      <c r="S65" s="217" t="s">
        <v>67</v>
      </c>
      <c r="T65" s="222" t="s">
        <v>38</v>
      </c>
      <c r="U65" s="222"/>
      <c r="V65" s="222"/>
      <c r="W65" s="222"/>
      <c r="X65" s="3">
        <f>X66</f>
        <v>364954.65556404402</v>
      </c>
      <c r="Y65" s="179"/>
      <c r="Z65" s="42"/>
      <c r="AA65" s="42"/>
      <c r="AB65" s="180">
        <f>SUM(AB66:AB66)</f>
        <v>0</v>
      </c>
      <c r="AC65" s="160"/>
      <c r="AD65" s="56"/>
      <c r="AE65" s="56"/>
      <c r="AF65" s="161"/>
      <c r="AG65" s="153"/>
      <c r="AH65" s="133"/>
      <c r="AI65" s="133"/>
      <c r="AJ65" s="143">
        <f>SUM(AJ66:AJ67)</f>
        <v>340938.59430170641</v>
      </c>
      <c r="AK65" s="149"/>
      <c r="AL65" s="206">
        <f>SUM(AL66:AL67)</f>
        <v>705893.24986575043</v>
      </c>
    </row>
    <row r="66" spans="18:39" ht="80.099999999999994" customHeight="1" x14ac:dyDescent="0.25">
      <c r="R66" s="242"/>
      <c r="S66" s="218"/>
      <c r="T66" s="4" t="s">
        <v>68</v>
      </c>
      <c r="U66" s="5" t="s">
        <v>48</v>
      </c>
      <c r="V66" s="5">
        <v>18247.7327782022</v>
      </c>
      <c r="W66" s="6">
        <v>20</v>
      </c>
      <c r="X66" s="20">
        <f>V66*W66</f>
        <v>364954.65556404402</v>
      </c>
      <c r="Y66" s="171"/>
      <c r="Z66" s="7"/>
      <c r="AA66" s="7"/>
      <c r="AB66" s="162">
        <f>AA66*Z66</f>
        <v>0</v>
      </c>
      <c r="AC66" s="150"/>
      <c r="AD66" s="6"/>
      <c r="AE66" s="6"/>
      <c r="AF66" s="162"/>
      <c r="AG66" s="55"/>
      <c r="AH66" s="6"/>
      <c r="AI66" s="6"/>
      <c r="AJ66" s="8"/>
      <c r="AK66" s="150">
        <f>W66+AA66+AE66+AI66</f>
        <v>20</v>
      </c>
      <c r="AL66" s="205">
        <f>AB66+X66+AF66+AJ66</f>
        <v>364954.65556404402</v>
      </c>
      <c r="AM66" s="125"/>
    </row>
    <row r="67" spans="18:39" ht="80.099999999999994" customHeight="1" x14ac:dyDescent="0.25">
      <c r="R67" s="242"/>
      <c r="S67" s="219"/>
      <c r="T67" s="136" t="s">
        <v>163</v>
      </c>
      <c r="U67" s="5"/>
      <c r="V67" s="5"/>
      <c r="W67" s="6"/>
      <c r="X67" s="20"/>
      <c r="Y67" s="171"/>
      <c r="Z67" s="7"/>
      <c r="AA67" s="7"/>
      <c r="AB67" s="162"/>
      <c r="AC67" s="150"/>
      <c r="AD67" s="6"/>
      <c r="AE67" s="6"/>
      <c r="AF67" s="162"/>
      <c r="AG67" s="55" t="s">
        <v>40</v>
      </c>
      <c r="AH67" s="6">
        <v>17046.92971508532</v>
      </c>
      <c r="AI67" s="6">
        <v>20</v>
      </c>
      <c r="AJ67" s="8">
        <f>AI67*AH67</f>
        <v>340938.59430170641</v>
      </c>
      <c r="AK67" s="150">
        <f>W67+AA67+AE67+AI67</f>
        <v>20</v>
      </c>
      <c r="AL67" s="205">
        <f>AB67+X67+AF67+AJ67</f>
        <v>340938.59430170641</v>
      </c>
      <c r="AM67" s="125"/>
    </row>
    <row r="68" spans="18:39" ht="24" customHeight="1" x14ac:dyDescent="0.25">
      <c r="R68" s="242"/>
      <c r="S68" s="217" t="s">
        <v>69</v>
      </c>
      <c r="T68" s="222" t="s">
        <v>38</v>
      </c>
      <c r="U68" s="222"/>
      <c r="V68" s="222"/>
      <c r="W68" s="222"/>
      <c r="X68" s="3">
        <f>X69</f>
        <v>182272.32778202186</v>
      </c>
      <c r="Y68" s="179"/>
      <c r="Z68" s="42"/>
      <c r="AA68" s="42"/>
      <c r="AB68" s="180">
        <f>SUM(AB69:AB75)</f>
        <v>0</v>
      </c>
      <c r="AC68" s="160"/>
      <c r="AD68" s="56"/>
      <c r="AE68" s="56"/>
      <c r="AF68" s="161"/>
      <c r="AG68" s="153"/>
      <c r="AH68" s="133"/>
      <c r="AI68" s="133"/>
      <c r="AJ68" s="143">
        <f>SUM(AJ69:AJ75)</f>
        <v>1375474.1413859469</v>
      </c>
      <c r="AK68" s="149"/>
      <c r="AL68" s="206">
        <f>SUM(AL69:AL75)</f>
        <v>1557746.4691679687</v>
      </c>
      <c r="AM68" s="125"/>
    </row>
    <row r="69" spans="18:39" ht="90.6" customHeight="1" x14ac:dyDescent="0.25">
      <c r="R69" s="242"/>
      <c r="S69" s="218"/>
      <c r="T69" s="4" t="s">
        <v>70</v>
      </c>
      <c r="U69" s="5" t="s">
        <v>48</v>
      </c>
      <c r="V69" s="5">
        <v>18227.232778202186</v>
      </c>
      <c r="W69" s="6">
        <v>10</v>
      </c>
      <c r="X69" s="20">
        <f>V69*W69</f>
        <v>182272.32778202186</v>
      </c>
      <c r="Y69" s="171"/>
      <c r="Z69" s="7"/>
      <c r="AA69" s="7"/>
      <c r="AB69" s="162"/>
      <c r="AC69" s="150"/>
      <c r="AD69" s="6"/>
      <c r="AE69" s="6"/>
      <c r="AF69" s="162"/>
      <c r="AG69" s="55"/>
      <c r="AH69" s="6"/>
      <c r="AI69" s="55"/>
      <c r="AJ69" s="8"/>
      <c r="AK69" s="150">
        <f t="shared" ref="AK69:AK75" si="6">W69+AA69+AE69+AI69</f>
        <v>10</v>
      </c>
      <c r="AL69" s="205">
        <f t="shared" ref="AL69:AL75" si="7">AB69+X69+AF69+AJ69</f>
        <v>182272.32778202186</v>
      </c>
      <c r="AM69" s="125"/>
    </row>
    <row r="70" spans="18:39" ht="63" customHeight="1" x14ac:dyDescent="0.25">
      <c r="R70" s="242"/>
      <c r="S70" s="218"/>
      <c r="T70" s="136" t="s">
        <v>164</v>
      </c>
      <c r="U70" s="5"/>
      <c r="V70" s="5"/>
      <c r="W70" s="6"/>
      <c r="X70" s="20"/>
      <c r="Y70" s="171"/>
      <c r="Z70" s="7"/>
      <c r="AA70" s="7"/>
      <c r="AB70" s="162"/>
      <c r="AC70" s="150"/>
      <c r="AD70" s="6"/>
      <c r="AE70" s="6"/>
      <c r="AF70" s="162"/>
      <c r="AG70" s="55" t="s">
        <v>40</v>
      </c>
      <c r="AH70" s="6">
        <v>6499.1419538762793</v>
      </c>
      <c r="AI70" s="6">
        <v>40</v>
      </c>
      <c r="AJ70" s="8">
        <f t="shared" ref="AJ70:AJ75" si="8">AI70*AH70</f>
        <v>259965.67815505117</v>
      </c>
      <c r="AK70" s="150">
        <f t="shared" si="6"/>
        <v>40</v>
      </c>
      <c r="AL70" s="205">
        <f t="shared" si="7"/>
        <v>259965.67815505117</v>
      </c>
      <c r="AM70" s="125"/>
    </row>
    <row r="71" spans="18:39" ht="70.150000000000006" customHeight="1" x14ac:dyDescent="0.25">
      <c r="R71" s="242"/>
      <c r="S71" s="218"/>
      <c r="T71" s="136" t="s">
        <v>165</v>
      </c>
      <c r="U71" s="5"/>
      <c r="V71" s="5"/>
      <c r="W71" s="6"/>
      <c r="X71" s="20"/>
      <c r="Y71" s="171"/>
      <c r="Z71" s="7"/>
      <c r="AA71" s="7"/>
      <c r="AB71" s="162"/>
      <c r="AC71" s="150"/>
      <c r="AD71" s="6"/>
      <c r="AE71" s="6"/>
      <c r="AF71" s="162"/>
      <c r="AG71" s="55" t="s">
        <v>40</v>
      </c>
      <c r="AH71" s="6">
        <v>6499.1419538762793</v>
      </c>
      <c r="AI71" s="6">
        <v>40</v>
      </c>
      <c r="AJ71" s="8">
        <f t="shared" si="8"/>
        <v>259965.67815505117</v>
      </c>
      <c r="AK71" s="150">
        <f t="shared" si="6"/>
        <v>40</v>
      </c>
      <c r="AL71" s="205">
        <f t="shared" si="7"/>
        <v>259965.67815505117</v>
      </c>
      <c r="AM71" s="125"/>
    </row>
    <row r="72" spans="18:39" ht="76.900000000000006" customHeight="1" x14ac:dyDescent="0.25">
      <c r="R72" s="242"/>
      <c r="S72" s="218"/>
      <c r="T72" s="136" t="s">
        <v>166</v>
      </c>
      <c r="U72" s="5"/>
      <c r="V72" s="5"/>
      <c r="W72" s="6"/>
      <c r="X72" s="20"/>
      <c r="Y72" s="171"/>
      <c r="Z72" s="7"/>
      <c r="AA72" s="7"/>
      <c r="AB72" s="162"/>
      <c r="AC72" s="150"/>
      <c r="AD72" s="6"/>
      <c r="AE72" s="6"/>
      <c r="AF72" s="162"/>
      <c r="AG72" s="55" t="s">
        <v>40</v>
      </c>
      <c r="AH72" s="6">
        <v>5327.1655359641627</v>
      </c>
      <c r="AI72" s="6">
        <v>23</v>
      </c>
      <c r="AJ72" s="8">
        <f t="shared" si="8"/>
        <v>122524.80732717575</v>
      </c>
      <c r="AK72" s="150">
        <f t="shared" si="6"/>
        <v>23</v>
      </c>
      <c r="AL72" s="205">
        <f t="shared" si="7"/>
        <v>122524.80732717575</v>
      </c>
      <c r="AM72" s="125"/>
    </row>
    <row r="73" spans="18:39" ht="90.6" customHeight="1" x14ac:dyDescent="0.25">
      <c r="R73" s="242"/>
      <c r="S73" s="218"/>
      <c r="T73" s="136" t="s">
        <v>167</v>
      </c>
      <c r="U73" s="5"/>
      <c r="V73" s="5"/>
      <c r="W73" s="6"/>
      <c r="X73" s="20"/>
      <c r="Y73" s="171"/>
      <c r="Z73" s="7"/>
      <c r="AA73" s="7"/>
      <c r="AB73" s="162"/>
      <c r="AC73" s="150"/>
      <c r="AD73" s="6"/>
      <c r="AE73" s="6"/>
      <c r="AF73" s="162"/>
      <c r="AG73" s="55" t="s">
        <v>40</v>
      </c>
      <c r="AH73" s="6">
        <v>19177.795929470987</v>
      </c>
      <c r="AI73" s="6">
        <v>20</v>
      </c>
      <c r="AJ73" s="8">
        <f t="shared" si="8"/>
        <v>383555.91858941974</v>
      </c>
      <c r="AK73" s="150">
        <f t="shared" si="6"/>
        <v>20</v>
      </c>
      <c r="AL73" s="205">
        <f t="shared" si="7"/>
        <v>383555.91858941974</v>
      </c>
      <c r="AM73" s="125"/>
    </row>
    <row r="74" spans="18:39" ht="90.6" customHeight="1" x14ac:dyDescent="0.25">
      <c r="R74" s="242"/>
      <c r="S74" s="218"/>
      <c r="T74" s="136" t="s">
        <v>168</v>
      </c>
      <c r="U74" s="5"/>
      <c r="V74" s="5"/>
      <c r="W74" s="6"/>
      <c r="X74" s="20"/>
      <c r="Y74" s="171"/>
      <c r="Z74" s="7"/>
      <c r="AA74" s="7"/>
      <c r="AB74" s="162"/>
      <c r="AC74" s="150"/>
      <c r="AD74" s="6"/>
      <c r="AE74" s="6"/>
      <c r="AF74" s="162"/>
      <c r="AG74" s="55" t="s">
        <v>40</v>
      </c>
      <c r="AH74" s="6">
        <v>12785.197286313989</v>
      </c>
      <c r="AI74" s="6">
        <v>24</v>
      </c>
      <c r="AJ74" s="8">
        <f t="shared" si="8"/>
        <v>306844.73487153574</v>
      </c>
      <c r="AK74" s="150">
        <f t="shared" si="6"/>
        <v>24</v>
      </c>
      <c r="AL74" s="205">
        <f t="shared" si="7"/>
        <v>306844.73487153574</v>
      </c>
      <c r="AM74" s="125"/>
    </row>
    <row r="75" spans="18:39" ht="90.6" customHeight="1" x14ac:dyDescent="0.25">
      <c r="R75" s="242"/>
      <c r="S75" s="219"/>
      <c r="T75" s="136" t="s">
        <v>169</v>
      </c>
      <c r="U75" s="5"/>
      <c r="V75" s="5"/>
      <c r="W75" s="6"/>
      <c r="X75" s="20"/>
      <c r="Y75" s="171"/>
      <c r="Z75" s="7"/>
      <c r="AA75" s="7"/>
      <c r="AB75" s="162"/>
      <c r="AC75" s="150"/>
      <c r="AD75" s="6"/>
      <c r="AE75" s="6"/>
      <c r="AF75" s="162"/>
      <c r="AG75" s="55" t="s">
        <v>40</v>
      </c>
      <c r="AH75" s="6">
        <v>2130.866214385665</v>
      </c>
      <c r="AI75" s="6">
        <v>20</v>
      </c>
      <c r="AJ75" s="8">
        <f t="shared" si="8"/>
        <v>42617.324287713302</v>
      </c>
      <c r="AK75" s="150">
        <f t="shared" si="6"/>
        <v>20</v>
      </c>
      <c r="AL75" s="205">
        <f t="shared" si="7"/>
        <v>42617.324287713302</v>
      </c>
      <c r="AM75" s="125"/>
    </row>
    <row r="76" spans="18:39" x14ac:dyDescent="0.25">
      <c r="R76" s="243"/>
      <c r="S76" s="223" t="s">
        <v>71</v>
      </c>
      <c r="T76" s="224"/>
      <c r="U76" s="224"/>
      <c r="V76" s="224"/>
      <c r="W76" s="225"/>
      <c r="X76" s="174">
        <f>X56+X58+X60+X63+X65+X68</f>
        <v>869833.15153246722</v>
      </c>
      <c r="Y76" s="245"/>
      <c r="Z76" s="246"/>
      <c r="AA76" s="247"/>
      <c r="AB76" s="184">
        <f>AB56+AB58+AB60+AB63+AB65+AB68</f>
        <v>20644.8</v>
      </c>
      <c r="AC76" s="167"/>
      <c r="AD76" s="57"/>
      <c r="AE76" s="57"/>
      <c r="AF76" s="170">
        <f>AF56+AF58+AF60+AF63+AF65+AF68</f>
        <v>1975.56</v>
      </c>
      <c r="AG76" s="157"/>
      <c r="AH76" s="134"/>
      <c r="AI76" s="134"/>
      <c r="AJ76" s="143">
        <f>AJ56+AJ58+AJ60+AJ63+AJ65+AJ68</f>
        <v>1716412.7356876533</v>
      </c>
      <c r="AK76" s="151"/>
      <c r="AL76" s="206">
        <f>AL56+AL58+AL60+AL63+AL65+AL68</f>
        <v>2608866.2472201204</v>
      </c>
      <c r="AM76" s="125"/>
    </row>
    <row r="77" spans="18:39" x14ac:dyDescent="0.25">
      <c r="R77" s="248" t="s">
        <v>72</v>
      </c>
      <c r="S77" s="249"/>
      <c r="T77" s="249"/>
      <c r="U77" s="249"/>
      <c r="V77" s="249"/>
      <c r="W77" s="249"/>
      <c r="X77" s="20">
        <v>40000</v>
      </c>
      <c r="Y77" s="226"/>
      <c r="Z77" s="227"/>
      <c r="AA77" s="228"/>
      <c r="AB77" s="9">
        <v>0</v>
      </c>
      <c r="AC77" s="226"/>
      <c r="AD77" s="227"/>
      <c r="AE77" s="228"/>
      <c r="AF77" s="9">
        <v>0</v>
      </c>
      <c r="AG77" s="226"/>
      <c r="AH77" s="227"/>
      <c r="AI77" s="228"/>
      <c r="AJ77" s="20">
        <v>0</v>
      </c>
      <c r="AK77" s="253"/>
      <c r="AL77" s="118">
        <v>40000</v>
      </c>
      <c r="AM77" s="125"/>
    </row>
    <row r="78" spans="18:39" x14ac:dyDescent="0.25">
      <c r="R78" s="248" t="s">
        <v>73</v>
      </c>
      <c r="S78" s="249"/>
      <c r="T78" s="249"/>
      <c r="U78" s="249"/>
      <c r="V78" s="249"/>
      <c r="W78" s="249"/>
      <c r="X78" s="20">
        <v>5000</v>
      </c>
      <c r="Y78" s="229"/>
      <c r="Z78" s="230"/>
      <c r="AA78" s="231"/>
      <c r="AB78" s="9">
        <v>0</v>
      </c>
      <c r="AC78" s="229"/>
      <c r="AD78" s="230"/>
      <c r="AE78" s="231"/>
      <c r="AF78" s="9">
        <v>0</v>
      </c>
      <c r="AG78" s="229"/>
      <c r="AH78" s="230"/>
      <c r="AI78" s="231"/>
      <c r="AJ78" s="20">
        <v>0</v>
      </c>
      <c r="AK78" s="254"/>
      <c r="AL78" s="118">
        <v>5000</v>
      </c>
      <c r="AM78" s="125"/>
    </row>
    <row r="79" spans="18:39" ht="26.25" customHeight="1" x14ac:dyDescent="0.25">
      <c r="R79" s="256" t="s">
        <v>74</v>
      </c>
      <c r="S79" s="224"/>
      <c r="T79" s="224"/>
      <c r="U79" s="224"/>
      <c r="V79" s="224"/>
      <c r="W79" s="225"/>
      <c r="X79" s="20">
        <f>X36+X55+X76+X77+X78</f>
        <v>5061799.5655772211</v>
      </c>
      <c r="Y79" s="229"/>
      <c r="Z79" s="230"/>
      <c r="AA79" s="231"/>
      <c r="AB79" s="9">
        <f>AB36+AB55+AB76+AB77+AB78</f>
        <v>2359130.8979999954</v>
      </c>
      <c r="AC79" s="229"/>
      <c r="AD79" s="230"/>
      <c r="AE79" s="231"/>
      <c r="AF79" s="118">
        <f>AF36+AF55+AF76+AF77+AF78</f>
        <v>925400.24</v>
      </c>
      <c r="AG79" s="229"/>
      <c r="AH79" s="230"/>
      <c r="AI79" s="231"/>
      <c r="AJ79" s="146">
        <f>AJ36+AJ55+AJ76+AJ77+AJ78</f>
        <v>7889999.8797704456</v>
      </c>
      <c r="AK79" s="254"/>
      <c r="AL79" s="118">
        <f>AL36+AL55+AL76+AL77+AL78</f>
        <v>16236330.58334766</v>
      </c>
      <c r="AM79" s="125"/>
    </row>
    <row r="80" spans="18:39" ht="22.5" customHeight="1" x14ac:dyDescent="0.25">
      <c r="R80" s="256" t="s">
        <v>75</v>
      </c>
      <c r="S80" s="224"/>
      <c r="T80" s="224"/>
      <c r="U80" s="224"/>
      <c r="V80" s="224"/>
      <c r="W80" s="225"/>
      <c r="X80" s="21">
        <f>X79</f>
        <v>5061799.5655772211</v>
      </c>
      <c r="Y80" s="229"/>
      <c r="Z80" s="230"/>
      <c r="AA80" s="231"/>
      <c r="AB80" s="22">
        <f>AB79</f>
        <v>2359130.8979999954</v>
      </c>
      <c r="AC80" s="229"/>
      <c r="AD80" s="230"/>
      <c r="AE80" s="231"/>
      <c r="AF80" s="172">
        <f>AF79</f>
        <v>925400.24</v>
      </c>
      <c r="AG80" s="229"/>
      <c r="AH80" s="230"/>
      <c r="AI80" s="231"/>
      <c r="AJ80" s="147">
        <f>AJ79</f>
        <v>7889999.8797704456</v>
      </c>
      <c r="AK80" s="254"/>
      <c r="AL80" s="172">
        <f>AL79</f>
        <v>16236330.58334766</v>
      </c>
      <c r="AM80" s="125"/>
    </row>
    <row r="81" spans="18:39" ht="21" customHeight="1" thickBot="1" x14ac:dyDescent="0.3">
      <c r="R81" s="256" t="s">
        <v>76</v>
      </c>
      <c r="S81" s="224"/>
      <c r="T81" s="224"/>
      <c r="U81" s="224"/>
      <c r="V81" s="224"/>
      <c r="W81" s="225"/>
      <c r="X81" s="20">
        <f>X80*0.05</f>
        <v>253089.97827886106</v>
      </c>
      <c r="Y81" s="250"/>
      <c r="Z81" s="251"/>
      <c r="AA81" s="252"/>
      <c r="AB81" s="9">
        <f>AB80*0.05</f>
        <v>117956.54489999978</v>
      </c>
      <c r="AC81" s="232"/>
      <c r="AD81" s="233"/>
      <c r="AE81" s="234"/>
      <c r="AF81" s="173">
        <f>AF80*0.05</f>
        <v>46270.012000000002</v>
      </c>
      <c r="AG81" s="232"/>
      <c r="AH81" s="233"/>
      <c r="AI81" s="234"/>
      <c r="AJ81" s="140">
        <f>AJ80*0.05</f>
        <v>394499.99398852233</v>
      </c>
      <c r="AK81" s="255"/>
      <c r="AL81" s="205">
        <f t="shared" ref="AL81" si="9">AB81+X81+AF81+AJ81</f>
        <v>811816.52916738321</v>
      </c>
      <c r="AM81" s="125"/>
    </row>
    <row r="82" spans="18:39" ht="19.5" customHeight="1" thickBot="1" x14ac:dyDescent="0.3">
      <c r="R82" s="235" t="s">
        <v>77</v>
      </c>
      <c r="S82" s="236"/>
      <c r="T82" s="236"/>
      <c r="U82" s="236"/>
      <c r="V82" s="236"/>
      <c r="W82" s="237"/>
      <c r="X82" s="176">
        <f>X79+X81</f>
        <v>5314889.5438560825</v>
      </c>
      <c r="Y82" s="238"/>
      <c r="Z82" s="239"/>
      <c r="AA82" s="240"/>
      <c r="AB82" s="187">
        <f>AB79+AB81</f>
        <v>2477087.442899995</v>
      </c>
      <c r="AC82" s="70"/>
      <c r="AD82" s="71"/>
      <c r="AE82" s="71"/>
      <c r="AF82" s="109">
        <f>AF79+AF81</f>
        <v>971670.25199999998</v>
      </c>
      <c r="AG82" s="135"/>
      <c r="AH82" s="135"/>
      <c r="AI82" s="135"/>
      <c r="AJ82" s="148">
        <f>AJ79+AJ81</f>
        <v>8284499.873758968</v>
      </c>
      <c r="AK82" s="23"/>
      <c r="AL82" s="208">
        <f>AL79+AL81</f>
        <v>17048147.112515043</v>
      </c>
      <c r="AM82" s="125"/>
    </row>
    <row r="83" spans="18:39" ht="18" customHeight="1" x14ac:dyDescent="0.3">
      <c r="T83" s="24"/>
      <c r="U83" s="24"/>
      <c r="V83" s="25"/>
      <c r="W83" s="24"/>
      <c r="X83" s="26"/>
      <c r="Y83" s="26"/>
      <c r="Z83" s="26"/>
      <c r="AA83" s="119"/>
      <c r="AB83" s="120"/>
      <c r="AC83" s="26"/>
      <c r="AD83" s="26"/>
      <c r="AE83" s="26"/>
      <c r="AF83" s="26"/>
      <c r="AG83" s="26"/>
      <c r="AH83" s="26"/>
      <c r="AI83" s="26"/>
      <c r="AJ83" s="26"/>
      <c r="AK83" s="26"/>
      <c r="AL83" s="209"/>
      <c r="AM83" s="125"/>
    </row>
    <row r="84" spans="18:39" ht="19.5" hidden="1" x14ac:dyDescent="0.3">
      <c r="AA84" s="30"/>
      <c r="AB84" s="121"/>
      <c r="AF84" s="26"/>
      <c r="AJ84" s="26"/>
      <c r="AK84" s="26"/>
      <c r="AL84" s="210"/>
    </row>
    <row r="85" spans="18:39" ht="19.5" hidden="1" x14ac:dyDescent="0.3">
      <c r="S85" t="s">
        <v>78</v>
      </c>
      <c r="T85">
        <v>3997</v>
      </c>
      <c r="AA85" s="30"/>
      <c r="AB85" s="122"/>
      <c r="AC85" s="213" t="s">
        <v>79</v>
      </c>
      <c r="AD85" s="213"/>
      <c r="AE85" s="213"/>
      <c r="AF85" s="213"/>
      <c r="AG85" s="213" t="s">
        <v>79</v>
      </c>
      <c r="AH85" s="213"/>
      <c r="AI85" s="213"/>
      <c r="AJ85" s="213"/>
      <c r="AK85" s="26"/>
    </row>
    <row r="86" spans="18:39" ht="15.75" hidden="1" x14ac:dyDescent="0.25">
      <c r="R86" s="31" t="s">
        <v>80</v>
      </c>
      <c r="S86" s="32" t="s">
        <v>81</v>
      </c>
      <c r="T86" s="32" t="s">
        <v>82</v>
      </c>
      <c r="U86" s="46"/>
      <c r="V86" s="47"/>
      <c r="W86" s="33"/>
      <c r="AA86" s="30"/>
      <c r="AB86" s="30"/>
      <c r="AC86" s="60"/>
      <c r="AD86" s="61" t="s">
        <v>83</v>
      </c>
      <c r="AE86" s="61" t="s">
        <v>84</v>
      </c>
      <c r="AF86" s="60"/>
      <c r="AG86" s="60"/>
      <c r="AH86" s="61" t="s">
        <v>83</v>
      </c>
      <c r="AI86" s="61" t="s">
        <v>84</v>
      </c>
      <c r="AJ86" s="60"/>
      <c r="AM86" s="130"/>
    </row>
    <row r="87" spans="18:39" ht="21.75" hidden="1" customHeight="1" x14ac:dyDescent="0.25">
      <c r="R87" s="34" t="s">
        <v>85</v>
      </c>
      <c r="S87" s="35">
        <f>AL6+AL8+AL20+AL28+AL33+AL25</f>
        <v>3993634.0056212824</v>
      </c>
      <c r="T87" s="36">
        <f>S87*$T$85</f>
        <v>15962555120.468266</v>
      </c>
      <c r="U87" s="44"/>
      <c r="V87" s="47"/>
      <c r="W87" s="107"/>
      <c r="AA87" s="30"/>
      <c r="AB87" s="30"/>
      <c r="AC87" s="63" t="s">
        <v>86</v>
      </c>
      <c r="AD87" s="64">
        <v>2254000000</v>
      </c>
      <c r="AE87" s="64">
        <f>AD87/3997</f>
        <v>563922.94220665505</v>
      </c>
      <c r="AF87" s="65" t="s">
        <v>87</v>
      </c>
      <c r="AG87" s="63" t="s">
        <v>86</v>
      </c>
      <c r="AH87" s="64">
        <v>2254000000</v>
      </c>
      <c r="AI87" s="64">
        <f>AH87/3997</f>
        <v>563922.94220665505</v>
      </c>
      <c r="AJ87" s="65" t="s">
        <v>87</v>
      </c>
      <c r="AK87" s="62"/>
    </row>
    <row r="88" spans="18:39" ht="21.75" hidden="1" customHeight="1" x14ac:dyDescent="0.25">
      <c r="R88" s="34" t="s">
        <v>88</v>
      </c>
      <c r="S88" s="35">
        <f>AL38+AL40+AL42+AL44+AL46+AL48+AL52+AL53</f>
        <v>3886649.41515378</v>
      </c>
      <c r="T88" s="36">
        <f t="shared" ref="T88:T92" si="10">S88*$T$85</f>
        <v>15534937712.369659</v>
      </c>
      <c r="U88" s="44"/>
      <c r="V88" s="47"/>
      <c r="W88" s="40"/>
      <c r="AA88" s="30"/>
      <c r="AB88" s="30"/>
      <c r="AC88" s="63" t="s">
        <v>89</v>
      </c>
      <c r="AD88" s="64">
        <v>320323116</v>
      </c>
      <c r="AE88" s="64">
        <f>AD88/3997</f>
        <v>80140.884663497622</v>
      </c>
      <c r="AF88" s="65" t="s">
        <v>90</v>
      </c>
      <c r="AG88" s="63" t="s">
        <v>89</v>
      </c>
      <c r="AH88" s="64">
        <v>320323116</v>
      </c>
      <c r="AI88" s="64">
        <f>AH88/3997</f>
        <v>80140.884663497622</v>
      </c>
      <c r="AJ88" s="65" t="s">
        <v>90</v>
      </c>
      <c r="AK88" s="62"/>
    </row>
    <row r="89" spans="18:39" ht="21.75" hidden="1" customHeight="1" x14ac:dyDescent="0.25">
      <c r="R89" s="34" t="s">
        <v>91</v>
      </c>
      <c r="S89" s="35">
        <f>AL56+AL58+AL61+AL63+AL65+AL68</f>
        <v>2589430.3352292879</v>
      </c>
      <c r="T89" s="36">
        <f t="shared" si="10"/>
        <v>10349953049.911463</v>
      </c>
      <c r="U89" s="45"/>
      <c r="V89" s="47"/>
      <c r="W89" s="52"/>
      <c r="AA89" s="30"/>
      <c r="AB89" s="30"/>
      <c r="AC89" s="63" t="s">
        <v>92</v>
      </c>
      <c r="AD89" s="66">
        <v>1332499873.54</v>
      </c>
      <c r="AE89" s="64">
        <f>AD89/3997</f>
        <v>333374.99963472603</v>
      </c>
      <c r="AF89" s="65" t="s">
        <v>93</v>
      </c>
      <c r="AG89" s="63" t="s">
        <v>92</v>
      </c>
      <c r="AH89" s="66">
        <v>1332499873.54</v>
      </c>
      <c r="AI89" s="64">
        <f>AH89/3997</f>
        <v>333374.99963472603</v>
      </c>
      <c r="AJ89" s="65" t="s">
        <v>93</v>
      </c>
      <c r="AK89" s="62"/>
      <c r="AM89" s="10"/>
    </row>
    <row r="90" spans="18:39" ht="33" hidden="1" customHeight="1" x14ac:dyDescent="0.25">
      <c r="R90" s="34" t="s">
        <v>94</v>
      </c>
      <c r="S90" s="35">
        <f>AL11</f>
        <v>515075.68831168837</v>
      </c>
      <c r="T90" s="36">
        <f t="shared" si="10"/>
        <v>2058757526.1818185</v>
      </c>
      <c r="U90" s="48"/>
      <c r="V90" s="47"/>
      <c r="W90" s="52"/>
      <c r="AA90" s="30"/>
      <c r="AB90" s="30"/>
      <c r="AC90" s="67"/>
      <c r="AD90" s="68">
        <f>SUM(AD87:AD89)</f>
        <v>3906822989.54</v>
      </c>
      <c r="AE90" s="68">
        <f>SUM(AE87:AE89)</f>
        <v>977438.8265048787</v>
      </c>
      <c r="AF90" s="69"/>
      <c r="AG90" s="67"/>
      <c r="AH90" s="68">
        <f>SUM(AH87:AH89)</f>
        <v>3906822989.54</v>
      </c>
      <c r="AI90" s="68">
        <f>SUM(AI87:AI89)</f>
        <v>977438.8265048787</v>
      </c>
      <c r="AJ90" s="69"/>
      <c r="AK90" s="100"/>
    </row>
    <row r="91" spans="18:39" ht="29.25" hidden="1" customHeight="1" x14ac:dyDescent="0.25">
      <c r="R91" s="97" t="s">
        <v>95</v>
      </c>
      <c r="S91" s="98">
        <f>AL29+AL39++AL62</f>
        <v>324726.64187406318</v>
      </c>
      <c r="T91" s="36">
        <f t="shared" si="10"/>
        <v>1297932387.5706306</v>
      </c>
      <c r="U91" s="48"/>
      <c r="V91" s="47"/>
      <c r="W91" s="52"/>
      <c r="AA91" s="30"/>
      <c r="AB91" s="30"/>
    </row>
    <row r="92" spans="18:39" ht="21.75" hidden="1" customHeight="1" x14ac:dyDescent="0.25">
      <c r="R92" s="34" t="s">
        <v>96</v>
      </c>
      <c r="S92" s="35">
        <f>AL77</f>
        <v>40000</v>
      </c>
      <c r="T92" s="36">
        <f t="shared" si="10"/>
        <v>159880000</v>
      </c>
      <c r="U92" s="48"/>
      <c r="V92" s="47"/>
      <c r="W92" s="52"/>
      <c r="AA92" s="30"/>
      <c r="AB92" s="30"/>
    </row>
    <row r="93" spans="18:39" ht="15.75" hidden="1" x14ac:dyDescent="0.25">
      <c r="R93" s="34" t="s">
        <v>97</v>
      </c>
      <c r="S93" s="35">
        <f>AL78</f>
        <v>5000</v>
      </c>
      <c r="T93" s="36">
        <v>19635000</v>
      </c>
      <c r="U93" s="48"/>
      <c r="V93" s="47"/>
      <c r="W93" s="52"/>
      <c r="AA93" s="30"/>
      <c r="AB93" s="30"/>
    </row>
    <row r="94" spans="18:39" ht="15.75" hidden="1" x14ac:dyDescent="0.25">
      <c r="R94" s="37" t="s">
        <v>98</v>
      </c>
      <c r="S94" s="38">
        <f>SUM(S87:S93)</f>
        <v>11354516.086190103</v>
      </c>
      <c r="T94" s="51">
        <v>29416840275.816257</v>
      </c>
      <c r="U94" s="49"/>
      <c r="V94" s="47"/>
      <c r="W94" s="53"/>
      <c r="AA94" s="30"/>
      <c r="AB94" s="30"/>
    </row>
    <row r="95" spans="18:39" ht="15.75" hidden="1" x14ac:dyDescent="0.25">
      <c r="R95" s="34" t="s">
        <v>99</v>
      </c>
      <c r="S95" s="35">
        <f>AL81</f>
        <v>811816.52916738321</v>
      </c>
      <c r="T95" s="36">
        <v>1454732877</v>
      </c>
      <c r="U95" s="10"/>
      <c r="V95" s="47"/>
      <c r="AA95" s="30"/>
      <c r="AB95" s="30"/>
    </row>
    <row r="96" spans="18:39" ht="15.75" hidden="1" x14ac:dyDescent="0.25">
      <c r="R96" s="37" t="s">
        <v>100</v>
      </c>
      <c r="S96" s="38">
        <f>S94+S95</f>
        <v>12166332.615357487</v>
      </c>
      <c r="T96" s="38">
        <v>30871573152.816257</v>
      </c>
      <c r="U96" s="50"/>
      <c r="V96" s="47"/>
      <c r="AA96" s="30"/>
      <c r="AB96" s="30"/>
    </row>
    <row r="97" spans="18:39" hidden="1" x14ac:dyDescent="0.25">
      <c r="R97" s="33"/>
      <c r="S97" s="33"/>
      <c r="T97" s="33"/>
      <c r="U97" s="33"/>
      <c r="V97" s="33"/>
      <c r="W97" s="33"/>
      <c r="AA97" s="30"/>
      <c r="AB97" s="30"/>
    </row>
    <row r="98" spans="18:39" ht="15.75" hidden="1" x14ac:dyDescent="0.25">
      <c r="R98" s="244" t="s">
        <v>101</v>
      </c>
      <c r="S98" s="244"/>
      <c r="T98" s="39">
        <f>(S90+S91+S95+S92+S93)/S96</f>
        <v>0.13945195425707033</v>
      </c>
      <c r="V98" s="40"/>
      <c r="W98" s="41"/>
      <c r="AA98" s="30"/>
      <c r="AB98" s="30"/>
    </row>
    <row r="99" spans="18:39" hidden="1" x14ac:dyDescent="0.25">
      <c r="AA99" s="30"/>
      <c r="AB99" s="30"/>
    </row>
    <row r="100" spans="18:39" ht="15.75" hidden="1" thickBot="1" x14ac:dyDescent="0.3">
      <c r="R100" s="101" t="s">
        <v>102</v>
      </c>
      <c r="S100" s="102" t="s">
        <v>103</v>
      </c>
      <c r="AA100" s="30"/>
      <c r="AB100" s="30"/>
    </row>
    <row r="101" spans="18:39" ht="15.75" hidden="1" thickBot="1" x14ac:dyDescent="0.3">
      <c r="R101" s="103" t="s">
        <v>104</v>
      </c>
      <c r="S101" s="104">
        <f>S90</f>
        <v>515075.68831168837</v>
      </c>
      <c r="AA101" s="30"/>
      <c r="AB101" s="30"/>
    </row>
    <row r="102" spans="18:39" ht="39" hidden="1" thickBot="1" x14ac:dyDescent="0.3">
      <c r="R102" s="103" t="s">
        <v>105</v>
      </c>
      <c r="S102" s="104">
        <f>AL6+AL8++AL21+AL22+AL34+AL41+AL47+AL49+AL54+AL57</f>
        <v>1314940.0562255026</v>
      </c>
      <c r="AA102" s="30"/>
      <c r="AB102" s="30"/>
    </row>
    <row r="103" spans="18:39" ht="26.25" hidden="1" thickBot="1" x14ac:dyDescent="0.3">
      <c r="R103" s="103" t="s">
        <v>106</v>
      </c>
      <c r="S103" s="104">
        <f>AL28+AL38+AL45+AL52+AL61+AL66+AL69+AL64</f>
        <v>6567211.2906773593</v>
      </c>
      <c r="AA103" s="30"/>
      <c r="AB103" s="30"/>
    </row>
    <row r="104" spans="18:39" ht="15.75" hidden="1" thickBot="1" x14ac:dyDescent="0.3">
      <c r="R104" s="103" t="s">
        <v>107</v>
      </c>
      <c r="S104" s="104">
        <f>AL26+AL59+AL43</f>
        <v>116070.4870046945</v>
      </c>
      <c r="AA104" s="30"/>
      <c r="AB104" s="30"/>
    </row>
    <row r="105" spans="18:39" ht="26.25" hidden="1" thickBot="1" x14ac:dyDescent="0.3">
      <c r="R105" s="103" t="s">
        <v>108</v>
      </c>
      <c r="S105" s="105">
        <v>45000</v>
      </c>
      <c r="AA105" s="30"/>
      <c r="AB105" s="30"/>
    </row>
    <row r="106" spans="18:39" ht="15.75" hidden="1" thickBot="1" x14ac:dyDescent="0.3">
      <c r="R106" s="103" t="s">
        <v>109</v>
      </c>
      <c r="S106" s="104">
        <f>S91+S95</f>
        <v>1136543.1710414463</v>
      </c>
      <c r="AA106" s="30"/>
      <c r="AB106" s="30"/>
    </row>
    <row r="107" spans="18:39" ht="15.75" hidden="1" thickBot="1" x14ac:dyDescent="0.3">
      <c r="R107" s="106" t="s">
        <v>110</v>
      </c>
      <c r="S107" s="108">
        <f>SUM(S101:S106)</f>
        <v>9694840.6932606902</v>
      </c>
      <c r="AA107" s="30"/>
      <c r="AB107" s="30"/>
    </row>
    <row r="108" spans="18:39" x14ac:dyDescent="0.25">
      <c r="AA108" s="30"/>
      <c r="AB108" s="30"/>
      <c r="AJ108" s="30"/>
      <c r="AM108" s="126"/>
    </row>
    <row r="109" spans="18:39" x14ac:dyDescent="0.25">
      <c r="W109" s="112"/>
      <c r="X109" s="30"/>
      <c r="AA109" s="30"/>
      <c r="AB109" s="30"/>
      <c r="AJ109" s="123"/>
      <c r="AM109" s="126"/>
    </row>
    <row r="110" spans="18:39" x14ac:dyDescent="0.25">
      <c r="X110" s="30"/>
      <c r="AA110" s="30"/>
      <c r="AB110" s="30"/>
      <c r="AJ110" s="30"/>
      <c r="AM110" s="126"/>
    </row>
    <row r="111" spans="18:39" x14ac:dyDescent="0.25">
      <c r="X111" s="30"/>
      <c r="AA111" s="123"/>
      <c r="AB111" s="30"/>
      <c r="AD111" s="30"/>
      <c r="AH111" s="30"/>
      <c r="AJ111" s="30"/>
      <c r="AM111" s="126"/>
    </row>
    <row r="112" spans="18:39" x14ac:dyDescent="0.25">
      <c r="AA112" s="30"/>
      <c r="AB112" s="30"/>
      <c r="AM112" s="126"/>
    </row>
    <row r="114" spans="27:27" x14ac:dyDescent="0.25">
      <c r="AA114" s="113"/>
    </row>
    <row r="115" spans="27:27" x14ac:dyDescent="0.25">
      <c r="AA115" s="113"/>
    </row>
    <row r="116" spans="27:27" x14ac:dyDescent="0.25">
      <c r="AA116" s="113"/>
    </row>
  </sheetData>
  <mergeCells count="68">
    <mergeCell ref="T20:W20"/>
    <mergeCell ref="T25:W25"/>
    <mergeCell ref="T27:W27"/>
    <mergeCell ref="R1:AL1"/>
    <mergeCell ref="R2:AL2"/>
    <mergeCell ref="R3:AL3"/>
    <mergeCell ref="R4:T5"/>
    <mergeCell ref="U4:U5"/>
    <mergeCell ref="V4:V5"/>
    <mergeCell ref="W4:W5"/>
    <mergeCell ref="X4:X5"/>
    <mergeCell ref="Y4:AB4"/>
    <mergeCell ref="AK4:AK5"/>
    <mergeCell ref="AL4:AL5"/>
    <mergeCell ref="AC4:AF4"/>
    <mergeCell ref="AG4:AJ4"/>
    <mergeCell ref="S6:S7"/>
    <mergeCell ref="R37:R55"/>
    <mergeCell ref="S37:S39"/>
    <mergeCell ref="T37:W37"/>
    <mergeCell ref="S40:S45"/>
    <mergeCell ref="T40:W40"/>
    <mergeCell ref="T42:W42"/>
    <mergeCell ref="S53:S54"/>
    <mergeCell ref="T53:W53"/>
    <mergeCell ref="T44:W44"/>
    <mergeCell ref="S46:S47"/>
    <mergeCell ref="T46:W46"/>
    <mergeCell ref="T48:W48"/>
    <mergeCell ref="S55:W55"/>
    <mergeCell ref="S11:S32"/>
    <mergeCell ref="T6:W6"/>
    <mergeCell ref="AK77:AK81"/>
    <mergeCell ref="R78:W78"/>
    <mergeCell ref="R79:W79"/>
    <mergeCell ref="R80:W80"/>
    <mergeCell ref="R81:W81"/>
    <mergeCell ref="AC77:AE81"/>
    <mergeCell ref="R98:S98"/>
    <mergeCell ref="T68:W68"/>
    <mergeCell ref="S76:W76"/>
    <mergeCell ref="Y76:AA76"/>
    <mergeCell ref="R77:W77"/>
    <mergeCell ref="Y77:AA81"/>
    <mergeCell ref="R56:R76"/>
    <mergeCell ref="S56:S62"/>
    <mergeCell ref="T56:W56"/>
    <mergeCell ref="T58:W58"/>
    <mergeCell ref="T60:W60"/>
    <mergeCell ref="S63:S64"/>
    <mergeCell ref="S65:S67"/>
    <mergeCell ref="S68:S75"/>
    <mergeCell ref="AG85:AJ85"/>
    <mergeCell ref="S33:S35"/>
    <mergeCell ref="S8:S10"/>
    <mergeCell ref="S48:S52"/>
    <mergeCell ref="T51:W51"/>
    <mergeCell ref="T63:W63"/>
    <mergeCell ref="T65:W65"/>
    <mergeCell ref="T33:W33"/>
    <mergeCell ref="S36:W36"/>
    <mergeCell ref="T8:W8"/>
    <mergeCell ref="T11:W11"/>
    <mergeCell ref="AC85:AF85"/>
    <mergeCell ref="AG77:AI81"/>
    <mergeCell ref="R82:W82"/>
    <mergeCell ref="Y82:AA82"/>
    <mergeCell ref="R6:R36"/>
  </mergeCells>
  <pageMargins left="0.7" right="0.7" top="0.75" bottom="0.75" header="0.3" footer="0.3"/>
  <pageSetup paperSize="9" scale="23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8E4E1-3C3E-46E4-B664-7A096507E74F}">
  <sheetPr>
    <tabColor theme="5" tint="-0.249977111117893"/>
  </sheetPr>
  <dimension ref="A1:O43"/>
  <sheetViews>
    <sheetView zoomScale="115" zoomScaleNormal="115" workbookViewId="0">
      <selection sqref="A1:M35"/>
    </sheetView>
  </sheetViews>
  <sheetFormatPr baseColWidth="10" defaultColWidth="11.42578125" defaultRowHeight="15" x14ac:dyDescent="0.25"/>
  <cols>
    <col min="1" max="1" width="22.42578125" customWidth="1"/>
    <col min="2" max="2" width="35.42578125" style="88" customWidth="1"/>
    <col min="3" max="3" width="19.85546875" style="88" bestFit="1" customWidth="1"/>
    <col min="4" max="4" width="12.5703125" style="89" customWidth="1"/>
    <col min="5" max="5" width="15.7109375" style="89" bestFit="1" customWidth="1"/>
    <col min="6" max="6" width="13.140625" style="89" bestFit="1" customWidth="1"/>
    <col min="7" max="9" width="14.5703125" style="89" bestFit="1" customWidth="1"/>
    <col min="10" max="10" width="15.7109375" style="28" bestFit="1" customWidth="1"/>
    <col min="11" max="11" width="13.42578125" customWidth="1"/>
    <col min="12" max="12" width="19.140625" customWidth="1"/>
    <col min="13" max="13" width="18.5703125" customWidth="1"/>
  </cols>
  <sheetData>
    <row r="1" spans="1:13" ht="32.1" customHeight="1" x14ac:dyDescent="0.25">
      <c r="A1" s="294" t="s">
        <v>121</v>
      </c>
      <c r="B1" s="295" t="s">
        <v>122</v>
      </c>
      <c r="C1" s="296" t="s">
        <v>123</v>
      </c>
      <c r="D1" s="298" t="s">
        <v>124</v>
      </c>
      <c r="E1" s="299"/>
      <c r="F1" s="299"/>
      <c r="G1" s="300"/>
      <c r="H1" s="298" t="s">
        <v>173</v>
      </c>
      <c r="I1" s="299"/>
      <c r="J1" s="294" t="s">
        <v>125</v>
      </c>
      <c r="K1" s="294" t="s">
        <v>126</v>
      </c>
      <c r="L1" s="294"/>
      <c r="M1" s="294"/>
    </row>
    <row r="2" spans="1:13" ht="24" x14ac:dyDescent="0.25">
      <c r="A2" s="294"/>
      <c r="B2" s="295"/>
      <c r="C2" s="297"/>
      <c r="D2" s="76" t="s">
        <v>113</v>
      </c>
      <c r="E2" s="76" t="s">
        <v>114</v>
      </c>
      <c r="F2" s="76" t="s">
        <v>151</v>
      </c>
      <c r="G2" s="76" t="s">
        <v>152</v>
      </c>
      <c r="H2" s="76" t="s">
        <v>113</v>
      </c>
      <c r="I2" s="76" t="s">
        <v>114</v>
      </c>
      <c r="J2" s="294"/>
      <c r="K2" s="76" t="s">
        <v>127</v>
      </c>
      <c r="L2" s="76" t="s">
        <v>128</v>
      </c>
      <c r="M2" s="76" t="s">
        <v>129</v>
      </c>
    </row>
    <row r="3" spans="1:13" ht="48.95" customHeight="1" x14ac:dyDescent="0.25">
      <c r="A3" s="293" t="s">
        <v>130</v>
      </c>
      <c r="B3" s="77" t="s">
        <v>131</v>
      </c>
      <c r="C3" s="77"/>
      <c r="D3" s="77"/>
      <c r="E3" s="77"/>
      <c r="F3" s="77"/>
      <c r="G3" s="79"/>
      <c r="H3" s="78">
        <f>M3*40%</f>
        <v>9501.1309405244556</v>
      </c>
      <c r="I3" s="79">
        <f>M3*60%</f>
        <v>14251.696410786682</v>
      </c>
      <c r="J3" s="80" t="s">
        <v>132</v>
      </c>
      <c r="K3" s="80" t="s">
        <v>133</v>
      </c>
      <c r="L3" s="77" t="s">
        <v>178</v>
      </c>
      <c r="M3" s="81">
        <f>'Presupuesto 01000992'!AL6</f>
        <v>23752.827351311138</v>
      </c>
    </row>
    <row r="4" spans="1:13" ht="68.099999999999994" customHeight="1" x14ac:dyDescent="0.25">
      <c r="A4" s="293"/>
      <c r="B4" s="77" t="s">
        <v>134</v>
      </c>
      <c r="C4" s="77"/>
      <c r="D4" s="199"/>
      <c r="E4" s="78"/>
      <c r="F4" s="79">
        <v>14251</v>
      </c>
      <c r="G4" s="79">
        <v>9500</v>
      </c>
      <c r="H4" s="79">
        <v>111050</v>
      </c>
      <c r="I4" s="79">
        <v>257842</v>
      </c>
      <c r="J4" s="80" t="s">
        <v>132</v>
      </c>
      <c r="K4" s="80" t="s">
        <v>133</v>
      </c>
      <c r="L4" s="77" t="s">
        <v>178</v>
      </c>
      <c r="M4" s="81">
        <f>'Presupuesto 01000992'!AL8</f>
        <v>366822.28786740324</v>
      </c>
    </row>
    <row r="5" spans="1:13" ht="24" customHeight="1" x14ac:dyDescent="0.25">
      <c r="A5" s="293"/>
      <c r="B5" s="289" t="s">
        <v>135</v>
      </c>
      <c r="C5" s="200">
        <v>17643</v>
      </c>
      <c r="D5" s="201">
        <v>3890</v>
      </c>
      <c r="E5" s="201">
        <v>46543</v>
      </c>
      <c r="F5" s="92">
        <v>105000</v>
      </c>
      <c r="G5" s="92">
        <v>115000</v>
      </c>
      <c r="H5" s="92">
        <v>125000</v>
      </c>
      <c r="I5" s="92">
        <v>125000</v>
      </c>
      <c r="J5" s="289" t="s">
        <v>132</v>
      </c>
      <c r="K5" s="289" t="s">
        <v>133</v>
      </c>
      <c r="L5" s="77" t="s">
        <v>179</v>
      </c>
      <c r="M5" s="288">
        <f>'Presupuesto 01000992'!AL11+'Presupuesto 01000992'!AL20+'Presupuesto 01000992'!AL25+'Presupuesto 01000992'!AL27</f>
        <v>8714017.2376372833</v>
      </c>
    </row>
    <row r="6" spans="1:13" ht="23.45" customHeight="1" x14ac:dyDescent="0.25">
      <c r="A6" s="293"/>
      <c r="B6" s="289"/>
      <c r="C6" s="200"/>
      <c r="D6" s="201"/>
      <c r="E6" s="201"/>
      <c r="F6" s="92">
        <v>8750</v>
      </c>
      <c r="G6" s="92">
        <f>(1250*21)+51282</f>
        <v>77532</v>
      </c>
      <c r="H6" s="92">
        <f>35000+18000</f>
        <v>53000</v>
      </c>
      <c r="I6" s="92">
        <f>30000+18000</f>
        <v>48000</v>
      </c>
      <c r="J6" s="289"/>
      <c r="K6" s="289"/>
      <c r="L6" s="77" t="s">
        <v>180</v>
      </c>
      <c r="M6" s="288"/>
    </row>
    <row r="7" spans="1:13" ht="27.6" customHeight="1" x14ac:dyDescent="0.25">
      <c r="A7" s="293"/>
      <c r="B7" s="289"/>
      <c r="C7" s="200"/>
      <c r="D7" s="201"/>
      <c r="E7" s="199"/>
      <c r="F7" s="92"/>
      <c r="G7" s="92"/>
      <c r="H7" s="92">
        <v>3502</v>
      </c>
      <c r="I7" s="92"/>
      <c r="J7" s="289"/>
      <c r="K7" s="289"/>
      <c r="L7" s="77" t="s">
        <v>181</v>
      </c>
      <c r="M7" s="288"/>
    </row>
    <row r="8" spans="1:13" ht="27.6" customHeight="1" x14ac:dyDescent="0.25">
      <c r="A8" s="293"/>
      <c r="B8" s="289"/>
      <c r="C8" s="200"/>
      <c r="D8" s="201"/>
      <c r="E8" s="201">
        <v>14265</v>
      </c>
      <c r="F8" s="92"/>
      <c r="G8" s="92"/>
      <c r="H8" s="92"/>
      <c r="I8" s="92"/>
      <c r="J8" s="289"/>
      <c r="K8" s="289"/>
      <c r="L8" s="77" t="s">
        <v>182</v>
      </c>
      <c r="M8" s="288"/>
    </row>
    <row r="9" spans="1:13" ht="26.45" customHeight="1" x14ac:dyDescent="0.25">
      <c r="A9" s="293"/>
      <c r="B9" s="289"/>
      <c r="C9" s="200"/>
      <c r="D9" s="201"/>
      <c r="E9" s="201">
        <v>11345</v>
      </c>
      <c r="F9" s="92">
        <v>300000</v>
      </c>
      <c r="G9" s="92">
        <v>2200000</v>
      </c>
      <c r="H9" s="92">
        <v>2047514</v>
      </c>
      <c r="I9" s="92">
        <v>3500000</v>
      </c>
      <c r="J9" s="289"/>
      <c r="K9" s="289"/>
      <c r="L9" s="77" t="s">
        <v>183</v>
      </c>
      <c r="M9" s="288"/>
    </row>
    <row r="10" spans="1:13" ht="23.45" customHeight="1" x14ac:dyDescent="0.25">
      <c r="A10" s="293"/>
      <c r="B10" s="289"/>
      <c r="C10" s="93"/>
      <c r="D10" s="201"/>
      <c r="E10" s="92"/>
      <c r="F10" s="199"/>
      <c r="G10" s="92">
        <v>94326</v>
      </c>
      <c r="H10" s="92"/>
      <c r="I10" s="92">
        <v>200000</v>
      </c>
      <c r="J10" s="289"/>
      <c r="K10" s="289"/>
      <c r="L10" s="77" t="s">
        <v>184</v>
      </c>
      <c r="M10" s="288"/>
    </row>
    <row r="11" spans="1:13" ht="38.450000000000003" customHeight="1" x14ac:dyDescent="0.25">
      <c r="A11" s="293"/>
      <c r="B11" s="289" t="s">
        <v>136</v>
      </c>
      <c r="C11" s="77"/>
      <c r="D11" s="199"/>
      <c r="E11" s="78"/>
      <c r="F11" s="79">
        <v>16000</v>
      </c>
      <c r="G11" s="79">
        <v>63900</v>
      </c>
      <c r="H11" s="79"/>
      <c r="I11" s="79"/>
      <c r="J11" s="80" t="s">
        <v>132</v>
      </c>
      <c r="K11" s="80" t="s">
        <v>133</v>
      </c>
      <c r="L11" s="77" t="s">
        <v>178</v>
      </c>
      <c r="M11" s="290">
        <f>'Presupuesto 01000992'!AL33</f>
        <v>568848.06917468645</v>
      </c>
    </row>
    <row r="12" spans="1:13" ht="46.9" customHeight="1" x14ac:dyDescent="0.25">
      <c r="A12" s="293"/>
      <c r="B12" s="289"/>
      <c r="C12" s="77"/>
      <c r="D12" s="199"/>
      <c r="E12" s="78"/>
      <c r="F12" s="79"/>
      <c r="G12" s="79"/>
      <c r="H12" s="79">
        <v>143000</v>
      </c>
      <c r="I12" s="79">
        <v>379159</v>
      </c>
      <c r="J12" s="80" t="s">
        <v>132</v>
      </c>
      <c r="K12" s="80" t="s">
        <v>133</v>
      </c>
      <c r="L12" s="77" t="s">
        <v>183</v>
      </c>
      <c r="M12" s="290"/>
    </row>
    <row r="13" spans="1:13" x14ac:dyDescent="0.25">
      <c r="A13" s="293"/>
      <c r="B13" s="94" t="s">
        <v>137</v>
      </c>
      <c r="C13" s="192">
        <f t="shared" ref="C13:I13" si="0">SUM(C3:C11)</f>
        <v>17643</v>
      </c>
      <c r="D13" s="192">
        <f t="shared" si="0"/>
        <v>3890</v>
      </c>
      <c r="E13" s="192">
        <f t="shared" si="0"/>
        <v>72153</v>
      </c>
      <c r="F13" s="192">
        <f t="shared" si="0"/>
        <v>444001</v>
      </c>
      <c r="G13" s="192">
        <f t="shared" si="0"/>
        <v>2560258</v>
      </c>
      <c r="H13" s="192">
        <f t="shared" si="0"/>
        <v>2349567.1309405244</v>
      </c>
      <c r="I13" s="192">
        <f t="shared" si="0"/>
        <v>4145093.6964107868</v>
      </c>
      <c r="J13" s="95"/>
      <c r="K13" s="95"/>
      <c r="L13" s="94"/>
      <c r="M13" s="96">
        <f>SUM(M3:M11)</f>
        <v>9673440.4220306836</v>
      </c>
    </row>
    <row r="14" spans="1:13" ht="87.95" customHeight="1" x14ac:dyDescent="0.25">
      <c r="A14" s="293" t="s">
        <v>138</v>
      </c>
      <c r="B14" s="289" t="s">
        <v>139</v>
      </c>
      <c r="C14" s="93"/>
      <c r="D14" s="93"/>
      <c r="E14" s="201"/>
      <c r="F14" s="92"/>
      <c r="G14" s="92">
        <v>13797</v>
      </c>
      <c r="H14" s="201">
        <v>34597</v>
      </c>
      <c r="I14" s="201">
        <v>113800</v>
      </c>
      <c r="J14" s="289" t="s">
        <v>132</v>
      </c>
      <c r="K14" s="289" t="s">
        <v>133</v>
      </c>
      <c r="L14" s="77" t="s">
        <v>183</v>
      </c>
      <c r="M14" s="290">
        <f>'Presupuesto 01000992'!AL37</f>
        <v>184569.39351908967</v>
      </c>
    </row>
    <row r="15" spans="1:13" ht="16.5" customHeight="1" x14ac:dyDescent="0.25">
      <c r="A15" s="293"/>
      <c r="B15" s="289"/>
      <c r="C15" s="93"/>
      <c r="D15" s="93"/>
      <c r="E15" s="201"/>
      <c r="F15" s="92"/>
      <c r="G15" s="201"/>
      <c r="H15" s="201"/>
      <c r="I15" s="201">
        <v>22375</v>
      </c>
      <c r="J15" s="289"/>
      <c r="K15" s="289"/>
      <c r="L15" s="77" t="s">
        <v>184</v>
      </c>
      <c r="M15" s="290"/>
    </row>
    <row r="16" spans="1:13" x14ac:dyDescent="0.25">
      <c r="A16" s="293"/>
      <c r="B16" s="289" t="s">
        <v>140</v>
      </c>
      <c r="C16" s="77"/>
      <c r="D16" s="77"/>
      <c r="E16" s="78"/>
      <c r="F16" s="79"/>
      <c r="G16" s="79"/>
      <c r="H16" s="79">
        <v>39155</v>
      </c>
      <c r="I16" s="79">
        <v>39155</v>
      </c>
      <c r="J16" s="289" t="s">
        <v>132</v>
      </c>
      <c r="K16" s="289" t="s">
        <v>133</v>
      </c>
      <c r="L16" s="77" t="s">
        <v>181</v>
      </c>
      <c r="M16" s="288">
        <f>'Presupuesto 01000992'!AL40+'Presupuesto 01000992'!AL42+'Presupuesto 01000992'!AL44</f>
        <v>533786.27441456541</v>
      </c>
    </row>
    <row r="17" spans="1:15" x14ac:dyDescent="0.25">
      <c r="A17" s="293"/>
      <c r="B17" s="289"/>
      <c r="C17" s="77"/>
      <c r="D17" s="77"/>
      <c r="E17" s="78"/>
      <c r="F17" s="79"/>
      <c r="G17" s="79"/>
      <c r="H17" s="79">
        <f>51561/2</f>
        <v>25780.5</v>
      </c>
      <c r="I17" s="79">
        <f>51561/2</f>
        <v>25780.5</v>
      </c>
      <c r="J17" s="289"/>
      <c r="K17" s="289"/>
      <c r="L17" s="77" t="s">
        <v>182</v>
      </c>
      <c r="M17" s="288"/>
    </row>
    <row r="18" spans="1:15" ht="35.450000000000003" customHeight="1" x14ac:dyDescent="0.25">
      <c r="A18" s="293"/>
      <c r="B18" s="289"/>
      <c r="C18" s="77"/>
      <c r="D18" s="77"/>
      <c r="E18" s="78">
        <v>40094</v>
      </c>
      <c r="F18" s="79">
        <v>3906</v>
      </c>
      <c r="G18" s="79">
        <v>24283</v>
      </c>
      <c r="H18" s="79">
        <v>335632</v>
      </c>
      <c r="I18" s="79"/>
      <c r="J18" s="289"/>
      <c r="K18" s="289"/>
      <c r="L18" s="77" t="s">
        <v>183</v>
      </c>
      <c r="M18" s="288"/>
    </row>
    <row r="19" spans="1:15" ht="65.45" customHeight="1" x14ac:dyDescent="0.25">
      <c r="A19" s="293"/>
      <c r="B19" s="77" t="s">
        <v>141</v>
      </c>
      <c r="C19" s="77"/>
      <c r="D19" s="77"/>
      <c r="E19" s="78"/>
      <c r="F19" s="79"/>
      <c r="G19" s="79"/>
      <c r="H19" s="79">
        <f>M19*0.5</f>
        <v>23656.50553003664</v>
      </c>
      <c r="I19" s="79">
        <f>M19*0.5</f>
        <v>23656.50553003664</v>
      </c>
      <c r="J19" s="80" t="s">
        <v>132</v>
      </c>
      <c r="K19" s="80" t="s">
        <v>133</v>
      </c>
      <c r="L19" s="77" t="s">
        <v>178</v>
      </c>
      <c r="M19" s="82">
        <f>'Presupuesto 01000992'!AL46</f>
        <v>47313.011060073281</v>
      </c>
      <c r="O19" s="212"/>
    </row>
    <row r="20" spans="1:15" ht="24" x14ac:dyDescent="0.25">
      <c r="A20" s="293"/>
      <c r="B20" s="289" t="s">
        <v>142</v>
      </c>
      <c r="C20" s="77"/>
      <c r="D20" s="77"/>
      <c r="E20" s="201"/>
      <c r="F20" s="79">
        <v>18258</v>
      </c>
      <c r="G20" s="92"/>
      <c r="H20" s="92">
        <f>M20/2-64145</f>
        <v>1257532.6175515638</v>
      </c>
      <c r="I20" s="92">
        <f>1303420-230000</f>
        <v>1073420</v>
      </c>
      <c r="J20" s="93" t="s">
        <v>132</v>
      </c>
      <c r="K20" s="93" t="s">
        <v>133</v>
      </c>
      <c r="L20" s="77" t="s">
        <v>183</v>
      </c>
      <c r="M20" s="288">
        <f>'Presupuesto 01000992'!AL48+'Presupuesto 01000992'!AL51</f>
        <v>2643355.2351031275</v>
      </c>
    </row>
    <row r="21" spans="1:15" ht="62.45" customHeight="1" x14ac:dyDescent="0.25">
      <c r="A21" s="293"/>
      <c r="B21" s="289"/>
      <c r="C21" s="77"/>
      <c r="D21" s="77"/>
      <c r="E21" s="201"/>
      <c r="F21" s="79"/>
      <c r="G21" s="92">
        <v>218500</v>
      </c>
      <c r="H21" s="92">
        <f>75645/2</f>
        <v>37822.5</v>
      </c>
      <c r="I21" s="92">
        <f>75645/2</f>
        <v>37822.5</v>
      </c>
      <c r="J21" s="93"/>
      <c r="K21" s="93"/>
      <c r="L21" s="77" t="s">
        <v>178</v>
      </c>
      <c r="M21" s="288"/>
    </row>
    <row r="22" spans="1:15" ht="36" customHeight="1" x14ac:dyDescent="0.25">
      <c r="A22" s="293"/>
      <c r="B22" s="202" t="s">
        <v>174</v>
      </c>
      <c r="C22" s="80"/>
      <c r="D22" s="203"/>
      <c r="E22" s="203"/>
      <c r="F22" s="203"/>
      <c r="G22" s="81">
        <v>100000</v>
      </c>
      <c r="H22" s="81">
        <v>200000</v>
      </c>
      <c r="I22" s="81">
        <v>200000</v>
      </c>
      <c r="J22" s="80" t="s">
        <v>132</v>
      </c>
      <c r="K22" s="80" t="s">
        <v>133</v>
      </c>
      <c r="L22" s="77" t="s">
        <v>178</v>
      </c>
      <c r="M22" s="81">
        <f>'Presupuesto 01000992'!AL54</f>
        <v>500000</v>
      </c>
    </row>
    <row r="23" spans="1:15" x14ac:dyDescent="0.25">
      <c r="A23" s="293"/>
      <c r="B23" s="94" t="s">
        <v>143</v>
      </c>
      <c r="C23" s="192">
        <f t="shared" ref="C23:I23" si="1">SUM(C14:C22)</f>
        <v>0</v>
      </c>
      <c r="D23" s="192">
        <f t="shared" si="1"/>
        <v>0</v>
      </c>
      <c r="E23" s="192">
        <f t="shared" si="1"/>
        <v>40094</v>
      </c>
      <c r="F23" s="192">
        <f t="shared" si="1"/>
        <v>22164</v>
      </c>
      <c r="G23" s="192">
        <f t="shared" si="1"/>
        <v>356580</v>
      </c>
      <c r="H23" s="192">
        <f t="shared" si="1"/>
        <v>1954176.1230816003</v>
      </c>
      <c r="I23" s="192">
        <f t="shared" si="1"/>
        <v>1536009.5055300365</v>
      </c>
      <c r="J23" s="95"/>
      <c r="K23" s="95"/>
      <c r="L23" s="94"/>
      <c r="M23" s="96">
        <f>SUM(M14:M22)</f>
        <v>3909023.914096856</v>
      </c>
    </row>
    <row r="24" spans="1:15" ht="21.6" customHeight="1" x14ac:dyDescent="0.25">
      <c r="A24" s="291" t="s">
        <v>144</v>
      </c>
      <c r="B24" s="289" t="s">
        <v>145</v>
      </c>
      <c r="C24" s="77"/>
      <c r="D24" s="77"/>
      <c r="E24" s="77"/>
      <c r="F24" s="78"/>
      <c r="G24" s="79"/>
      <c r="H24" s="79">
        <v>3502</v>
      </c>
      <c r="I24" s="79"/>
      <c r="J24" s="289" t="s">
        <v>132</v>
      </c>
      <c r="K24" s="289" t="s">
        <v>133</v>
      </c>
      <c r="L24" s="77" t="s">
        <v>178</v>
      </c>
      <c r="M24" s="288">
        <f>'Presupuesto 01000992'!AL56+'Presupuesto 01000992'!AL58+'Presupuesto 01000992'!AL60</f>
        <v>295100.52818640135</v>
      </c>
    </row>
    <row r="25" spans="1:15" x14ac:dyDescent="0.25">
      <c r="A25" s="291"/>
      <c r="B25" s="289"/>
      <c r="C25" s="77"/>
      <c r="D25" s="77"/>
      <c r="E25" s="77"/>
      <c r="F25" s="78"/>
      <c r="G25" s="79"/>
      <c r="H25" s="79">
        <v>27244</v>
      </c>
      <c r="I25" s="79"/>
      <c r="J25" s="289"/>
      <c r="K25" s="289"/>
      <c r="L25" s="77" t="s">
        <v>182</v>
      </c>
      <c r="M25" s="288"/>
    </row>
    <row r="26" spans="1:15" x14ac:dyDescent="0.25">
      <c r="A26" s="291"/>
      <c r="B26" s="289"/>
      <c r="C26" s="77"/>
      <c r="D26" s="77"/>
      <c r="E26" s="77"/>
      <c r="F26" s="78">
        <v>22000</v>
      </c>
      <c r="G26" s="79">
        <v>50000</v>
      </c>
      <c r="H26" s="79">
        <v>100564</v>
      </c>
      <c r="I26" s="79">
        <v>72355</v>
      </c>
      <c r="J26" s="289"/>
      <c r="K26" s="289"/>
      <c r="L26" s="77" t="s">
        <v>183</v>
      </c>
      <c r="M26" s="288"/>
    </row>
    <row r="27" spans="1:15" ht="19.899999999999999" customHeight="1" x14ac:dyDescent="0.25">
      <c r="A27" s="291"/>
      <c r="B27" s="289"/>
      <c r="C27" s="77"/>
      <c r="D27" s="77"/>
      <c r="E27" s="77"/>
      <c r="F27" s="78"/>
      <c r="G27" s="79"/>
      <c r="H27" s="79"/>
      <c r="I27" s="79">
        <v>19436</v>
      </c>
      <c r="J27" s="289"/>
      <c r="K27" s="289"/>
      <c r="L27" s="77" t="s">
        <v>184</v>
      </c>
      <c r="M27" s="288"/>
    </row>
    <row r="28" spans="1:15" ht="88.5" customHeight="1" x14ac:dyDescent="0.25">
      <c r="A28" s="291"/>
      <c r="B28" s="77" t="s">
        <v>146</v>
      </c>
      <c r="C28" s="77"/>
      <c r="D28" s="77"/>
      <c r="E28" s="77"/>
      <c r="F28" s="78">
        <v>4000</v>
      </c>
      <c r="G28" s="79">
        <v>10000</v>
      </c>
      <c r="H28" s="79">
        <v>36126</v>
      </c>
      <c r="I28" s="79"/>
      <c r="J28" s="80" t="s">
        <v>132</v>
      </c>
      <c r="K28" s="80" t="s">
        <v>133</v>
      </c>
      <c r="L28" s="77" t="s">
        <v>183</v>
      </c>
      <c r="M28" s="82">
        <f>'Presupuesto 01000992'!AL63</f>
        <v>50126</v>
      </c>
    </row>
    <row r="29" spans="1:15" ht="38.1" customHeight="1" x14ac:dyDescent="0.25">
      <c r="A29" s="291"/>
      <c r="B29" s="77" t="s">
        <v>147</v>
      </c>
      <c r="C29" s="77"/>
      <c r="D29" s="77"/>
      <c r="E29" s="77"/>
      <c r="F29" s="78"/>
      <c r="G29" s="79">
        <v>54905</v>
      </c>
      <c r="H29" s="79">
        <f>308779-154389.82</f>
        <v>154389.18</v>
      </c>
      <c r="I29" s="79">
        <f>367869+154389.82</f>
        <v>522258.82</v>
      </c>
      <c r="J29" s="80" t="s">
        <v>132</v>
      </c>
      <c r="K29" s="80" t="s">
        <v>133</v>
      </c>
      <c r="L29" s="77" t="s">
        <v>183</v>
      </c>
      <c r="M29" s="82">
        <f>'Presupuesto 01000992'!AL65</f>
        <v>705893.24986575043</v>
      </c>
    </row>
    <row r="30" spans="1:15" ht="51" customHeight="1" x14ac:dyDescent="0.25">
      <c r="A30" s="291"/>
      <c r="B30" s="77" t="s">
        <v>148</v>
      </c>
      <c r="C30" s="77"/>
      <c r="D30" s="77"/>
      <c r="E30" s="190">
        <v>3356</v>
      </c>
      <c r="F30" s="78"/>
      <c r="G30" s="79">
        <v>114166</v>
      </c>
      <c r="H30" s="79">
        <v>600000</v>
      </c>
      <c r="I30" s="79">
        <v>943748</v>
      </c>
      <c r="J30" s="80" t="s">
        <v>132</v>
      </c>
      <c r="K30" s="80" t="s">
        <v>133</v>
      </c>
      <c r="L30" s="77" t="s">
        <v>183</v>
      </c>
      <c r="M30" s="81">
        <f>'Presupuesto 01000992'!AL68</f>
        <v>1557746.4691679687</v>
      </c>
    </row>
    <row r="31" spans="1:15" x14ac:dyDescent="0.25">
      <c r="A31" s="291"/>
      <c r="B31" s="84" t="s">
        <v>149</v>
      </c>
      <c r="C31" s="193">
        <f>SUM(C24:C30)</f>
        <v>0</v>
      </c>
      <c r="D31" s="193">
        <f t="shared" ref="D31:I31" si="2">SUM(D24:D30)</f>
        <v>0</v>
      </c>
      <c r="E31" s="193">
        <f t="shared" si="2"/>
        <v>3356</v>
      </c>
      <c r="F31" s="193">
        <f t="shared" si="2"/>
        <v>26000</v>
      </c>
      <c r="G31" s="193">
        <f t="shared" si="2"/>
        <v>229071</v>
      </c>
      <c r="H31" s="193">
        <f t="shared" si="2"/>
        <v>921825.17999999993</v>
      </c>
      <c r="I31" s="193">
        <f t="shared" si="2"/>
        <v>1557797.82</v>
      </c>
      <c r="J31" s="85"/>
      <c r="K31" s="85"/>
      <c r="L31" s="84"/>
      <c r="M31" s="83">
        <f>SUM(M24:M30)</f>
        <v>2608866.2472201204</v>
      </c>
    </row>
    <row r="32" spans="1:15" ht="24" x14ac:dyDescent="0.25">
      <c r="A32" s="291" t="s">
        <v>72</v>
      </c>
      <c r="B32" s="291"/>
      <c r="C32" s="110"/>
      <c r="D32" s="86"/>
      <c r="E32" s="86"/>
      <c r="F32" s="82"/>
      <c r="G32" s="82"/>
      <c r="H32" s="82"/>
      <c r="I32" s="82">
        <v>40000</v>
      </c>
      <c r="J32" s="80" t="s">
        <v>132</v>
      </c>
      <c r="K32" s="80" t="s">
        <v>133</v>
      </c>
      <c r="L32" s="77" t="s">
        <v>185</v>
      </c>
      <c r="M32" s="82">
        <f>'Presupuesto 01000992'!AL77</f>
        <v>40000</v>
      </c>
    </row>
    <row r="33" spans="1:13" ht="24" x14ac:dyDescent="0.25">
      <c r="A33" s="291" t="s">
        <v>73</v>
      </c>
      <c r="B33" s="291"/>
      <c r="C33" s="110"/>
      <c r="D33" s="86"/>
      <c r="E33" s="86"/>
      <c r="F33" s="82"/>
      <c r="G33" s="82"/>
      <c r="H33" s="82"/>
      <c r="I33" s="82">
        <v>5000</v>
      </c>
      <c r="J33" s="80" t="s">
        <v>132</v>
      </c>
      <c r="K33" s="80" t="s">
        <v>133</v>
      </c>
      <c r="L33" s="77" t="s">
        <v>186</v>
      </c>
      <c r="M33" s="82">
        <f>'Presupuesto 01000992'!AL78</f>
        <v>5000</v>
      </c>
    </row>
    <row r="34" spans="1:13" ht="24" x14ac:dyDescent="0.25">
      <c r="A34" s="291" t="s">
        <v>150</v>
      </c>
      <c r="B34" s="291"/>
      <c r="C34" s="194">
        <f t="shared" ref="C34:H34" si="3">(C13+C23+C31)*0.05</f>
        <v>882.15000000000009</v>
      </c>
      <c r="D34" s="194">
        <f t="shared" si="3"/>
        <v>194.5</v>
      </c>
      <c r="E34" s="194">
        <f t="shared" si="3"/>
        <v>5780.1500000000005</v>
      </c>
      <c r="F34" s="194">
        <f t="shared" si="3"/>
        <v>24608.25</v>
      </c>
      <c r="G34" s="194">
        <f t="shared" si="3"/>
        <v>157295.45000000001</v>
      </c>
      <c r="H34" s="194">
        <f t="shared" si="3"/>
        <v>261278.42170110624</v>
      </c>
      <c r="I34" s="194">
        <f>(I13+I23+I31+I32+I33)*0.05</f>
        <v>364195.05109704123</v>
      </c>
      <c r="J34" s="80" t="s">
        <v>132</v>
      </c>
      <c r="K34" s="80" t="s">
        <v>133</v>
      </c>
      <c r="L34" s="77" t="s">
        <v>187</v>
      </c>
      <c r="M34" s="82">
        <f>'Presupuesto 01000992'!AL81</f>
        <v>811816.52916738321</v>
      </c>
    </row>
    <row r="35" spans="1:13" x14ac:dyDescent="0.25">
      <c r="A35" s="292" t="s">
        <v>120</v>
      </c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87">
        <f>M13+M23+M31+M32+M33+M34</f>
        <v>17048147.112515043</v>
      </c>
    </row>
    <row r="36" spans="1:13" x14ac:dyDescent="0.25">
      <c r="E36" s="116"/>
      <c r="F36" s="116"/>
      <c r="G36" s="116"/>
      <c r="H36" s="116"/>
      <c r="I36" s="116"/>
    </row>
    <row r="37" spans="1:13" x14ac:dyDescent="0.25">
      <c r="C37" s="115"/>
      <c r="D37" s="115"/>
      <c r="E37" s="115"/>
      <c r="F37" s="115"/>
      <c r="G37" s="115"/>
      <c r="H37" s="115"/>
      <c r="I37" s="115"/>
      <c r="J37" s="117"/>
      <c r="M37" s="191"/>
    </row>
    <row r="38" spans="1:13" s="90" customFormat="1" x14ac:dyDescent="0.25">
      <c r="A38"/>
      <c r="B38" s="88"/>
      <c r="C38" s="88"/>
      <c r="D38" s="89"/>
      <c r="E38" s="115"/>
      <c r="F38" s="115"/>
      <c r="G38" s="115"/>
      <c r="H38" s="115"/>
      <c r="I38" s="115"/>
      <c r="J38" s="115"/>
      <c r="K38"/>
      <c r="L38"/>
      <c r="M38"/>
    </row>
    <row r="39" spans="1:13" s="90" customFormat="1" x14ac:dyDescent="0.25">
      <c r="A39"/>
      <c r="D39" s="114"/>
      <c r="F39" s="114"/>
      <c r="G39" s="114"/>
      <c r="H39" s="114"/>
      <c r="I39" s="114"/>
      <c r="J39" s="117"/>
      <c r="K39"/>
      <c r="L39"/>
      <c r="M39" s="91"/>
    </row>
    <row r="40" spans="1:13" x14ac:dyDescent="0.25">
      <c r="C40" s="114"/>
      <c r="D40" s="114"/>
      <c r="E40" s="114"/>
      <c r="F40" s="114"/>
      <c r="G40" s="114"/>
      <c r="H40" s="114"/>
      <c r="I40" s="114"/>
      <c r="J40" s="117"/>
      <c r="M40" s="111"/>
    </row>
    <row r="41" spans="1:13" x14ac:dyDescent="0.25">
      <c r="C41" s="114"/>
      <c r="D41" s="114"/>
      <c r="E41" s="114"/>
      <c r="F41" s="114"/>
      <c r="M41" s="111"/>
    </row>
    <row r="42" spans="1:13" x14ac:dyDescent="0.25">
      <c r="M42" s="111"/>
    </row>
    <row r="43" spans="1:13" x14ac:dyDescent="0.25">
      <c r="M43" s="111"/>
    </row>
  </sheetData>
  <autoFilter ref="A1:M35" xr:uid="{18B62289-B29C-4C2A-B60B-B7FF5F181007}">
    <filterColumn colId="3" showButton="0"/>
    <filterColumn colId="10" showButton="0"/>
    <filterColumn colId="11" showButton="0"/>
  </autoFilter>
  <mergeCells count="34">
    <mergeCell ref="A3:A13"/>
    <mergeCell ref="J5:J10"/>
    <mergeCell ref="K5:K10"/>
    <mergeCell ref="M5:M10"/>
    <mergeCell ref="B11:B12"/>
    <mergeCell ref="B5:B10"/>
    <mergeCell ref="M11:M12"/>
    <mergeCell ref="A1:A2"/>
    <mergeCell ref="B1:B2"/>
    <mergeCell ref="J1:J2"/>
    <mergeCell ref="K1:M1"/>
    <mergeCell ref="C1:C2"/>
    <mergeCell ref="D1:G1"/>
    <mergeCell ref="H1:I1"/>
    <mergeCell ref="A34:B34"/>
    <mergeCell ref="A35:L35"/>
    <mergeCell ref="A32:B32"/>
    <mergeCell ref="A14:A23"/>
    <mergeCell ref="J14:J15"/>
    <mergeCell ref="K14:K15"/>
    <mergeCell ref="A24:A31"/>
    <mergeCell ref="A33:B33"/>
    <mergeCell ref="B20:B21"/>
    <mergeCell ref="M14:M15"/>
    <mergeCell ref="B16:B18"/>
    <mergeCell ref="B14:B15"/>
    <mergeCell ref="J16:J18"/>
    <mergeCell ref="K16:K18"/>
    <mergeCell ref="M16:M18"/>
    <mergeCell ref="M20:M21"/>
    <mergeCell ref="B24:B27"/>
    <mergeCell ref="J24:J27"/>
    <mergeCell ref="K24:K27"/>
    <mergeCell ref="M24:M2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4217E-F8CF-4A98-94A4-D1C622C90D09}">
  <sheetPr>
    <tabColor theme="7" tint="0.39997558519241921"/>
  </sheetPr>
  <dimension ref="A1:V75"/>
  <sheetViews>
    <sheetView showGridLines="0" topLeftCell="B28" zoomScaleNormal="100" workbookViewId="0">
      <selection activeCell="G80" sqref="G78:G80"/>
    </sheetView>
  </sheetViews>
  <sheetFormatPr baseColWidth="10" defaultColWidth="11.42578125" defaultRowHeight="15" x14ac:dyDescent="0.25"/>
  <cols>
    <col min="1" max="1" width="36.140625" customWidth="1"/>
    <col min="2" max="2" width="37.42578125" customWidth="1"/>
    <col min="3" max="3" width="59.42578125" customWidth="1"/>
    <col min="4" max="4" width="15.140625" customWidth="1"/>
    <col min="5" max="5" width="12.5703125" style="27" customWidth="1"/>
    <col min="6" max="6" width="12" style="28" customWidth="1"/>
    <col min="7" max="7" width="20.140625" style="29" customWidth="1"/>
    <col min="8" max="8" width="10" customWidth="1"/>
    <col min="9" max="10" width="5.28515625" customWidth="1"/>
    <col min="11" max="11" width="4.7109375" customWidth="1"/>
    <col min="12" max="12" width="5.7109375" customWidth="1"/>
    <col min="13" max="13" width="6.85546875" customWidth="1"/>
    <col min="14" max="14" width="8.5703125" customWidth="1"/>
    <col min="15" max="15" width="20.42578125" customWidth="1"/>
    <col min="16" max="16" width="25.42578125" customWidth="1"/>
    <col min="17" max="17" width="18.42578125" bestFit="1" customWidth="1"/>
    <col min="18" max="18" width="19.42578125" bestFit="1" customWidth="1"/>
    <col min="19" max="19" width="13.140625" bestFit="1" customWidth="1"/>
    <col min="20" max="20" width="14.5703125" bestFit="1" customWidth="1"/>
    <col min="21" max="21" width="16.5703125" bestFit="1" customWidth="1"/>
    <col min="22" max="22" width="12.140625" bestFit="1" customWidth="1"/>
  </cols>
  <sheetData>
    <row r="1" spans="1:20" ht="77.099999999999994" customHeight="1" x14ac:dyDescent="0.25">
      <c r="A1" s="262" t="s">
        <v>0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306"/>
    </row>
    <row r="2" spans="1:20" ht="56.1" customHeight="1" x14ac:dyDescent="0.25">
      <c r="A2" s="264" t="s">
        <v>1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</row>
    <row r="3" spans="1:20" ht="72.599999999999994" customHeight="1" thickBot="1" x14ac:dyDescent="0.3">
      <c r="A3" s="265" t="s">
        <v>2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307"/>
    </row>
    <row r="4" spans="1:20" ht="63.95" customHeight="1" x14ac:dyDescent="0.25">
      <c r="A4" s="267" t="s">
        <v>3</v>
      </c>
      <c r="B4" s="268"/>
      <c r="C4" s="268"/>
      <c r="D4" s="268" t="s">
        <v>4</v>
      </c>
      <c r="E4" s="271" t="s">
        <v>5</v>
      </c>
      <c r="F4" s="268" t="s">
        <v>6</v>
      </c>
      <c r="G4" s="273" t="s">
        <v>7</v>
      </c>
      <c r="H4" s="195" t="s">
        <v>175</v>
      </c>
      <c r="I4" s="312" t="s">
        <v>176</v>
      </c>
      <c r="J4" s="313"/>
      <c r="K4" s="313"/>
      <c r="L4" s="314"/>
      <c r="M4" s="311" t="s">
        <v>177</v>
      </c>
      <c r="N4" s="311"/>
      <c r="O4" s="308" t="s">
        <v>111</v>
      </c>
      <c r="P4" s="309" t="s">
        <v>112</v>
      </c>
    </row>
    <row r="5" spans="1:20" ht="12" customHeight="1" x14ac:dyDescent="0.25">
      <c r="A5" s="269"/>
      <c r="B5" s="270"/>
      <c r="C5" s="270"/>
      <c r="D5" s="270"/>
      <c r="E5" s="272"/>
      <c r="F5" s="270"/>
      <c r="G5" s="274"/>
      <c r="H5" s="75" t="s">
        <v>152</v>
      </c>
      <c r="I5" s="75" t="s">
        <v>113</v>
      </c>
      <c r="J5" s="75" t="s">
        <v>114</v>
      </c>
      <c r="K5" s="75"/>
      <c r="L5" s="75"/>
      <c r="M5" s="75" t="s">
        <v>113</v>
      </c>
      <c r="N5" s="75" t="s">
        <v>114</v>
      </c>
      <c r="O5" s="308"/>
      <c r="P5" s="310"/>
    </row>
    <row r="6" spans="1:20" ht="24" customHeight="1" x14ac:dyDescent="0.25">
      <c r="A6" s="241" t="s">
        <v>15</v>
      </c>
      <c r="B6" s="257" t="s">
        <v>16</v>
      </c>
      <c r="C6" s="222" t="s">
        <v>17</v>
      </c>
      <c r="D6" s="222"/>
      <c r="E6" s="222"/>
      <c r="F6" s="222"/>
      <c r="G6" s="3">
        <f>G7</f>
        <v>23752.827351311138</v>
      </c>
      <c r="H6" s="303" t="s">
        <v>115</v>
      </c>
      <c r="I6" s="303" t="s">
        <v>115</v>
      </c>
      <c r="J6" s="303" t="s">
        <v>115</v>
      </c>
      <c r="K6" s="303" t="s">
        <v>115</v>
      </c>
      <c r="L6" s="303" t="s">
        <v>115</v>
      </c>
      <c r="M6" s="303" t="s">
        <v>115</v>
      </c>
      <c r="N6" s="303" t="s">
        <v>115</v>
      </c>
      <c r="O6" s="301" t="s">
        <v>116</v>
      </c>
      <c r="P6" s="302" t="s">
        <v>117</v>
      </c>
    </row>
    <row r="7" spans="1:20" ht="50.45" customHeight="1" x14ac:dyDescent="0.25">
      <c r="A7" s="242"/>
      <c r="B7" s="257"/>
      <c r="C7" s="4" t="s">
        <v>18</v>
      </c>
      <c r="D7" s="5" t="s">
        <v>19</v>
      </c>
      <c r="E7" s="5">
        <f>AVERAGE('Presupuesto 01000992'!V7,'Presupuesto 01000992'!Z7,'Presupuesto 01000992'!AD7,'Presupuesto 01000992'!AH7)</f>
        <v>23752.827351311138</v>
      </c>
      <c r="F7" s="6">
        <f>'Presupuesto 01000992'!AK7</f>
        <v>1</v>
      </c>
      <c r="G7" s="20">
        <f>'Presupuesto 01000992'!AL7</f>
        <v>23752.827351311138</v>
      </c>
      <c r="H7" s="304"/>
      <c r="I7" s="304"/>
      <c r="J7" s="304"/>
      <c r="K7" s="304"/>
      <c r="L7" s="304"/>
      <c r="M7" s="304"/>
      <c r="N7" s="304"/>
      <c r="O7" s="301"/>
      <c r="P7" s="302"/>
      <c r="Q7" s="10"/>
      <c r="R7" s="10"/>
      <c r="S7" s="10"/>
      <c r="T7" s="10"/>
    </row>
    <row r="8" spans="1:20" ht="20.100000000000001" customHeight="1" x14ac:dyDescent="0.25">
      <c r="A8" s="242"/>
      <c r="B8" s="217" t="s">
        <v>20</v>
      </c>
      <c r="C8" s="222" t="s">
        <v>17</v>
      </c>
      <c r="D8" s="222"/>
      <c r="E8" s="222"/>
      <c r="F8" s="222"/>
      <c r="G8" s="3">
        <f>SUM(G9:G10)</f>
        <v>366822.28786740324</v>
      </c>
      <c r="H8" s="303" t="s">
        <v>115</v>
      </c>
      <c r="I8" s="303" t="s">
        <v>115</v>
      </c>
      <c r="J8" s="303" t="s">
        <v>115</v>
      </c>
      <c r="K8" s="303" t="s">
        <v>115</v>
      </c>
      <c r="L8" s="303" t="s">
        <v>115</v>
      </c>
      <c r="M8" s="303" t="s">
        <v>115</v>
      </c>
      <c r="N8" s="303" t="s">
        <v>115</v>
      </c>
      <c r="O8" s="301"/>
      <c r="P8" s="302"/>
      <c r="Q8" s="10"/>
      <c r="R8" s="10"/>
      <c r="S8" s="10"/>
      <c r="T8" s="10"/>
    </row>
    <row r="9" spans="1:20" ht="71.45" customHeight="1" x14ac:dyDescent="0.25">
      <c r="A9" s="242"/>
      <c r="B9" s="218"/>
      <c r="C9" s="4" t="s">
        <v>21</v>
      </c>
      <c r="D9" s="5" t="s">
        <v>19</v>
      </c>
      <c r="E9" s="5">
        <f>AVERAGE('Presupuesto 01000992'!V9,'Presupuesto 01000992'!Z9,'Presupuesto 01000992'!AD9,'Presupuesto 01000992'!AH9)</f>
        <v>23752.827351311138</v>
      </c>
      <c r="F9" s="6">
        <f>'Presupuesto 01000992'!AK9</f>
        <v>1</v>
      </c>
      <c r="G9" s="20">
        <f>'Presupuesto 01000992'!AL9</f>
        <v>23752.827351311138</v>
      </c>
      <c r="H9" s="305"/>
      <c r="I9" s="305"/>
      <c r="J9" s="305"/>
      <c r="K9" s="305"/>
      <c r="L9" s="305"/>
      <c r="M9" s="305"/>
      <c r="N9" s="305"/>
      <c r="O9" s="301"/>
      <c r="P9" s="302"/>
      <c r="Q9" s="10"/>
      <c r="R9" s="10"/>
      <c r="S9" s="10"/>
      <c r="T9" s="10"/>
    </row>
    <row r="10" spans="1:20" ht="14.45" customHeight="1" x14ac:dyDescent="0.25">
      <c r="A10" s="242"/>
      <c r="B10" s="219"/>
      <c r="C10" s="136" t="s">
        <v>156</v>
      </c>
      <c r="D10" s="5" t="str">
        <f>'Presupuesto 01000992'!AG10</f>
        <v>ASBV</v>
      </c>
      <c r="E10" s="5">
        <f>AVERAGE('Presupuesto 01000992'!V10,'Presupuesto 01000992'!Z10,'Presupuesto 01000992'!AD10,'Presupuesto 01000992'!AH10)</f>
        <v>14916.063500699654</v>
      </c>
      <c r="F10" s="6">
        <f>'Presupuesto 01000992'!AK10</f>
        <v>23</v>
      </c>
      <c r="G10" s="20">
        <f>'Presupuesto 01000992'!AL10</f>
        <v>343069.46051609208</v>
      </c>
      <c r="H10" s="304"/>
      <c r="I10" s="304"/>
      <c r="J10" s="304"/>
      <c r="K10" s="304"/>
      <c r="L10" s="304"/>
      <c r="M10" s="304"/>
      <c r="N10" s="304"/>
      <c r="O10" s="301"/>
      <c r="P10" s="302"/>
      <c r="Q10" s="10"/>
      <c r="R10" s="10"/>
      <c r="S10" s="10"/>
      <c r="T10" s="10"/>
    </row>
    <row r="11" spans="1:20" ht="14.45" customHeight="1" x14ac:dyDescent="0.25">
      <c r="A11" s="242"/>
      <c r="B11" s="217" t="s">
        <v>22</v>
      </c>
      <c r="C11" s="222" t="s">
        <v>23</v>
      </c>
      <c r="D11" s="222"/>
      <c r="E11" s="222"/>
      <c r="F11" s="222"/>
      <c r="G11" s="3">
        <f>SUM(G12:G19)</f>
        <v>515075.68831168837</v>
      </c>
      <c r="H11" s="303" t="s">
        <v>115</v>
      </c>
      <c r="I11" s="303" t="s">
        <v>115</v>
      </c>
      <c r="J11" s="303" t="s">
        <v>115</v>
      </c>
      <c r="K11" s="303" t="s">
        <v>115</v>
      </c>
      <c r="L11" s="303" t="s">
        <v>115</v>
      </c>
      <c r="M11" s="303" t="s">
        <v>115</v>
      </c>
      <c r="N11" s="303" t="s">
        <v>115</v>
      </c>
      <c r="O11" s="301"/>
      <c r="P11" s="302"/>
      <c r="Q11" s="10"/>
      <c r="R11" s="10"/>
      <c r="S11" s="10"/>
      <c r="T11" s="10"/>
    </row>
    <row r="12" spans="1:20" x14ac:dyDescent="0.25">
      <c r="A12" s="242"/>
      <c r="B12" s="218"/>
      <c r="C12" s="11" t="s">
        <v>24</v>
      </c>
      <c r="D12" s="12" t="s">
        <v>25</v>
      </c>
      <c r="E12" s="5">
        <f>AVERAGE('Presupuesto 01000992'!V12,'Presupuesto 01000992'!Z12,'Presupuesto 01000992'!AD12,'Presupuesto 01000992'!AH12)</f>
        <v>4602.6681096681095</v>
      </c>
      <c r="F12" s="6">
        <f>'Presupuesto 01000992'!AK12</f>
        <v>28</v>
      </c>
      <c r="G12" s="20">
        <f>'Presupuesto 01000992'!AL12</f>
        <v>131184.05194805196</v>
      </c>
      <c r="H12" s="305"/>
      <c r="I12" s="305"/>
      <c r="J12" s="305"/>
      <c r="K12" s="305"/>
      <c r="L12" s="305"/>
      <c r="M12" s="305"/>
      <c r="N12" s="305"/>
      <c r="O12" s="301"/>
      <c r="P12" s="302"/>
      <c r="Q12" s="10"/>
      <c r="R12" s="10"/>
      <c r="S12" s="10"/>
      <c r="T12" s="10"/>
    </row>
    <row r="13" spans="1:20" x14ac:dyDescent="0.25">
      <c r="A13" s="242"/>
      <c r="B13" s="218"/>
      <c r="C13" s="11" t="s">
        <v>26</v>
      </c>
      <c r="D13" s="12" t="s">
        <v>25</v>
      </c>
      <c r="E13" s="5">
        <f>AVERAGE('Presupuesto 01000992'!V13,'Presupuesto 01000992'!Z13,'Presupuesto 01000992'!AD13,'Presupuesto 01000992'!AH13)</f>
        <v>2342.096850861557</v>
      </c>
      <c r="F13" s="6">
        <f>'Presupuesto 01000992'!AK13</f>
        <v>28</v>
      </c>
      <c r="G13" s="20">
        <f>'Presupuesto 01000992'!AL13</f>
        <v>65843.486631016043</v>
      </c>
      <c r="H13" s="305"/>
      <c r="I13" s="305"/>
      <c r="J13" s="305"/>
      <c r="K13" s="305"/>
      <c r="L13" s="305"/>
      <c r="M13" s="305"/>
      <c r="N13" s="305"/>
      <c r="O13" s="301"/>
      <c r="P13" s="302"/>
      <c r="Q13" s="10"/>
      <c r="R13" s="10"/>
      <c r="S13" s="10"/>
      <c r="T13" s="10"/>
    </row>
    <row r="14" spans="1:20" x14ac:dyDescent="0.25">
      <c r="A14" s="242"/>
      <c r="B14" s="218"/>
      <c r="C14" s="11" t="s">
        <v>27</v>
      </c>
      <c r="D14" s="12" t="s">
        <v>25</v>
      </c>
      <c r="E14" s="5">
        <f>AVERAGE('Presupuesto 01000992'!V14,'Presupuesto 01000992'!Z14,'Presupuesto 01000992'!AD14,'Presupuesto 01000992'!AH14)</f>
        <v>2164.3036244800951</v>
      </c>
      <c r="F14" s="6">
        <f>'Presupuesto 01000992'!AK14</f>
        <v>28</v>
      </c>
      <c r="G14" s="20">
        <f>'Presupuesto 01000992'!AL14</f>
        <v>61570.930481283423</v>
      </c>
      <c r="H14" s="305"/>
      <c r="I14" s="305"/>
      <c r="J14" s="305"/>
      <c r="K14" s="305"/>
      <c r="L14" s="305"/>
      <c r="M14" s="305"/>
      <c r="N14" s="305"/>
      <c r="O14" s="301"/>
      <c r="P14" s="302"/>
      <c r="Q14" s="10"/>
      <c r="R14" s="10"/>
      <c r="S14" s="10"/>
      <c r="T14" s="10"/>
    </row>
    <row r="15" spans="1:20" x14ac:dyDescent="0.25">
      <c r="A15" s="242"/>
      <c r="B15" s="218"/>
      <c r="C15" s="11" t="s">
        <v>28</v>
      </c>
      <c r="D15" s="12" t="s">
        <v>25</v>
      </c>
      <c r="E15" s="5">
        <f>AVERAGE('Presupuesto 01000992'!V15,'Presupuesto 01000992'!Z15,'Presupuesto 01000992'!AD15,'Presupuesto 01000992'!AH15)</f>
        <v>2342.096850861557</v>
      </c>
      <c r="F15" s="6">
        <f>'Presupuesto 01000992'!AK15</f>
        <v>28</v>
      </c>
      <c r="G15" s="20">
        <f>'Presupuesto 01000992'!AL15</f>
        <v>65843.486631016043</v>
      </c>
      <c r="H15" s="305"/>
      <c r="I15" s="305"/>
      <c r="J15" s="305"/>
      <c r="K15" s="305"/>
      <c r="L15" s="305"/>
      <c r="M15" s="305"/>
      <c r="N15" s="305"/>
      <c r="O15" s="301"/>
      <c r="P15" s="302"/>
      <c r="Q15" s="10"/>
      <c r="R15" s="10"/>
      <c r="S15" s="10"/>
      <c r="T15" s="10"/>
    </row>
    <row r="16" spans="1:20" x14ac:dyDescent="0.25">
      <c r="A16" s="242"/>
      <c r="B16" s="218"/>
      <c r="C16" s="11" t="s">
        <v>29</v>
      </c>
      <c r="D16" s="12" t="s">
        <v>25</v>
      </c>
      <c r="E16" s="5">
        <f>AVERAGE('Presupuesto 01000992'!V16,'Presupuesto 01000992'!Z16,'Presupuesto 01000992'!AD16,'Presupuesto 01000992'!AH16)</f>
        <v>1467.9113190730839</v>
      </c>
      <c r="F16" s="6">
        <f>'Presupuesto 01000992'!AK16</f>
        <v>40</v>
      </c>
      <c r="G16" s="20">
        <f>'Presupuesto 01000992'!AL16</f>
        <v>61227.743315508022</v>
      </c>
      <c r="H16" s="305"/>
      <c r="I16" s="305"/>
      <c r="J16" s="305"/>
      <c r="K16" s="305"/>
      <c r="L16" s="305"/>
      <c r="M16" s="305"/>
      <c r="N16" s="305"/>
      <c r="O16" s="301"/>
      <c r="P16" s="302"/>
      <c r="Q16" s="10"/>
      <c r="R16" s="10"/>
      <c r="S16" s="10"/>
      <c r="T16" s="10"/>
    </row>
    <row r="17" spans="1:20" x14ac:dyDescent="0.25">
      <c r="A17" s="242"/>
      <c r="B17" s="218"/>
      <c r="C17" s="15" t="s">
        <v>30</v>
      </c>
      <c r="D17" s="16" t="s">
        <v>25</v>
      </c>
      <c r="E17" s="5">
        <f>AVERAGE('Presupuesto 01000992'!V17,'Presupuesto 01000992'!Z17,'Presupuesto 01000992'!AD17,'Presupuesto 01000992'!AH17)</f>
        <v>1294.479055258467</v>
      </c>
      <c r="F17" s="6">
        <f>'Presupuesto 01000992'!AK17</f>
        <v>40</v>
      </c>
      <c r="G17" s="20">
        <f>'Presupuesto 01000992'!AL17</f>
        <v>54742.994652406414</v>
      </c>
      <c r="H17" s="305"/>
      <c r="I17" s="305"/>
      <c r="J17" s="305"/>
      <c r="K17" s="305"/>
      <c r="L17" s="305"/>
      <c r="M17" s="305"/>
      <c r="N17" s="305"/>
      <c r="O17" s="301"/>
      <c r="P17" s="302"/>
      <c r="Q17" s="10"/>
      <c r="R17" s="10"/>
      <c r="S17" s="10"/>
      <c r="T17" s="10"/>
    </row>
    <row r="18" spans="1:20" x14ac:dyDescent="0.25">
      <c r="A18" s="242"/>
      <c r="B18" s="218"/>
      <c r="C18" s="141" t="s">
        <v>31</v>
      </c>
      <c r="D18" s="16" t="s">
        <v>25</v>
      </c>
      <c r="E18" s="5">
        <f>AVERAGE('Presupuesto 01000992'!V18,'Presupuesto 01000992'!Z18,'Presupuesto 01000992'!AD18,'Presupuesto 01000992'!AH18)</f>
        <v>1479.3054070112894</v>
      </c>
      <c r="F18" s="6">
        <f>'Presupuesto 01000992'!AK18</f>
        <v>28</v>
      </c>
      <c r="G18" s="20">
        <f>'Presupuesto 01000992'!AL18</f>
        <v>45862.994652406414</v>
      </c>
      <c r="H18" s="305"/>
      <c r="I18" s="305"/>
      <c r="J18" s="305"/>
      <c r="K18" s="305"/>
      <c r="L18" s="305"/>
      <c r="M18" s="305"/>
      <c r="N18" s="305"/>
      <c r="O18" s="301"/>
      <c r="P18" s="302"/>
      <c r="Q18" s="10"/>
      <c r="R18" s="10"/>
      <c r="S18" s="10"/>
      <c r="T18" s="10"/>
    </row>
    <row r="19" spans="1:20" x14ac:dyDescent="0.25">
      <c r="A19" s="242"/>
      <c r="B19" s="218"/>
      <c r="C19" s="11" t="s">
        <v>170</v>
      </c>
      <c r="D19" s="5" t="str">
        <f>'Presupuesto 01000992'!AG19</f>
        <v>mes</v>
      </c>
      <c r="E19" s="5">
        <f>AVERAGE('Presupuesto 01000992'!V19,'Presupuesto 01000992'!Z19,'Presupuesto 01000992'!AD19,'Presupuesto 01000992'!AH19)</f>
        <v>2400</v>
      </c>
      <c r="F19" s="6">
        <f>'Presupuesto 01000992'!AK19</f>
        <v>12</v>
      </c>
      <c r="G19" s="20">
        <f>'Presupuesto 01000992'!AL19</f>
        <v>28800</v>
      </c>
      <c r="H19" s="305"/>
      <c r="I19" s="305"/>
      <c r="J19" s="305"/>
      <c r="K19" s="305"/>
      <c r="L19" s="305"/>
      <c r="M19" s="305"/>
      <c r="N19" s="305"/>
      <c r="O19" s="301"/>
      <c r="P19" s="302"/>
      <c r="Q19" s="10"/>
      <c r="R19" s="10"/>
      <c r="S19" s="10"/>
      <c r="T19" s="10"/>
    </row>
    <row r="20" spans="1:20" x14ac:dyDescent="0.25">
      <c r="A20" s="242"/>
      <c r="B20" s="218"/>
      <c r="C20" s="222" t="s">
        <v>17</v>
      </c>
      <c r="D20" s="222"/>
      <c r="E20" s="222"/>
      <c r="F20" s="222"/>
      <c r="G20" s="3">
        <f>SUM(G21:G24)</f>
        <v>187325.64886184124</v>
      </c>
      <c r="H20" s="305"/>
      <c r="I20" s="305"/>
      <c r="J20" s="305"/>
      <c r="K20" s="305"/>
      <c r="L20" s="305"/>
      <c r="M20" s="305"/>
      <c r="N20" s="305"/>
      <c r="O20" s="301"/>
      <c r="P20" s="302"/>
      <c r="Q20" s="10"/>
      <c r="R20" s="10"/>
      <c r="S20" s="10"/>
      <c r="T20" s="10"/>
    </row>
    <row r="21" spans="1:20" ht="30" x14ac:dyDescent="0.25">
      <c r="A21" s="242"/>
      <c r="B21" s="218"/>
      <c r="C21" s="5" t="s">
        <v>32</v>
      </c>
      <c r="D21" s="5" t="s">
        <v>33</v>
      </c>
      <c r="E21" s="5">
        <f>AVERAGE('Presupuesto 01000992'!V21,'Presupuesto 01000992'!Z21,'Presupuesto 01000992'!AD21,'Presupuesto 01000992'!AH21)</f>
        <v>763.9</v>
      </c>
      <c r="F21" s="6">
        <f>'Presupuesto 01000992'!AK21</f>
        <v>4.5838999999999999</v>
      </c>
      <c r="G21" s="20">
        <f>'Presupuesto 01000992'!AL21</f>
        <v>3501.6412099999998</v>
      </c>
      <c r="H21" s="305"/>
      <c r="I21" s="305"/>
      <c r="J21" s="305"/>
      <c r="K21" s="305"/>
      <c r="L21" s="305"/>
      <c r="M21" s="305"/>
      <c r="N21" s="305"/>
      <c r="O21" s="301"/>
      <c r="P21" s="302"/>
      <c r="Q21" s="10"/>
      <c r="R21" s="10"/>
      <c r="S21" s="10"/>
      <c r="T21" s="10"/>
    </row>
    <row r="22" spans="1:20" ht="30" x14ac:dyDescent="0.25">
      <c r="A22" s="242"/>
      <c r="B22" s="218"/>
      <c r="C22" s="5" t="s">
        <v>34</v>
      </c>
      <c r="D22" s="5" t="s">
        <v>33</v>
      </c>
      <c r="E22" s="5">
        <f>AVERAGE('Presupuesto 01000992'!V22,'Presupuesto 01000992'!Z22,'Presupuesto 01000992'!AD22,'Presupuesto 01000992'!AH22)</f>
        <v>10000</v>
      </c>
      <c r="F22" s="6">
        <f>'Presupuesto 01000992'!AK22</f>
        <v>10</v>
      </c>
      <c r="G22" s="20">
        <f>'Presupuesto 01000992'!AL22</f>
        <v>100000</v>
      </c>
      <c r="H22" s="305"/>
      <c r="I22" s="305"/>
      <c r="J22" s="305"/>
      <c r="K22" s="305"/>
      <c r="L22" s="305"/>
      <c r="M22" s="305"/>
      <c r="N22" s="305"/>
      <c r="O22" s="301"/>
      <c r="P22" s="302"/>
      <c r="Q22" s="10"/>
      <c r="R22" s="10"/>
      <c r="S22" s="10"/>
      <c r="T22" s="10"/>
    </row>
    <row r="23" spans="1:20" x14ac:dyDescent="0.25">
      <c r="A23" s="242"/>
      <c r="B23" s="218"/>
      <c r="C23" s="138" t="s">
        <v>155</v>
      </c>
      <c r="D23" s="5" t="str">
        <f>'Presupuesto 01000992'!AG23</f>
        <v>Consultoria</v>
      </c>
      <c r="E23" s="5">
        <f>AVERAGE('Presupuesto 01000992'!V23,'Presupuesto 01000992'!Z23,'Presupuesto 01000992'!AD23,'Presupuesto 01000992'!AH23)</f>
        <v>47824.007651841224</v>
      </c>
      <c r="F23" s="6">
        <f>'Presupuesto 01000992'!AK23</f>
        <v>1</v>
      </c>
      <c r="G23" s="20">
        <f>'Presupuesto 01000992'!AL23</f>
        <v>47824.007651841224</v>
      </c>
      <c r="H23" s="305"/>
      <c r="I23" s="305"/>
      <c r="J23" s="305"/>
      <c r="K23" s="305"/>
      <c r="L23" s="305"/>
      <c r="M23" s="305"/>
      <c r="N23" s="305"/>
      <c r="O23" s="301"/>
      <c r="P23" s="302"/>
      <c r="Q23" s="10"/>
      <c r="R23" s="10"/>
      <c r="S23" s="10"/>
      <c r="T23" s="10"/>
    </row>
    <row r="24" spans="1:20" x14ac:dyDescent="0.25">
      <c r="A24" s="242"/>
      <c r="B24" s="218"/>
      <c r="C24" s="138" t="s">
        <v>154</v>
      </c>
      <c r="D24" s="5" t="str">
        <f>'Presupuesto 01000992'!AG24</f>
        <v>UNV</v>
      </c>
      <c r="E24" s="5">
        <f>AVERAGE('Presupuesto 01000992'!V24,'Presupuesto 01000992'!Z24,'Presupuesto 01000992'!AD24,'Presupuesto 01000992'!AH24)</f>
        <v>2000</v>
      </c>
      <c r="F24" s="6">
        <f>'Presupuesto 01000992'!AK24</f>
        <v>18</v>
      </c>
      <c r="G24" s="20">
        <f>'Presupuesto 01000992'!AL24</f>
        <v>36000</v>
      </c>
      <c r="H24" s="305"/>
      <c r="I24" s="305"/>
      <c r="J24" s="305"/>
      <c r="K24" s="305"/>
      <c r="L24" s="305"/>
      <c r="M24" s="305"/>
      <c r="N24" s="305"/>
      <c r="O24" s="301"/>
      <c r="P24" s="302"/>
      <c r="Q24" s="10"/>
      <c r="R24" s="10"/>
      <c r="S24" s="10"/>
      <c r="T24" s="10"/>
    </row>
    <row r="25" spans="1:20" ht="27.95" customHeight="1" x14ac:dyDescent="0.25">
      <c r="A25" s="242"/>
      <c r="B25" s="218"/>
      <c r="C25" s="222" t="s">
        <v>35</v>
      </c>
      <c r="D25" s="222"/>
      <c r="E25" s="222"/>
      <c r="F25" s="222"/>
      <c r="G25" s="3">
        <f>G26</f>
        <v>37265.972366039998</v>
      </c>
      <c r="H25" s="305"/>
      <c r="I25" s="305"/>
      <c r="J25" s="305"/>
      <c r="K25" s="305"/>
      <c r="L25" s="305"/>
      <c r="M25" s="305"/>
      <c r="N25" s="305"/>
      <c r="O25" s="301"/>
      <c r="P25" s="302"/>
      <c r="Q25" s="10"/>
      <c r="R25" s="10"/>
      <c r="S25" s="10"/>
      <c r="T25" s="10"/>
    </row>
    <row r="26" spans="1:20" ht="27.95" customHeight="1" x14ac:dyDescent="0.25">
      <c r="A26" s="242"/>
      <c r="B26" s="218"/>
      <c r="C26" s="4" t="s">
        <v>36</v>
      </c>
      <c r="D26" s="5" t="s">
        <v>37</v>
      </c>
      <c r="E26" s="5">
        <f>AVERAGE('Presupuesto 01000992'!V26,'Presupuesto 01000992'!Z26,'Presupuesto 01000992'!AD26,'Presupuesto 01000992'!AH26)</f>
        <v>506.86500000000001</v>
      </c>
      <c r="F26" s="6">
        <f>'Presupuesto 01000992'!AK26</f>
        <v>73.751958000000002</v>
      </c>
      <c r="G26" s="20">
        <f>'Presupuesto 01000992'!AL26</f>
        <v>37265.972366039998</v>
      </c>
      <c r="H26" s="305"/>
      <c r="I26" s="305"/>
      <c r="J26" s="305"/>
      <c r="K26" s="305"/>
      <c r="L26" s="305"/>
      <c r="M26" s="305"/>
      <c r="N26" s="305"/>
      <c r="O26" s="301"/>
      <c r="P26" s="302"/>
      <c r="Q26" s="10"/>
      <c r="R26" s="10"/>
      <c r="S26" s="10"/>
      <c r="T26" s="10"/>
    </row>
    <row r="27" spans="1:20" ht="14.45" customHeight="1" x14ac:dyDescent="0.25">
      <c r="A27" s="242"/>
      <c r="B27" s="218"/>
      <c r="C27" s="222" t="s">
        <v>38</v>
      </c>
      <c r="D27" s="222"/>
      <c r="E27" s="222"/>
      <c r="F27" s="222"/>
      <c r="G27" s="3">
        <f>SUM(G28:G32)</f>
        <v>7974349.9280977137</v>
      </c>
      <c r="H27" s="305"/>
      <c r="I27" s="305"/>
      <c r="J27" s="305"/>
      <c r="K27" s="305"/>
      <c r="L27" s="305"/>
      <c r="M27" s="305"/>
      <c r="N27" s="305"/>
      <c r="O27" s="301"/>
      <c r="P27" s="302"/>
      <c r="Q27" s="10"/>
      <c r="R27" s="10"/>
      <c r="S27" s="10"/>
      <c r="T27" s="10"/>
    </row>
    <row r="28" spans="1:20" ht="127.5" customHeight="1" x14ac:dyDescent="0.25">
      <c r="A28" s="242"/>
      <c r="B28" s="218"/>
      <c r="C28" s="137" t="s">
        <v>39</v>
      </c>
      <c r="D28" s="5" t="s">
        <v>40</v>
      </c>
      <c r="E28" s="5">
        <f>AVERAGE('Presupuesto 01000992'!V28,'Presupuesto 01000992'!Z28,'Presupuesto 01000992'!AD28,'Presupuesto 01000992'!AH28)</f>
        <v>21950.15</v>
      </c>
      <c r="F28" s="6">
        <f>'Presupuesto 01000992'!AK28</f>
        <v>128</v>
      </c>
      <c r="G28" s="20">
        <f>'Presupuesto 01000992'!AL28</f>
        <v>2809619.2</v>
      </c>
      <c r="H28" s="305"/>
      <c r="I28" s="305"/>
      <c r="J28" s="305"/>
      <c r="K28" s="305"/>
      <c r="L28" s="305"/>
      <c r="M28" s="305"/>
      <c r="N28" s="305"/>
      <c r="O28" s="301"/>
      <c r="P28" s="302"/>
      <c r="Q28" s="10"/>
      <c r="R28" s="10"/>
      <c r="S28" s="10"/>
      <c r="T28" s="10"/>
    </row>
    <row r="29" spans="1:20" x14ac:dyDescent="0.25">
      <c r="A29" s="242"/>
      <c r="B29" s="218"/>
      <c r="C29" s="4" t="s">
        <v>41</v>
      </c>
      <c r="D29" s="5" t="s">
        <v>40</v>
      </c>
      <c r="E29" s="5">
        <f>AVERAGE('Presupuesto 01000992'!V29,'Presupuesto 01000992'!Z29,'Presupuesto 01000992'!AD29,'Presupuesto 01000992'!AH29)</f>
        <v>70729.057735038688</v>
      </c>
      <c r="F29" s="6">
        <f>'Presupuesto 01000992'!AK29</f>
        <v>4</v>
      </c>
      <c r="G29" s="20">
        <f>'Presupuesto 01000992'!AL29</f>
        <v>282916.23094015475</v>
      </c>
      <c r="H29" s="305"/>
      <c r="I29" s="305"/>
      <c r="J29" s="305"/>
      <c r="K29" s="305"/>
      <c r="L29" s="305"/>
      <c r="M29" s="305"/>
      <c r="N29" s="305"/>
      <c r="O29" s="301"/>
      <c r="P29" s="302"/>
      <c r="Q29" s="10"/>
      <c r="R29" s="10"/>
      <c r="S29" s="10"/>
      <c r="T29" s="10"/>
    </row>
    <row r="30" spans="1:20" ht="24" customHeight="1" x14ac:dyDescent="0.25">
      <c r="A30" s="242"/>
      <c r="B30" s="218"/>
      <c r="C30" s="136" t="s">
        <v>159</v>
      </c>
      <c r="D30" s="5" t="str">
        <f>'Presupuesto 01000992'!AG30</f>
        <v>ASBV</v>
      </c>
      <c r="E30" s="5">
        <f>AVERAGE('Presupuesto 01000992'!V30,'Presupuesto 01000992'!Z30,'Presupuesto 01000992'!AD30,'Presupuesto 01000992'!AH30)</f>
        <v>19177.795929470987</v>
      </c>
      <c r="F30" s="6">
        <f>'Presupuesto 01000992'!AK30</f>
        <v>209</v>
      </c>
      <c r="G30" s="20">
        <f>'Presupuesto 01000992'!AL30</f>
        <v>4008159.3492594361</v>
      </c>
      <c r="H30" s="305"/>
      <c r="I30" s="305"/>
      <c r="J30" s="305"/>
      <c r="K30" s="305"/>
      <c r="L30" s="305"/>
      <c r="M30" s="305"/>
      <c r="N30" s="305"/>
      <c r="O30" s="301"/>
      <c r="P30" s="302"/>
      <c r="Q30" s="10"/>
      <c r="R30" s="10"/>
      <c r="S30" s="10"/>
      <c r="T30" s="10"/>
    </row>
    <row r="31" spans="1:20" ht="67.5" customHeight="1" x14ac:dyDescent="0.25">
      <c r="A31" s="242"/>
      <c r="B31" s="218"/>
      <c r="C31" s="136" t="s">
        <v>160</v>
      </c>
      <c r="D31" s="5" t="str">
        <f>'Presupuesto 01000992'!AG31</f>
        <v>ASBV</v>
      </c>
      <c r="E31" s="5">
        <f>AVERAGE('Presupuesto 01000992'!V31,'Presupuesto 01000992'!Z31,'Presupuesto 01000992'!AD31,'Presupuesto 01000992'!AH31)</f>
        <v>7458.0317503498272</v>
      </c>
      <c r="F31" s="6">
        <f>'Presupuesto 01000992'!AK31</f>
        <v>40</v>
      </c>
      <c r="G31" s="20">
        <f>'Presupuesto 01000992'!AL31</f>
        <v>298321.27001399308</v>
      </c>
      <c r="H31" s="305"/>
      <c r="I31" s="305"/>
      <c r="J31" s="305"/>
      <c r="K31" s="305"/>
      <c r="L31" s="305"/>
      <c r="M31" s="305"/>
      <c r="N31" s="305"/>
      <c r="O31" s="301"/>
      <c r="P31" s="302"/>
      <c r="Q31" s="10"/>
      <c r="R31" s="10"/>
      <c r="S31" s="10"/>
      <c r="T31" s="10"/>
    </row>
    <row r="32" spans="1:20" ht="54.75" customHeight="1" x14ac:dyDescent="0.25">
      <c r="A32" s="242"/>
      <c r="B32" s="219"/>
      <c r="C32" s="136" t="s">
        <v>161</v>
      </c>
      <c r="D32" s="5" t="str">
        <f>'Presupuesto 01000992'!AG32</f>
        <v>ASBV</v>
      </c>
      <c r="E32" s="5">
        <f>AVERAGE('Presupuesto 01000992'!V32,'Presupuesto 01000992'!Z32,'Presupuesto 01000992'!AD32,'Presupuesto 01000992'!AH32)</f>
        <v>19177.795929470984</v>
      </c>
      <c r="F32" s="6">
        <f>'Presupuesto 01000992'!AK32</f>
        <v>30</v>
      </c>
      <c r="G32" s="20">
        <f>'Presupuesto 01000992'!AL32</f>
        <v>575333.87788412953</v>
      </c>
      <c r="H32" s="304"/>
      <c r="I32" s="304"/>
      <c r="J32" s="304"/>
      <c r="K32" s="304"/>
      <c r="L32" s="304"/>
      <c r="M32" s="304"/>
      <c r="N32" s="304"/>
      <c r="O32" s="301"/>
      <c r="P32" s="302"/>
      <c r="Q32" s="10"/>
      <c r="R32" s="10"/>
      <c r="S32" s="10"/>
      <c r="T32" s="10"/>
    </row>
    <row r="33" spans="1:20" ht="24" customHeight="1" x14ac:dyDescent="0.25">
      <c r="A33" s="242"/>
      <c r="B33" s="214" t="s">
        <v>42</v>
      </c>
      <c r="C33" s="222" t="s">
        <v>17</v>
      </c>
      <c r="D33" s="222"/>
      <c r="E33" s="222"/>
      <c r="F33" s="222"/>
      <c r="G33" s="3">
        <f>SUM(G34:G35)</f>
        <v>568848.06917468645</v>
      </c>
      <c r="H33" s="303" t="s">
        <v>118</v>
      </c>
      <c r="I33" s="303" t="s">
        <v>118</v>
      </c>
      <c r="J33" s="303" t="s">
        <v>118</v>
      </c>
      <c r="K33" s="303" t="s">
        <v>118</v>
      </c>
      <c r="L33" s="303" t="s">
        <v>118</v>
      </c>
      <c r="M33" s="303" t="s">
        <v>118</v>
      </c>
      <c r="N33" s="303" t="s">
        <v>118</v>
      </c>
      <c r="O33" s="301"/>
      <c r="P33" s="302"/>
      <c r="Q33" s="10"/>
      <c r="R33" s="10"/>
      <c r="S33" s="10"/>
      <c r="T33" s="10"/>
    </row>
    <row r="34" spans="1:20" ht="28.9" customHeight="1" x14ac:dyDescent="0.25">
      <c r="A34" s="242"/>
      <c r="B34" s="215"/>
      <c r="C34" s="4" t="s">
        <v>43</v>
      </c>
      <c r="D34" s="5" t="s">
        <v>33</v>
      </c>
      <c r="E34" s="5">
        <f>AVERAGE('Presupuesto 01000992'!V34,'Presupuesto 01000992'!Z34,'Presupuesto 01000992'!AD34,'Presupuesto 01000992'!AH34)</f>
        <v>42530.963472462412</v>
      </c>
      <c r="F34" s="6">
        <f>'Presupuesto 01000992'!AK34</f>
        <v>3</v>
      </c>
      <c r="G34" s="20">
        <f>'Presupuesto 01000992'!AL34</f>
        <v>127592.89041738724</v>
      </c>
      <c r="H34" s="305"/>
      <c r="I34" s="305"/>
      <c r="J34" s="305"/>
      <c r="K34" s="305"/>
      <c r="L34" s="305"/>
      <c r="M34" s="305"/>
      <c r="N34" s="305"/>
      <c r="O34" s="301"/>
      <c r="P34" s="302"/>
      <c r="Q34" s="10"/>
      <c r="R34" s="10"/>
      <c r="S34" s="10"/>
      <c r="T34" s="10"/>
    </row>
    <row r="35" spans="1:20" ht="71.45" customHeight="1" x14ac:dyDescent="0.25">
      <c r="A35" s="242"/>
      <c r="B35" s="216"/>
      <c r="C35" s="136" t="s">
        <v>162</v>
      </c>
      <c r="D35" s="5" t="str">
        <f>'Presupuesto 01000992'!AG35</f>
        <v>Consultoria</v>
      </c>
      <c r="E35" s="5">
        <f>AVERAGE('Presupuesto 01000992'!V35,'Presupuesto 01000992'!Z35,'Presupuesto 01000992'!AD35,'Presupuesto 01000992'!AH35)</f>
        <v>73542.529792883201</v>
      </c>
      <c r="F35" s="6">
        <f>'Presupuesto 01000992'!AK35</f>
        <v>6</v>
      </c>
      <c r="G35" s="20">
        <f>'Presupuesto 01000992'!AL35</f>
        <v>441255.1787572992</v>
      </c>
      <c r="H35" s="304"/>
      <c r="I35" s="304"/>
      <c r="J35" s="304"/>
      <c r="K35" s="304"/>
      <c r="L35" s="304"/>
      <c r="M35" s="304"/>
      <c r="N35" s="304"/>
      <c r="O35" s="301"/>
      <c r="P35" s="302"/>
      <c r="Q35" s="10"/>
      <c r="R35" s="10"/>
      <c r="S35" s="10"/>
      <c r="T35" s="10"/>
    </row>
    <row r="36" spans="1:20" x14ac:dyDescent="0.25">
      <c r="A36" s="243"/>
      <c r="B36" s="223" t="s">
        <v>44</v>
      </c>
      <c r="C36" s="224"/>
      <c r="D36" s="224"/>
      <c r="E36" s="224"/>
      <c r="F36" s="225"/>
      <c r="G36" s="174">
        <f>G6+G8+G11+G20+G25+G27+G33</f>
        <v>9673440.4220306836</v>
      </c>
      <c r="H36" s="315"/>
      <c r="I36" s="316"/>
      <c r="J36" s="316"/>
      <c r="K36" s="316"/>
      <c r="L36" s="316"/>
      <c r="M36" s="316"/>
      <c r="N36" s="317"/>
      <c r="O36" s="301"/>
      <c r="P36" s="302"/>
      <c r="Q36" s="10"/>
      <c r="R36" s="10"/>
      <c r="S36" s="10"/>
      <c r="T36" s="10"/>
    </row>
    <row r="37" spans="1:20" ht="24" customHeight="1" x14ac:dyDescent="0.25">
      <c r="A37" s="241" t="s">
        <v>45</v>
      </c>
      <c r="B37" s="217" t="s">
        <v>46</v>
      </c>
      <c r="C37" s="222" t="s">
        <v>38</v>
      </c>
      <c r="D37" s="222"/>
      <c r="E37" s="222"/>
      <c r="F37" s="222"/>
      <c r="G37" s="3">
        <f>SUM(G38,G39)</f>
        <v>184569.39351908967</v>
      </c>
      <c r="H37" s="303" t="s">
        <v>115</v>
      </c>
      <c r="I37" s="303" t="s">
        <v>115</v>
      </c>
      <c r="J37" s="303" t="s">
        <v>115</v>
      </c>
      <c r="K37" s="303" t="s">
        <v>115</v>
      </c>
      <c r="L37" s="303" t="s">
        <v>115</v>
      </c>
      <c r="M37" s="303" t="s">
        <v>115</v>
      </c>
      <c r="N37" s="303" t="s">
        <v>115</v>
      </c>
      <c r="O37" s="301"/>
      <c r="P37" s="302"/>
      <c r="Q37" s="10"/>
      <c r="R37" s="10"/>
      <c r="S37" s="10"/>
      <c r="T37" s="10"/>
    </row>
    <row r="38" spans="1:20" ht="54" customHeight="1" x14ac:dyDescent="0.25">
      <c r="A38" s="242"/>
      <c r="B38" s="218"/>
      <c r="C38" s="4" t="s">
        <v>47</v>
      </c>
      <c r="D38" s="5" t="s">
        <v>48</v>
      </c>
      <c r="E38" s="5">
        <f>AVERAGE('Presupuesto 01000992'!V38,'Presupuesto 01000992'!Z38,'Presupuesto 01000992'!AD38,'Presupuesto 01000992'!AH38)</f>
        <v>16219.489457601399</v>
      </c>
      <c r="F38" s="6">
        <f>'Presupuesto 01000992'!AK38</f>
        <v>10</v>
      </c>
      <c r="G38" s="20">
        <f>'Presupuesto 01000992'!AL38</f>
        <v>162194.89457601399</v>
      </c>
      <c r="H38" s="305"/>
      <c r="I38" s="305"/>
      <c r="J38" s="305"/>
      <c r="K38" s="305"/>
      <c r="L38" s="305"/>
      <c r="M38" s="305"/>
      <c r="N38" s="305"/>
      <c r="O38" s="301"/>
      <c r="P38" s="302"/>
      <c r="Q38" s="10"/>
      <c r="R38" s="10"/>
      <c r="S38" s="10"/>
      <c r="T38" s="10"/>
    </row>
    <row r="39" spans="1:20" ht="24" customHeight="1" x14ac:dyDescent="0.25">
      <c r="A39" s="242"/>
      <c r="B39" s="219"/>
      <c r="C39" s="58" t="s">
        <v>41</v>
      </c>
      <c r="D39" s="17" t="s">
        <v>40</v>
      </c>
      <c r="E39" s="5">
        <f>AVERAGE('Presupuesto 01000992'!V39,'Presupuesto 01000992'!Z39,'Presupuesto 01000992'!AD39,'Presupuesto 01000992'!AH39)</f>
        <v>7458.1663143585647</v>
      </c>
      <c r="F39" s="6">
        <f>'Presupuesto 01000992'!AK39</f>
        <v>3</v>
      </c>
      <c r="G39" s="20">
        <f>'Presupuesto 01000992'!AL39</f>
        <v>22374.498943075694</v>
      </c>
      <c r="H39" s="304"/>
      <c r="I39" s="304"/>
      <c r="J39" s="304"/>
      <c r="K39" s="304"/>
      <c r="L39" s="304"/>
      <c r="M39" s="304"/>
      <c r="N39" s="304"/>
      <c r="O39" s="301"/>
      <c r="P39" s="302"/>
      <c r="Q39" s="10"/>
      <c r="R39" s="10"/>
      <c r="S39" s="10"/>
      <c r="T39" s="10"/>
    </row>
    <row r="40" spans="1:20" ht="51" customHeight="1" x14ac:dyDescent="0.25">
      <c r="A40" s="242"/>
      <c r="B40" s="258" t="s">
        <v>49</v>
      </c>
      <c r="C40" s="222" t="s">
        <v>17</v>
      </c>
      <c r="D40" s="222"/>
      <c r="E40" s="222"/>
      <c r="F40" s="222"/>
      <c r="G40" s="3">
        <f>G41</f>
        <v>78310.499159663857</v>
      </c>
      <c r="H40" s="303" t="s">
        <v>115</v>
      </c>
      <c r="I40" s="303" t="s">
        <v>115</v>
      </c>
      <c r="J40" s="303" t="s">
        <v>115</v>
      </c>
      <c r="K40" s="303" t="s">
        <v>115</v>
      </c>
      <c r="L40" s="303" t="s">
        <v>115</v>
      </c>
      <c r="M40" s="303" t="s">
        <v>115</v>
      </c>
      <c r="N40" s="303" t="s">
        <v>115</v>
      </c>
      <c r="O40" s="301"/>
      <c r="P40" s="302"/>
      <c r="Q40" s="10"/>
      <c r="R40" s="10"/>
      <c r="S40" s="10"/>
      <c r="T40" s="10"/>
    </row>
    <row r="41" spans="1:20" ht="14.45" customHeight="1" x14ac:dyDescent="0.25">
      <c r="A41" s="242"/>
      <c r="B41" s="258"/>
      <c r="C41" s="5" t="s">
        <v>50</v>
      </c>
      <c r="D41" s="5" t="s">
        <v>51</v>
      </c>
      <c r="E41" s="5">
        <f>AVERAGE('Presupuesto 01000992'!V41,'Presupuesto 01000992'!Z41,'Presupuesto 01000992'!AD41,'Presupuesto 01000992'!AH41)</f>
        <v>4122.4009694372289</v>
      </c>
      <c r="F41" s="6">
        <f>'Presupuesto 01000992'!AK41</f>
        <v>14.58398600922909</v>
      </c>
      <c r="G41" s="20">
        <f>'Presupuesto 01000992'!AL41</f>
        <v>78310.499159663857</v>
      </c>
      <c r="H41" s="305"/>
      <c r="I41" s="305"/>
      <c r="J41" s="305"/>
      <c r="K41" s="305"/>
      <c r="L41" s="305"/>
      <c r="M41" s="305"/>
      <c r="N41" s="305"/>
      <c r="O41" s="301"/>
      <c r="P41" s="302"/>
      <c r="Q41" s="10"/>
      <c r="R41" s="10"/>
      <c r="S41" s="10"/>
      <c r="T41" s="10"/>
    </row>
    <row r="42" spans="1:20" ht="14.45" customHeight="1" x14ac:dyDescent="0.25">
      <c r="A42" s="242"/>
      <c r="B42" s="258"/>
      <c r="C42" s="222" t="s">
        <v>35</v>
      </c>
      <c r="D42" s="222"/>
      <c r="E42" s="222"/>
      <c r="F42" s="222"/>
      <c r="G42" s="3">
        <f>G43</f>
        <v>51560.71631932725</v>
      </c>
      <c r="H42" s="305"/>
      <c r="I42" s="305"/>
      <c r="J42" s="305"/>
      <c r="K42" s="305"/>
      <c r="L42" s="305"/>
      <c r="M42" s="305"/>
      <c r="N42" s="305"/>
      <c r="O42" s="301"/>
      <c r="P42" s="302"/>
      <c r="Q42" s="10"/>
      <c r="R42" s="10"/>
      <c r="S42" s="10"/>
      <c r="T42" s="10"/>
    </row>
    <row r="43" spans="1:20" ht="14.45" customHeight="1" x14ac:dyDescent="0.25">
      <c r="A43" s="242"/>
      <c r="B43" s="258"/>
      <c r="C43" s="4" t="s">
        <v>36</v>
      </c>
      <c r="D43" s="5" t="s">
        <v>37</v>
      </c>
      <c r="E43" s="5">
        <f>AVERAGE('Presupuesto 01000992'!V43,'Presupuesto 01000992'!Z43,'Presupuesto 01000992'!AD43,'Presupuesto 01000992'!AH43)</f>
        <v>1148.9882756472168</v>
      </c>
      <c r="F43" s="6">
        <f>'Presupuesto 01000992'!AK43</f>
        <v>63.751958000000002</v>
      </c>
      <c r="G43" s="20">
        <f>'Presupuesto 01000992'!AL43</f>
        <v>51560.71631932725</v>
      </c>
      <c r="H43" s="305"/>
      <c r="I43" s="305"/>
      <c r="J43" s="305"/>
      <c r="K43" s="305"/>
      <c r="L43" s="305"/>
      <c r="M43" s="305"/>
      <c r="N43" s="305"/>
      <c r="O43" s="301"/>
      <c r="P43" s="302"/>
      <c r="Q43" s="10"/>
      <c r="R43" s="10"/>
      <c r="S43" s="10"/>
      <c r="T43" s="10"/>
    </row>
    <row r="44" spans="1:20" x14ac:dyDescent="0.25">
      <c r="A44" s="242"/>
      <c r="B44" s="258"/>
      <c r="C44" s="222" t="s">
        <v>38</v>
      </c>
      <c r="D44" s="222"/>
      <c r="E44" s="222"/>
      <c r="F44" s="222"/>
      <c r="G44" s="3">
        <f>G45</f>
        <v>403915.05893557426</v>
      </c>
      <c r="H44" s="305"/>
      <c r="I44" s="305"/>
      <c r="J44" s="305"/>
      <c r="K44" s="305"/>
      <c r="L44" s="305"/>
      <c r="M44" s="305"/>
      <c r="N44" s="305"/>
      <c r="O44" s="301"/>
      <c r="P44" s="302"/>
      <c r="Q44" s="10"/>
      <c r="R44" s="10"/>
      <c r="S44" s="10"/>
      <c r="T44" s="10"/>
    </row>
    <row r="45" spans="1:20" ht="14.45" customHeight="1" x14ac:dyDescent="0.25">
      <c r="A45" s="242"/>
      <c r="B45" s="258"/>
      <c r="C45" s="4" t="s">
        <v>52</v>
      </c>
      <c r="D45" s="5" t="s">
        <v>48</v>
      </c>
      <c r="E45" s="5">
        <f>AVERAGE('Presupuesto 01000992'!V45,'Presupuesto 01000992'!Z45,'Presupuesto 01000992'!AD45,'Presupuesto 01000992'!AH45)</f>
        <v>18359.775406162466</v>
      </c>
      <c r="F45" s="6">
        <f>'Presupuesto 01000992'!AK45</f>
        <v>22</v>
      </c>
      <c r="G45" s="20">
        <f>'Presupuesto 01000992'!AL45</f>
        <v>403915.05893557426</v>
      </c>
      <c r="H45" s="304"/>
      <c r="I45" s="304"/>
      <c r="J45" s="304"/>
      <c r="K45" s="304"/>
      <c r="L45" s="304"/>
      <c r="M45" s="304"/>
      <c r="N45" s="304"/>
      <c r="O45" s="301"/>
      <c r="P45" s="302"/>
      <c r="Q45" s="10"/>
      <c r="R45" s="10"/>
      <c r="S45" s="10"/>
      <c r="T45" s="10"/>
    </row>
    <row r="46" spans="1:20" x14ac:dyDescent="0.25">
      <c r="A46" s="242"/>
      <c r="B46" s="258" t="s">
        <v>53</v>
      </c>
      <c r="C46" s="222" t="s">
        <v>17</v>
      </c>
      <c r="D46" s="222"/>
      <c r="E46" s="222"/>
      <c r="F46" s="222"/>
      <c r="G46" s="3">
        <f>G47</f>
        <v>47313.011060073281</v>
      </c>
      <c r="H46" s="303" t="s">
        <v>115</v>
      </c>
      <c r="I46" s="303" t="s">
        <v>115</v>
      </c>
      <c r="J46" s="303" t="s">
        <v>115</v>
      </c>
      <c r="K46" s="303" t="s">
        <v>115</v>
      </c>
      <c r="L46" s="303" t="s">
        <v>115</v>
      </c>
      <c r="M46" s="303" t="s">
        <v>115</v>
      </c>
      <c r="N46" s="303" t="s">
        <v>115</v>
      </c>
      <c r="O46" s="301"/>
      <c r="P46" s="302"/>
      <c r="Q46" s="10"/>
      <c r="R46" s="10"/>
      <c r="S46" s="10"/>
      <c r="T46" s="10"/>
    </row>
    <row r="47" spans="1:20" ht="13.5" customHeight="1" x14ac:dyDescent="0.25">
      <c r="A47" s="242"/>
      <c r="B47" s="258"/>
      <c r="C47" s="4" t="s">
        <v>54</v>
      </c>
      <c r="D47" s="5" t="s">
        <v>19</v>
      </c>
      <c r="E47" s="5">
        <f>AVERAGE('Presupuesto 01000992'!V47,'Presupuesto 01000992'!Z47,'Presupuesto 01000992'!AD47,'Presupuesto 01000992'!AH47)</f>
        <v>47313.011060073281</v>
      </c>
      <c r="F47" s="6">
        <f>'Presupuesto 01000992'!AK47</f>
        <v>1</v>
      </c>
      <c r="G47" s="20">
        <f>'Presupuesto 01000992'!AL47</f>
        <v>47313.011060073281</v>
      </c>
      <c r="H47" s="304"/>
      <c r="I47" s="304"/>
      <c r="J47" s="304"/>
      <c r="K47" s="304"/>
      <c r="L47" s="304"/>
      <c r="M47" s="304"/>
      <c r="N47" s="304"/>
      <c r="O47" s="301"/>
      <c r="P47" s="302"/>
      <c r="Q47" s="10"/>
      <c r="R47" s="10"/>
      <c r="S47" s="10"/>
      <c r="T47" s="10"/>
    </row>
    <row r="48" spans="1:20" ht="24" customHeight="1" x14ac:dyDescent="0.25">
      <c r="A48" s="242"/>
      <c r="B48" s="220" t="s">
        <v>55</v>
      </c>
      <c r="C48" s="222" t="s">
        <v>17</v>
      </c>
      <c r="D48" s="222"/>
      <c r="E48" s="222"/>
      <c r="F48" s="222"/>
      <c r="G48" s="3">
        <f>G49</f>
        <v>64145</v>
      </c>
      <c r="H48" s="303" t="s">
        <v>115</v>
      </c>
      <c r="I48" s="303" t="s">
        <v>115</v>
      </c>
      <c r="J48" s="303" t="s">
        <v>115</v>
      </c>
      <c r="K48" s="303" t="s">
        <v>115</v>
      </c>
      <c r="L48" s="303" t="s">
        <v>115</v>
      </c>
      <c r="M48" s="303" t="s">
        <v>115</v>
      </c>
      <c r="N48" s="303" t="s">
        <v>115</v>
      </c>
      <c r="O48" s="301"/>
      <c r="P48" s="302"/>
      <c r="Q48" s="10"/>
      <c r="R48" s="10"/>
      <c r="S48" s="10"/>
      <c r="T48" s="10"/>
    </row>
    <row r="49" spans="1:22" x14ac:dyDescent="0.25">
      <c r="A49" s="242"/>
      <c r="B49" s="221"/>
      <c r="C49" s="4" t="s">
        <v>54</v>
      </c>
      <c r="D49" s="5"/>
      <c r="E49" s="5">
        <f>AVERAGE('Presupuesto 01000992'!V49,'Presupuesto 01000992'!Z49,'Presupuesto 01000992'!AD49,'Presupuesto 01000992'!AH49)</f>
        <v>64145</v>
      </c>
      <c r="F49" s="6">
        <f>'Presupuesto 01000992'!AK49</f>
        <v>1</v>
      </c>
      <c r="G49" s="20">
        <f>'Presupuesto 01000992'!AL49</f>
        <v>64145</v>
      </c>
      <c r="H49" s="304"/>
      <c r="I49" s="304"/>
      <c r="J49" s="304"/>
      <c r="K49" s="304"/>
      <c r="L49" s="304"/>
      <c r="M49" s="304"/>
      <c r="N49" s="304"/>
      <c r="O49" s="301"/>
      <c r="P49" s="302"/>
      <c r="Q49" s="10"/>
      <c r="R49" s="10"/>
      <c r="S49" s="10"/>
      <c r="T49" s="10"/>
    </row>
    <row r="50" spans="1:22" ht="24" customHeight="1" x14ac:dyDescent="0.25">
      <c r="A50" s="242"/>
      <c r="B50" s="221"/>
      <c r="C50" s="222" t="s">
        <v>38</v>
      </c>
      <c r="D50" s="222"/>
      <c r="E50" s="222"/>
      <c r="F50" s="222"/>
      <c r="G50" s="3">
        <f>G51</f>
        <v>2349210.2351031275</v>
      </c>
      <c r="H50" s="303" t="s">
        <v>115</v>
      </c>
      <c r="I50" s="303" t="s">
        <v>115</v>
      </c>
      <c r="J50" s="303" t="s">
        <v>115</v>
      </c>
      <c r="K50" s="303" t="s">
        <v>115</v>
      </c>
      <c r="L50" s="303" t="s">
        <v>115</v>
      </c>
      <c r="M50" s="303" t="s">
        <v>115</v>
      </c>
      <c r="N50" s="303" t="s">
        <v>115</v>
      </c>
      <c r="O50" s="301"/>
      <c r="P50" s="302"/>
      <c r="Q50" s="10"/>
      <c r="R50" s="10"/>
      <c r="S50" s="10"/>
      <c r="T50" s="10"/>
    </row>
    <row r="51" spans="1:22" ht="30" x14ac:dyDescent="0.25">
      <c r="A51" s="242"/>
      <c r="B51" s="221"/>
      <c r="C51" s="4" t="s">
        <v>56</v>
      </c>
      <c r="D51" s="59" t="s">
        <v>48</v>
      </c>
      <c r="E51" s="5">
        <f>AVERAGE('Presupuesto 01000992'!V52,'Presupuesto 01000992'!Z52,'Presupuesto 01000992'!AD52,'Presupuesto 01000992'!AH52)</f>
        <v>54727.976449933492</v>
      </c>
      <c r="F51" s="6">
        <f>'Presupuesto 01000992'!AK52</f>
        <v>140</v>
      </c>
      <c r="G51" s="20">
        <f>'Presupuesto 01000992'!AL52</f>
        <v>2349210.2351031275</v>
      </c>
      <c r="H51" s="304"/>
      <c r="I51" s="304"/>
      <c r="J51" s="304"/>
      <c r="K51" s="304"/>
      <c r="L51" s="304"/>
      <c r="M51" s="304"/>
      <c r="N51" s="304"/>
      <c r="O51" s="301"/>
      <c r="P51" s="302"/>
      <c r="Q51" s="10"/>
      <c r="R51" s="10"/>
      <c r="S51" s="10"/>
      <c r="T51" s="10"/>
    </row>
    <row r="52" spans="1:22" ht="24" customHeight="1" x14ac:dyDescent="0.25">
      <c r="A52" s="242"/>
      <c r="B52" s="214" t="s">
        <v>57</v>
      </c>
      <c r="C52" s="259" t="s">
        <v>17</v>
      </c>
      <c r="D52" s="260"/>
      <c r="E52" s="260"/>
      <c r="F52" s="261"/>
      <c r="G52" s="175">
        <f>G53</f>
        <v>500000</v>
      </c>
      <c r="H52" s="303" t="s">
        <v>115</v>
      </c>
      <c r="I52" s="303" t="s">
        <v>115</v>
      </c>
      <c r="J52" s="303" t="s">
        <v>115</v>
      </c>
      <c r="K52" s="303" t="s">
        <v>115</v>
      </c>
      <c r="L52" s="303" t="s">
        <v>115</v>
      </c>
      <c r="M52" s="303" t="s">
        <v>115</v>
      </c>
      <c r="N52" s="303" t="s">
        <v>115</v>
      </c>
      <c r="O52" s="301"/>
      <c r="P52" s="302"/>
      <c r="Q52" s="10"/>
      <c r="R52" s="10"/>
      <c r="S52" s="10"/>
      <c r="T52" s="10"/>
    </row>
    <row r="53" spans="1:22" ht="43.15" customHeight="1" x14ac:dyDescent="0.25">
      <c r="A53" s="242"/>
      <c r="B53" s="216"/>
      <c r="C53" s="58" t="s">
        <v>58</v>
      </c>
      <c r="D53" s="59"/>
      <c r="E53" s="5">
        <f>AVERAGE('Presupuesto 01000992'!V54,'Presupuesto 01000992'!Z54,'Presupuesto 01000992'!AD54,'Presupuesto 01000992'!AH54)</f>
        <v>500000</v>
      </c>
      <c r="F53" s="6">
        <f>'Presupuesto 01000992'!AK54</f>
        <v>1</v>
      </c>
      <c r="G53" s="20">
        <f>'Presupuesto 01000992'!AL54</f>
        <v>500000</v>
      </c>
      <c r="H53" s="304"/>
      <c r="I53" s="304"/>
      <c r="J53" s="304"/>
      <c r="K53" s="304"/>
      <c r="L53" s="304"/>
      <c r="M53" s="304"/>
      <c r="N53" s="304"/>
      <c r="O53" s="301"/>
      <c r="P53" s="302"/>
      <c r="Q53" s="10"/>
      <c r="R53" s="10"/>
      <c r="S53" s="10"/>
      <c r="T53" s="10"/>
    </row>
    <row r="54" spans="1:22" x14ac:dyDescent="0.25">
      <c r="A54" s="243"/>
      <c r="B54" s="223" t="s">
        <v>60</v>
      </c>
      <c r="C54" s="224"/>
      <c r="D54" s="224"/>
      <c r="E54" s="224"/>
      <c r="F54" s="225"/>
      <c r="G54" s="174">
        <f>G37+G40+G42+G44+G46+G48+G52+G50</f>
        <v>3679023.9140968556</v>
      </c>
      <c r="H54" s="315"/>
      <c r="I54" s="316"/>
      <c r="J54" s="316"/>
      <c r="K54" s="316"/>
      <c r="L54" s="316"/>
      <c r="M54" s="316"/>
      <c r="N54" s="317"/>
      <c r="O54" s="301"/>
      <c r="P54" s="302"/>
      <c r="Q54" s="10"/>
      <c r="R54" s="10"/>
      <c r="S54" s="10"/>
      <c r="T54" s="10"/>
    </row>
    <row r="55" spans="1:22" ht="24" customHeight="1" x14ac:dyDescent="0.25">
      <c r="A55" s="241" t="s">
        <v>61</v>
      </c>
      <c r="B55" s="217" t="s">
        <v>62</v>
      </c>
      <c r="C55" s="222" t="s">
        <v>17</v>
      </c>
      <c r="D55" s="222"/>
      <c r="E55" s="222"/>
      <c r="F55" s="222"/>
      <c r="G55" s="3">
        <f>G56</f>
        <v>3501.8991596638639</v>
      </c>
      <c r="H55" s="303" t="s">
        <v>115</v>
      </c>
      <c r="I55" s="303" t="s">
        <v>115</v>
      </c>
      <c r="J55" s="303" t="s">
        <v>115</v>
      </c>
      <c r="K55" s="303" t="s">
        <v>115</v>
      </c>
      <c r="L55" s="303" t="s">
        <v>115</v>
      </c>
      <c r="M55" s="303" t="s">
        <v>115</v>
      </c>
      <c r="N55" s="303" t="s">
        <v>115</v>
      </c>
      <c r="O55" s="301"/>
      <c r="P55" s="302"/>
      <c r="Q55" s="10"/>
      <c r="R55" s="10"/>
      <c r="S55" s="10"/>
      <c r="T55" s="10"/>
    </row>
    <row r="56" spans="1:22" ht="79.5" customHeight="1" x14ac:dyDescent="0.25">
      <c r="A56" s="242"/>
      <c r="B56" s="218"/>
      <c r="C56" s="5" t="s">
        <v>63</v>
      </c>
      <c r="D56" s="5" t="s">
        <v>51</v>
      </c>
      <c r="E56" s="5">
        <f>AVERAGE('Presupuesto 01000992'!V57,'Presupuesto 01000992'!Z57,'Presupuesto 01000992'!AD57,'Presupuesto 01000992'!AH57)</f>
        <v>763.94193887445886</v>
      </c>
      <c r="F56" s="6">
        <f>'Presupuesto 01000992'!AK57</f>
        <v>4.5839860092290898</v>
      </c>
      <c r="G56" s="20">
        <f>'Presupuesto 01000992'!AL57</f>
        <v>3501.8991596638639</v>
      </c>
      <c r="H56" s="304"/>
      <c r="I56" s="304"/>
      <c r="J56" s="304"/>
      <c r="K56" s="304"/>
      <c r="L56" s="304"/>
      <c r="M56" s="304"/>
      <c r="N56" s="304"/>
      <c r="O56" s="301"/>
      <c r="P56" s="302"/>
      <c r="Q56" s="10"/>
      <c r="R56" s="10"/>
      <c r="S56" s="10"/>
      <c r="T56" s="10"/>
    </row>
    <row r="57" spans="1:22" ht="24" customHeight="1" x14ac:dyDescent="0.25">
      <c r="A57" s="242"/>
      <c r="B57" s="218"/>
      <c r="C57" s="222" t="s">
        <v>35</v>
      </c>
      <c r="D57" s="222"/>
      <c r="E57" s="222"/>
      <c r="F57" s="222"/>
      <c r="G57" s="3">
        <f>G58</f>
        <v>27243.798319327248</v>
      </c>
      <c r="H57" s="303" t="s">
        <v>115</v>
      </c>
      <c r="I57" s="303" t="s">
        <v>115</v>
      </c>
      <c r="J57" s="303" t="s">
        <v>115</v>
      </c>
      <c r="K57" s="303" t="s">
        <v>115</v>
      </c>
      <c r="L57" s="303" t="s">
        <v>115</v>
      </c>
      <c r="M57" s="303" t="s">
        <v>115</v>
      </c>
      <c r="N57" s="303" t="s">
        <v>115</v>
      </c>
      <c r="O57" s="301"/>
      <c r="P57" s="302"/>
      <c r="Q57" s="10"/>
      <c r="R57" s="10"/>
      <c r="S57" s="10"/>
      <c r="T57" s="10"/>
    </row>
    <row r="58" spans="1:22" ht="80.099999999999994" customHeight="1" x14ac:dyDescent="0.25">
      <c r="A58" s="242"/>
      <c r="B58" s="218"/>
      <c r="C58" s="4" t="s">
        <v>36</v>
      </c>
      <c r="D58" s="5" t="s">
        <v>37</v>
      </c>
      <c r="E58" s="5">
        <f>AVERAGE('Presupuesto 01000992'!V59,'Presupuesto 01000992'!Z59,'Presupuesto 01000992'!AD59,'Presupuesto 01000992'!AH59)</f>
        <v>507.64731347082534</v>
      </c>
      <c r="F58" s="6">
        <f>'Presupuesto 01000992'!AK59</f>
        <v>53.751958000000002</v>
      </c>
      <c r="G58" s="20">
        <f>'Presupuesto 01000992'!AL59</f>
        <v>27243.798319327248</v>
      </c>
      <c r="H58" s="304"/>
      <c r="I58" s="304"/>
      <c r="J58" s="304"/>
      <c r="K58" s="304"/>
      <c r="L58" s="304"/>
      <c r="M58" s="304"/>
      <c r="N58" s="304"/>
      <c r="O58" s="301"/>
      <c r="P58" s="302"/>
      <c r="Q58" s="10"/>
      <c r="R58" s="10"/>
      <c r="S58" s="10"/>
      <c r="T58" s="10"/>
    </row>
    <row r="59" spans="1:22" ht="24" customHeight="1" x14ac:dyDescent="0.25">
      <c r="A59" s="242"/>
      <c r="B59" s="218"/>
      <c r="C59" s="222" t="s">
        <v>38</v>
      </c>
      <c r="D59" s="222"/>
      <c r="E59" s="222"/>
      <c r="F59" s="222"/>
      <c r="G59" s="3">
        <f>SUM(G60,G61)</f>
        <v>264354.83070741023</v>
      </c>
      <c r="H59" s="303" t="s">
        <v>115</v>
      </c>
      <c r="I59" s="303" t="s">
        <v>115</v>
      </c>
      <c r="J59" s="303" t="s">
        <v>115</v>
      </c>
      <c r="K59" s="303" t="s">
        <v>115</v>
      </c>
      <c r="L59" s="303" t="s">
        <v>115</v>
      </c>
      <c r="M59" s="303" t="s">
        <v>115</v>
      </c>
      <c r="N59" s="303" t="s">
        <v>115</v>
      </c>
      <c r="O59" s="301"/>
      <c r="P59" s="302"/>
      <c r="Q59" s="10"/>
      <c r="R59" s="10"/>
      <c r="S59" s="10"/>
      <c r="T59" s="10"/>
    </row>
    <row r="60" spans="1:22" ht="90.6" customHeight="1" x14ac:dyDescent="0.25">
      <c r="A60" s="242"/>
      <c r="B60" s="218"/>
      <c r="C60" s="4" t="s">
        <v>64</v>
      </c>
      <c r="D60" s="5" t="s">
        <v>48</v>
      </c>
      <c r="E60" s="5">
        <f>AVERAGE('Presupuesto 01000992'!V61,'Presupuesto 01000992'!Z61,'Presupuesto 01000992'!AD61,'Presupuesto 01000992'!AH61)</f>
        <v>17494.20847975554</v>
      </c>
      <c r="F60" s="6">
        <f>'Presupuesto 01000992'!AK61</f>
        <v>14</v>
      </c>
      <c r="G60" s="20">
        <f>'Presupuesto 01000992'!AL61</f>
        <v>244918.91871657755</v>
      </c>
      <c r="H60" s="305"/>
      <c r="I60" s="305"/>
      <c r="J60" s="305"/>
      <c r="K60" s="305"/>
      <c r="L60" s="305"/>
      <c r="M60" s="305"/>
      <c r="N60" s="305"/>
      <c r="O60" s="301"/>
      <c r="P60" s="302"/>
      <c r="Q60" s="10"/>
      <c r="R60" s="10"/>
      <c r="S60" s="10"/>
      <c r="T60" s="10"/>
    </row>
    <row r="61" spans="1:22" x14ac:dyDescent="0.25">
      <c r="A61" s="242"/>
      <c r="B61" s="219"/>
      <c r="C61" s="4" t="s">
        <v>41</v>
      </c>
      <c r="D61" s="5" t="s">
        <v>48</v>
      </c>
      <c r="E61" s="5">
        <f>AVERAGE('Presupuesto 01000992'!V62,'Presupuesto 01000992'!Z62,'Presupuesto 01000992'!AD62,'Presupuesto 01000992'!AH62)</f>
        <v>6478.6373302775637</v>
      </c>
      <c r="F61" s="6">
        <f>'Presupuesto 01000992'!AK62</f>
        <v>3</v>
      </c>
      <c r="G61" s="20">
        <f>'Presupuesto 01000992'!AL62</f>
        <v>19435.91199083269</v>
      </c>
      <c r="H61" s="304"/>
      <c r="I61" s="304"/>
      <c r="J61" s="304"/>
      <c r="K61" s="304"/>
      <c r="L61" s="304"/>
      <c r="M61" s="304"/>
      <c r="N61" s="304"/>
      <c r="O61" s="301"/>
      <c r="P61" s="302"/>
      <c r="Q61" s="10"/>
      <c r="R61" s="10"/>
      <c r="S61" s="10"/>
      <c r="T61" s="10"/>
    </row>
    <row r="62" spans="1:22" x14ac:dyDescent="0.25">
      <c r="A62" s="242"/>
      <c r="B62" s="217" t="s">
        <v>65</v>
      </c>
      <c r="C62" s="222" t="s">
        <v>38</v>
      </c>
      <c r="D62" s="222"/>
      <c r="E62" s="222"/>
      <c r="F62" s="222"/>
      <c r="G62" s="3">
        <f>G63</f>
        <v>50126</v>
      </c>
      <c r="H62" s="303" t="s">
        <v>115</v>
      </c>
      <c r="I62" s="303" t="s">
        <v>115</v>
      </c>
      <c r="J62" s="303" t="s">
        <v>115</v>
      </c>
      <c r="K62" s="303" t="s">
        <v>115</v>
      </c>
      <c r="L62" s="303" t="s">
        <v>115</v>
      </c>
      <c r="M62" s="303" t="s">
        <v>115</v>
      </c>
      <c r="N62" s="303" t="s">
        <v>115</v>
      </c>
      <c r="O62" s="301"/>
      <c r="P62" s="302"/>
      <c r="Q62" s="10"/>
      <c r="R62" s="10"/>
      <c r="S62" s="10"/>
      <c r="T62" s="10"/>
      <c r="U62" s="10"/>
      <c r="V62" s="10"/>
    </row>
    <row r="63" spans="1:22" ht="43.15" customHeight="1" x14ac:dyDescent="0.25">
      <c r="A63" s="242"/>
      <c r="B63" s="218"/>
      <c r="C63" s="4" t="s">
        <v>66</v>
      </c>
      <c r="D63" s="5" t="s">
        <v>48</v>
      </c>
      <c r="E63" s="5">
        <f>AVERAGE('Presupuesto 01000992'!V64,'Presupuesto 01000992'!Z64,'Presupuesto 01000992'!AD64,'Presupuesto 01000992'!AH64)</f>
        <v>5012.6000000000004</v>
      </c>
      <c r="F63" s="6">
        <f>'Presupuesto 01000992'!AK64</f>
        <v>10</v>
      </c>
      <c r="G63" s="20">
        <f>'Presupuesto 01000992'!AL64</f>
        <v>50126</v>
      </c>
      <c r="H63" s="304"/>
      <c r="I63" s="304"/>
      <c r="J63" s="304"/>
      <c r="K63" s="304"/>
      <c r="L63" s="304"/>
      <c r="M63" s="304"/>
      <c r="N63" s="304"/>
      <c r="O63" s="301"/>
      <c r="P63" s="302"/>
      <c r="Q63" s="10"/>
      <c r="R63" s="10"/>
      <c r="S63" s="10"/>
      <c r="T63" s="10"/>
      <c r="U63" s="10"/>
      <c r="V63" s="10"/>
    </row>
    <row r="64" spans="1:22" ht="26.25" customHeight="1" x14ac:dyDescent="0.25">
      <c r="A64" s="242"/>
      <c r="B64" s="217" t="s">
        <v>67</v>
      </c>
      <c r="C64" s="222" t="s">
        <v>38</v>
      </c>
      <c r="D64" s="222"/>
      <c r="E64" s="222"/>
      <c r="F64" s="222"/>
      <c r="G64" s="3">
        <f>SUM(G65:G66)</f>
        <v>705893.24986575043</v>
      </c>
      <c r="H64" s="303" t="s">
        <v>115</v>
      </c>
      <c r="I64" s="303" t="s">
        <v>115</v>
      </c>
      <c r="J64" s="303" t="s">
        <v>115</v>
      </c>
      <c r="K64" s="303" t="s">
        <v>115</v>
      </c>
      <c r="L64" s="303" t="s">
        <v>115</v>
      </c>
      <c r="M64" s="303" t="s">
        <v>115</v>
      </c>
      <c r="N64" s="303" t="s">
        <v>115</v>
      </c>
      <c r="O64" s="301"/>
      <c r="P64" s="302"/>
      <c r="Q64" s="10"/>
      <c r="R64" s="10"/>
      <c r="S64" s="10"/>
      <c r="T64" s="74"/>
    </row>
    <row r="65" spans="1:22" ht="43.15" customHeight="1" x14ac:dyDescent="0.25">
      <c r="A65" s="242"/>
      <c r="B65" s="218"/>
      <c r="C65" s="4" t="s">
        <v>68</v>
      </c>
      <c r="D65" s="5" t="s">
        <v>48</v>
      </c>
      <c r="E65" s="5">
        <f>AVERAGE('Presupuesto 01000992'!V66,'Presupuesto 01000992'!Z66,'Presupuesto 01000992'!AD66,'Presupuesto 01000992'!AH66)</f>
        <v>18247.7327782022</v>
      </c>
      <c r="F65" s="6">
        <f>'Presupuesto 01000992'!AK66</f>
        <v>20</v>
      </c>
      <c r="G65" s="20">
        <f>'Presupuesto 01000992'!AL66</f>
        <v>364954.65556404402</v>
      </c>
      <c r="H65" s="305"/>
      <c r="I65" s="305"/>
      <c r="J65" s="305"/>
      <c r="K65" s="305"/>
      <c r="L65" s="305"/>
      <c r="M65" s="305"/>
      <c r="N65" s="305"/>
      <c r="O65" s="301"/>
      <c r="P65" s="302"/>
      <c r="Q65" s="10"/>
      <c r="R65" s="10"/>
      <c r="S65" s="10"/>
      <c r="T65" s="73"/>
    </row>
    <row r="66" spans="1:22" ht="72" customHeight="1" x14ac:dyDescent="0.25">
      <c r="A66" s="242"/>
      <c r="B66" s="219"/>
      <c r="C66" s="136" t="s">
        <v>163</v>
      </c>
      <c r="D66" s="5" t="str">
        <f>'Presupuesto 01000992'!AG67</f>
        <v>ASBV</v>
      </c>
      <c r="E66" s="5">
        <f>AVERAGE('Presupuesto 01000992'!V67,'Presupuesto 01000992'!Z67,'Presupuesto 01000992'!AD67,'Presupuesto 01000992'!AH67)</f>
        <v>17046.92971508532</v>
      </c>
      <c r="F66" s="6">
        <f>'Presupuesto 01000992'!AK67</f>
        <v>20</v>
      </c>
      <c r="G66" s="20">
        <f>'Presupuesto 01000992'!AL67</f>
        <v>340938.59430170641</v>
      </c>
      <c r="H66" s="304"/>
      <c r="I66" s="304"/>
      <c r="J66" s="304"/>
      <c r="K66" s="304"/>
      <c r="L66" s="304"/>
      <c r="M66" s="304"/>
      <c r="N66" s="304"/>
      <c r="O66" s="301"/>
      <c r="P66" s="302"/>
      <c r="Q66" s="10"/>
      <c r="R66" s="10"/>
      <c r="S66" s="10"/>
    </row>
    <row r="67" spans="1:22" ht="19.5" customHeight="1" x14ac:dyDescent="0.25">
      <c r="A67" s="242"/>
      <c r="B67" s="217" t="s">
        <v>69</v>
      </c>
      <c r="C67" s="222" t="s">
        <v>38</v>
      </c>
      <c r="D67" s="222"/>
      <c r="E67" s="222"/>
      <c r="F67" s="222"/>
      <c r="G67" s="3">
        <f>SUM(G68:G74)</f>
        <v>1557746.4691679687</v>
      </c>
      <c r="H67" s="303" t="s">
        <v>115</v>
      </c>
      <c r="I67" s="303" t="s">
        <v>115</v>
      </c>
      <c r="J67" s="303" t="s">
        <v>115</v>
      </c>
      <c r="K67" s="303" t="s">
        <v>115</v>
      </c>
      <c r="L67" s="303" t="s">
        <v>115</v>
      </c>
      <c r="M67" s="303" t="s">
        <v>115</v>
      </c>
      <c r="N67" s="303" t="s">
        <v>115</v>
      </c>
      <c r="O67" s="301"/>
      <c r="P67" s="302"/>
      <c r="Q67" s="10"/>
      <c r="R67" s="10"/>
      <c r="S67" s="10"/>
      <c r="T67" s="72"/>
      <c r="V67" s="10"/>
    </row>
    <row r="68" spans="1:22" ht="67.150000000000006" customHeight="1" x14ac:dyDescent="0.25">
      <c r="A68" s="242"/>
      <c r="B68" s="218"/>
      <c r="C68" s="4" t="s">
        <v>70</v>
      </c>
      <c r="D68" s="5" t="s">
        <v>48</v>
      </c>
      <c r="E68" s="5">
        <f>AVERAGE('Presupuesto 01000992'!V69,'Presupuesto 01000992'!Z69,'Presupuesto 01000992'!AD69,'Presupuesto 01000992'!AH69)</f>
        <v>18227.232778202186</v>
      </c>
      <c r="F68" s="6">
        <f>'Presupuesto 01000992'!AK69</f>
        <v>10</v>
      </c>
      <c r="G68" s="20">
        <f>'Presupuesto 01000992'!AL69</f>
        <v>182272.32778202186</v>
      </c>
      <c r="H68" s="305"/>
      <c r="I68" s="305"/>
      <c r="J68" s="305"/>
      <c r="K68" s="305"/>
      <c r="L68" s="305"/>
      <c r="M68" s="305"/>
      <c r="N68" s="305"/>
      <c r="O68" s="301"/>
      <c r="P68" s="302"/>
      <c r="Q68" s="10"/>
      <c r="R68" s="10"/>
      <c r="S68" s="10"/>
      <c r="V68" s="10"/>
    </row>
    <row r="69" spans="1:22" ht="45" x14ac:dyDescent="0.25">
      <c r="A69" s="242"/>
      <c r="B69" s="218"/>
      <c r="C69" s="136" t="s">
        <v>164</v>
      </c>
      <c r="D69" s="5" t="str">
        <f>'Presupuesto 01000992'!AG70</f>
        <v>ASBV</v>
      </c>
      <c r="E69" s="5">
        <f>AVERAGE('Presupuesto 01000992'!V70,'Presupuesto 01000992'!Z70,'Presupuesto 01000992'!AD70,'Presupuesto 01000992'!AH70)</f>
        <v>6499.1419538762793</v>
      </c>
      <c r="F69" s="6">
        <f>'Presupuesto 01000992'!AK70</f>
        <v>40</v>
      </c>
      <c r="G69" s="20">
        <f>'Presupuesto 01000992'!AL70</f>
        <v>259965.67815505117</v>
      </c>
      <c r="H69" s="305"/>
      <c r="I69" s="305"/>
      <c r="J69" s="305"/>
      <c r="K69" s="305"/>
      <c r="L69" s="305"/>
      <c r="M69" s="305"/>
      <c r="N69" s="305"/>
      <c r="O69" s="301"/>
      <c r="P69" s="302"/>
    </row>
    <row r="70" spans="1:22" ht="57.6" customHeight="1" x14ac:dyDescent="0.25">
      <c r="A70" s="242"/>
      <c r="B70" s="218"/>
      <c r="C70" s="136" t="s">
        <v>165</v>
      </c>
      <c r="D70" s="5" t="str">
        <f>'Presupuesto 01000992'!AG71</f>
        <v>ASBV</v>
      </c>
      <c r="E70" s="5">
        <f>AVERAGE('Presupuesto 01000992'!V71,'Presupuesto 01000992'!Z71,'Presupuesto 01000992'!AD71,'Presupuesto 01000992'!AH71)</f>
        <v>6499.1419538762793</v>
      </c>
      <c r="F70" s="6">
        <f>'Presupuesto 01000992'!AK71</f>
        <v>40</v>
      </c>
      <c r="G70" s="20">
        <f>'Presupuesto 01000992'!AL71</f>
        <v>259965.67815505117</v>
      </c>
      <c r="H70" s="305"/>
      <c r="I70" s="305"/>
      <c r="J70" s="305"/>
      <c r="K70" s="305"/>
      <c r="L70" s="305"/>
      <c r="M70" s="305"/>
      <c r="N70" s="305"/>
      <c r="O70" s="301"/>
      <c r="P70" s="302"/>
    </row>
    <row r="71" spans="1:22" ht="57.6" customHeight="1" x14ac:dyDescent="0.25">
      <c r="A71" s="242"/>
      <c r="B71" s="218"/>
      <c r="C71" s="136" t="s">
        <v>166</v>
      </c>
      <c r="D71" s="5" t="str">
        <f>'Presupuesto 01000992'!AG72</f>
        <v>ASBV</v>
      </c>
      <c r="E71" s="5">
        <f>AVERAGE('Presupuesto 01000992'!V72,'Presupuesto 01000992'!Z72,'Presupuesto 01000992'!AD72,'Presupuesto 01000992'!AH72)</f>
        <v>5327.1655359641627</v>
      </c>
      <c r="F71" s="6">
        <f>'Presupuesto 01000992'!AK72</f>
        <v>23</v>
      </c>
      <c r="G71" s="20">
        <f>'Presupuesto 01000992'!AL72</f>
        <v>122524.80732717575</v>
      </c>
      <c r="H71" s="305"/>
      <c r="I71" s="305"/>
      <c r="J71" s="305"/>
      <c r="K71" s="305"/>
      <c r="L71" s="305"/>
      <c r="M71" s="305"/>
      <c r="N71" s="305"/>
      <c r="O71" s="301"/>
      <c r="P71" s="302"/>
    </row>
    <row r="72" spans="1:22" ht="57.6" customHeight="1" x14ac:dyDescent="0.25">
      <c r="A72" s="242"/>
      <c r="B72" s="218"/>
      <c r="C72" s="136" t="s">
        <v>167</v>
      </c>
      <c r="D72" s="5" t="str">
        <f>'Presupuesto 01000992'!AG73</f>
        <v>ASBV</v>
      </c>
      <c r="E72" s="5">
        <f>AVERAGE('Presupuesto 01000992'!V73,'Presupuesto 01000992'!Z73,'Presupuesto 01000992'!AD73,'Presupuesto 01000992'!AH73)</f>
        <v>19177.795929470987</v>
      </c>
      <c r="F72" s="6">
        <f>'Presupuesto 01000992'!AK73</f>
        <v>20</v>
      </c>
      <c r="G72" s="20">
        <f>'Presupuesto 01000992'!AL73</f>
        <v>383555.91858941974</v>
      </c>
      <c r="H72" s="305"/>
      <c r="I72" s="305"/>
      <c r="J72" s="305"/>
      <c r="K72" s="305"/>
      <c r="L72" s="305"/>
      <c r="M72" s="305"/>
      <c r="N72" s="305"/>
      <c r="O72" s="301"/>
      <c r="P72" s="302"/>
    </row>
    <row r="73" spans="1:22" ht="57.6" customHeight="1" x14ac:dyDescent="0.25">
      <c r="A73" s="242"/>
      <c r="B73" s="218"/>
      <c r="C73" s="136" t="s">
        <v>168</v>
      </c>
      <c r="D73" s="5" t="str">
        <f>'Presupuesto 01000992'!AG74</f>
        <v>ASBV</v>
      </c>
      <c r="E73" s="5">
        <f>AVERAGE('Presupuesto 01000992'!V74,'Presupuesto 01000992'!Z74,'Presupuesto 01000992'!AD74,'Presupuesto 01000992'!AH74)</f>
        <v>12785.197286313989</v>
      </c>
      <c r="F73" s="6">
        <f>'Presupuesto 01000992'!AK74</f>
        <v>24</v>
      </c>
      <c r="G73" s="20">
        <f>'Presupuesto 01000992'!AL74</f>
        <v>306844.73487153574</v>
      </c>
      <c r="H73" s="305"/>
      <c r="I73" s="305"/>
      <c r="J73" s="305"/>
      <c r="K73" s="305"/>
      <c r="L73" s="305"/>
      <c r="M73" s="305"/>
      <c r="N73" s="305"/>
      <c r="O73" s="301"/>
      <c r="P73" s="302"/>
    </row>
    <row r="74" spans="1:22" ht="57.6" customHeight="1" x14ac:dyDescent="0.25">
      <c r="A74" s="242"/>
      <c r="B74" s="219"/>
      <c r="C74" s="136" t="s">
        <v>169</v>
      </c>
      <c r="D74" s="5" t="str">
        <f>'Presupuesto 01000992'!AG75</f>
        <v>ASBV</v>
      </c>
      <c r="E74" s="5">
        <f>AVERAGE('Presupuesto 01000992'!V75,'Presupuesto 01000992'!Z75,'Presupuesto 01000992'!AD75,'Presupuesto 01000992'!AH75)</f>
        <v>2130.866214385665</v>
      </c>
      <c r="F74" s="6">
        <f>'Presupuesto 01000992'!AK75</f>
        <v>20</v>
      </c>
      <c r="G74" s="20">
        <f>'Presupuesto 01000992'!AL75</f>
        <v>42617.324287713302</v>
      </c>
      <c r="H74" s="304"/>
      <c r="I74" s="304"/>
      <c r="J74" s="304"/>
      <c r="K74" s="304"/>
      <c r="L74" s="304"/>
      <c r="M74" s="304"/>
      <c r="N74" s="304"/>
      <c r="O74" s="301"/>
      <c r="P74" s="302"/>
    </row>
    <row r="75" spans="1:22" x14ac:dyDescent="0.25">
      <c r="A75" s="243"/>
      <c r="B75" s="223" t="s">
        <v>71</v>
      </c>
      <c r="C75" s="224"/>
      <c r="D75" s="224"/>
      <c r="E75" s="224"/>
      <c r="F75" s="225"/>
      <c r="G75" s="174">
        <f>G55+G57+G59+G62+G64+G67</f>
        <v>2608866.2472201204</v>
      </c>
      <c r="H75" s="318"/>
      <c r="I75" s="319"/>
      <c r="J75" s="319"/>
      <c r="K75" s="319"/>
      <c r="L75" s="319"/>
      <c r="M75" s="319"/>
      <c r="N75" s="320"/>
      <c r="O75" s="301"/>
      <c r="P75" s="302"/>
    </row>
  </sheetData>
  <mergeCells count="169">
    <mergeCell ref="M67:M74"/>
    <mergeCell ref="N67:N74"/>
    <mergeCell ref="H75:N75"/>
    <mergeCell ref="H67:H74"/>
    <mergeCell ref="I67:I74"/>
    <mergeCell ref="J67:J74"/>
    <mergeCell ref="K67:K74"/>
    <mergeCell ref="L67:L74"/>
    <mergeCell ref="M62:M63"/>
    <mergeCell ref="N62:N63"/>
    <mergeCell ref="H64:H66"/>
    <mergeCell ref="I64:I66"/>
    <mergeCell ref="J64:J66"/>
    <mergeCell ref="K64:K66"/>
    <mergeCell ref="L64:L66"/>
    <mergeCell ref="M64:M66"/>
    <mergeCell ref="N64:N66"/>
    <mergeCell ref="H62:H63"/>
    <mergeCell ref="I62:I63"/>
    <mergeCell ref="J62:J63"/>
    <mergeCell ref="K62:K63"/>
    <mergeCell ref="L62:L63"/>
    <mergeCell ref="H37:H39"/>
    <mergeCell ref="H40:H45"/>
    <mergeCell ref="H59:H61"/>
    <mergeCell ref="I59:I61"/>
    <mergeCell ref="J59:J61"/>
    <mergeCell ref="K59:K61"/>
    <mergeCell ref="L59:L61"/>
    <mergeCell ref="I52:I53"/>
    <mergeCell ref="J52:J53"/>
    <mergeCell ref="K52:K53"/>
    <mergeCell ref="L52:L53"/>
    <mergeCell ref="H55:H56"/>
    <mergeCell ref="H57:H58"/>
    <mergeCell ref="N50:N51"/>
    <mergeCell ref="M48:M49"/>
    <mergeCell ref="N48:N49"/>
    <mergeCell ref="H50:H51"/>
    <mergeCell ref="I50:I51"/>
    <mergeCell ref="J50:J51"/>
    <mergeCell ref="K50:K51"/>
    <mergeCell ref="H46:H47"/>
    <mergeCell ref="I46:I47"/>
    <mergeCell ref="N52:N53"/>
    <mergeCell ref="J57:J58"/>
    <mergeCell ref="L33:L35"/>
    <mergeCell ref="M33:M35"/>
    <mergeCell ref="N33:N35"/>
    <mergeCell ref="K40:K45"/>
    <mergeCell ref="L40:L45"/>
    <mergeCell ref="M40:M45"/>
    <mergeCell ref="N40:N45"/>
    <mergeCell ref="J46:J47"/>
    <mergeCell ref="K46:K47"/>
    <mergeCell ref="L46:L47"/>
    <mergeCell ref="M46:M47"/>
    <mergeCell ref="N46:N47"/>
    <mergeCell ref="N37:N39"/>
    <mergeCell ref="H36:N36"/>
    <mergeCell ref="I37:I39"/>
    <mergeCell ref="J37:J39"/>
    <mergeCell ref="K37:K39"/>
    <mergeCell ref="L37:L39"/>
    <mergeCell ref="I40:I45"/>
    <mergeCell ref="J40:J45"/>
    <mergeCell ref="L50:L51"/>
    <mergeCell ref="M50:M51"/>
    <mergeCell ref="K6:K7"/>
    <mergeCell ref="L6:L7"/>
    <mergeCell ref="K8:K10"/>
    <mergeCell ref="L8:L10"/>
    <mergeCell ref="H6:H7"/>
    <mergeCell ref="H8:H10"/>
    <mergeCell ref="M6:M7"/>
    <mergeCell ref="N6:N7"/>
    <mergeCell ref="M8:M10"/>
    <mergeCell ref="K11:K32"/>
    <mergeCell ref="L11:L32"/>
    <mergeCell ref="M11:M32"/>
    <mergeCell ref="N11:N32"/>
    <mergeCell ref="H33:H35"/>
    <mergeCell ref="I33:I35"/>
    <mergeCell ref="J33:J35"/>
    <mergeCell ref="K33:K35"/>
    <mergeCell ref="N8:N10"/>
    <mergeCell ref="I11:I32"/>
    <mergeCell ref="J11:J32"/>
    <mergeCell ref="C59:F59"/>
    <mergeCell ref="I57:I58"/>
    <mergeCell ref="C50:F50"/>
    <mergeCell ref="C52:F52"/>
    <mergeCell ref="C55:F55"/>
    <mergeCell ref="I55:I56"/>
    <mergeCell ref="J55:J56"/>
    <mergeCell ref="C57:F57"/>
    <mergeCell ref="I48:I49"/>
    <mergeCell ref="J48:J49"/>
    <mergeCell ref="H48:H49"/>
    <mergeCell ref="H52:H53"/>
    <mergeCell ref="H54:N54"/>
    <mergeCell ref="K55:K56"/>
    <mergeCell ref="L55:L56"/>
    <mergeCell ref="K57:K58"/>
    <mergeCell ref="L57:L58"/>
    <mergeCell ref="M55:M56"/>
    <mergeCell ref="N55:N56"/>
    <mergeCell ref="M57:M58"/>
    <mergeCell ref="N57:N58"/>
    <mergeCell ref="M52:M53"/>
    <mergeCell ref="K48:K49"/>
    <mergeCell ref="L48:L49"/>
    <mergeCell ref="C33:F33"/>
    <mergeCell ref="C37:F37"/>
    <mergeCell ref="I8:I10"/>
    <mergeCell ref="J8:J10"/>
    <mergeCell ref="H11:H32"/>
    <mergeCell ref="M59:M61"/>
    <mergeCell ref="N59:N61"/>
    <mergeCell ref="M37:M39"/>
    <mergeCell ref="A1:P1"/>
    <mergeCell ref="A2:P2"/>
    <mergeCell ref="A3:P3"/>
    <mergeCell ref="A4:C5"/>
    <mergeCell ref="D4:D5"/>
    <mergeCell ref="E4:E5"/>
    <mergeCell ref="F4:F5"/>
    <mergeCell ref="G4:G5"/>
    <mergeCell ref="O4:O5"/>
    <mergeCell ref="P4:P5"/>
    <mergeCell ref="M4:N4"/>
    <mergeCell ref="I4:L4"/>
    <mergeCell ref="B36:F36"/>
    <mergeCell ref="A37:A54"/>
    <mergeCell ref="B37:B39"/>
    <mergeCell ref="B40:B45"/>
    <mergeCell ref="C40:F40"/>
    <mergeCell ref="C42:F42"/>
    <mergeCell ref="C44:F44"/>
    <mergeCell ref="B46:B47"/>
    <mergeCell ref="C46:F46"/>
    <mergeCell ref="B48:B51"/>
    <mergeCell ref="B52:B53"/>
    <mergeCell ref="B54:F54"/>
    <mergeCell ref="C48:F48"/>
    <mergeCell ref="O6:O75"/>
    <mergeCell ref="P6:P75"/>
    <mergeCell ref="J6:J7"/>
    <mergeCell ref="C27:F27"/>
    <mergeCell ref="B6:B7"/>
    <mergeCell ref="C6:F6"/>
    <mergeCell ref="I6:I7"/>
    <mergeCell ref="C8:F8"/>
    <mergeCell ref="A55:A75"/>
    <mergeCell ref="B55:B61"/>
    <mergeCell ref="B62:B63"/>
    <mergeCell ref="C62:F62"/>
    <mergeCell ref="C64:F64"/>
    <mergeCell ref="C67:F67"/>
    <mergeCell ref="B75:F75"/>
    <mergeCell ref="B11:B32"/>
    <mergeCell ref="B64:B66"/>
    <mergeCell ref="B67:B74"/>
    <mergeCell ref="A6:A36"/>
    <mergeCell ref="B8:B10"/>
    <mergeCell ref="C11:F11"/>
    <mergeCell ref="C20:F20"/>
    <mergeCell ref="C25:F25"/>
    <mergeCell ref="B33:B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01000992</vt:lpstr>
      <vt:lpstr>(AWP) Plan de trabajo </vt:lpstr>
      <vt:lpstr>V1 Presupuesto Desagregado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Alexander Franco Bernal</dc:creator>
  <cp:keywords/>
  <dc:description/>
  <cp:lastModifiedBy>Maria Isabel Sapuy Bonilla</cp:lastModifiedBy>
  <cp:revision/>
  <dcterms:created xsi:type="dcterms:W3CDTF">2023-11-07T13:38:12Z</dcterms:created>
  <dcterms:modified xsi:type="dcterms:W3CDTF">2024-10-22T21:18:37Z</dcterms:modified>
  <cp:category/>
  <cp:contentStatus/>
</cp:coreProperties>
</file>