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dy.garcia\Desktop\GISELA\SCJ 2020\PROCESOS\MENSAJERÍA 2\"/>
    </mc:Choice>
  </mc:AlternateContent>
  <bookViews>
    <workbookView xWindow="0" yWindow="0" windowWidth="28800" windowHeight="12300" firstSheet="1" activeTab="1"/>
  </bookViews>
  <sheets>
    <sheet name="CTO 2020" sheetId="3" state="hidden" r:id="rId1"/>
    <sheet name="ANALISIS MERCADO" sheetId="2" r:id="rId2"/>
    <sheet name="Hoja1" sheetId="4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2" l="1"/>
  <c r="O15" i="2"/>
  <c r="P14" i="2" s="1"/>
  <c r="Q14" i="2" s="1"/>
  <c r="Q15" i="2" s="1"/>
  <c r="L8" i="2" l="1"/>
  <c r="L7" i="2"/>
  <c r="M8" i="2"/>
  <c r="M7" i="2"/>
  <c r="N7" i="2" s="1"/>
  <c r="O7" i="2" l="1"/>
  <c r="N8" i="2"/>
  <c r="O8" i="2" s="1"/>
  <c r="L4" i="2"/>
  <c r="M4" i="2" s="1"/>
  <c r="L5" i="2"/>
  <c r="M5" i="2" s="1"/>
  <c r="L6" i="2"/>
  <c r="M6" i="2" s="1"/>
  <c r="N6" i="2" l="1"/>
  <c r="O6" i="2"/>
  <c r="N5" i="2"/>
  <c r="O5" i="2"/>
  <c r="N4" i="2"/>
  <c r="O4" i="2"/>
  <c r="E10" i="4"/>
  <c r="E11" i="4"/>
  <c r="E12" i="4"/>
  <c r="E13" i="4"/>
  <c r="E9" i="4" l="1"/>
  <c r="E8" i="4"/>
  <c r="E7" i="4"/>
  <c r="E6" i="4"/>
  <c r="E5" i="4"/>
  <c r="L3" i="2"/>
  <c r="C4" i="3"/>
  <c r="E4" i="4" l="1"/>
  <c r="M3" i="2"/>
  <c r="I4" i="2"/>
  <c r="I5" i="2"/>
  <c r="I6" i="2"/>
  <c r="I7" i="2"/>
  <c r="I8" i="2"/>
  <c r="I3" i="2"/>
  <c r="K4" i="2" l="1"/>
  <c r="K5" i="2"/>
  <c r="K6" i="2"/>
  <c r="K7" i="2"/>
  <c r="K8" i="2"/>
  <c r="K3" i="2"/>
  <c r="E4" i="2"/>
  <c r="E5" i="2"/>
  <c r="E6" i="2"/>
  <c r="E7" i="2"/>
  <c r="E8" i="2"/>
  <c r="E3" i="2"/>
  <c r="G3" i="2"/>
  <c r="G8" i="2" l="1"/>
  <c r="F9" i="4" s="1"/>
  <c r="G7" i="2"/>
  <c r="F8" i="4" s="1"/>
  <c r="G6" i="2"/>
  <c r="F7" i="4" s="1"/>
  <c r="G5" i="2"/>
  <c r="F6" i="4" s="1"/>
  <c r="G4" i="2"/>
  <c r="F4" i="4" l="1"/>
  <c r="N3" i="2"/>
  <c r="O3" i="2" s="1"/>
  <c r="O9" i="2" s="1"/>
  <c r="G8" i="4"/>
  <c r="G6" i="4"/>
  <c r="G9" i="4"/>
  <c r="F5" i="4"/>
  <c r="H4" i="4" l="1"/>
  <c r="G4" i="4"/>
  <c r="M9" i="2"/>
  <c r="H9" i="4"/>
  <c r="H8" i="4"/>
  <c r="H7" i="4"/>
  <c r="G7" i="4"/>
  <c r="F14" i="4"/>
  <c r="H6" i="4"/>
  <c r="G5" i="4"/>
  <c r="N9" i="2" l="1"/>
  <c r="O10" i="2" s="1"/>
  <c r="G14" i="4"/>
  <c r="H15" i="4" s="1"/>
  <c r="H5" i="4" l="1"/>
  <c r="H14" i="4" s="1"/>
</calcChain>
</file>

<file path=xl/comments1.xml><?xml version="1.0" encoding="utf-8"?>
<comments xmlns="http://schemas.openxmlformats.org/spreadsheetml/2006/main">
  <authors>
    <author>Hernan David Moreno Cojo</author>
  </authors>
  <commentList>
    <comment ref="L7" authorId="0" shapeId="0">
      <text>
        <r>
          <rPr>
            <b/>
            <sz val="9"/>
            <color indexed="81"/>
            <rFont val="Tahoma"/>
            <charset val="1"/>
          </rPr>
          <t>Hernan David Moreno Cojo:</t>
        </r>
        <r>
          <rPr>
            <sz val="9"/>
            <color indexed="81"/>
            <rFont val="Tahoma"/>
            <charset val="1"/>
          </rPr>
          <t xml:space="preserve">
Valores ajustados, según perfil y experiencia requerida, de la tabla de honorarios según Resolución 000002 del 02 de Enero de 2020 de la Secretaría Distrital de Seguridad, Conviviencia y Justicia. </t>
        </r>
      </text>
    </comment>
  </commentList>
</comments>
</file>

<file path=xl/sharedStrings.xml><?xml version="1.0" encoding="utf-8"?>
<sst xmlns="http://schemas.openxmlformats.org/spreadsheetml/2006/main" count="82" uniqueCount="43">
  <si>
    <t>ITEM</t>
  </si>
  <si>
    <t>DESCRIPCIÓN</t>
  </si>
  <si>
    <t>CANTIDAD MENSUAL</t>
  </si>
  <si>
    <t>Entrega Inmediata Segura S.A.</t>
  </si>
  <si>
    <t>REDEX S.A.S.</t>
  </si>
  <si>
    <t>ENVIA COLVANES S.A.S.</t>
  </si>
  <si>
    <t>INTERRAPIDISIMO</t>
  </si>
  <si>
    <t>PROMEDIO VALOR UNITARIO</t>
  </si>
  <si>
    <t>PROMEDIO VALOR MENSUAL</t>
  </si>
  <si>
    <t>VALOR UNITARIO</t>
  </si>
  <si>
    <t>VALOR MENSUAL</t>
  </si>
  <si>
    <t>Servicio de mensajería expresa urbana 0-1000 gramos (valor estándar para direcciones ubicadas en la ciudad de Bogotá, en cualquiera de sus 20 localidades).</t>
  </si>
  <si>
    <t>Servicio de mensajería expresa  Nacional 0-5000 gramos (valor estándar para todas las ciudades del país)</t>
  </si>
  <si>
    <t>Servicio de mensajería expresa Internacional América 0-1000 gramos (valor estándar para todos los países de América)</t>
  </si>
  <si>
    <t>Servicio de mensajería expresa Internacional Resto del Mundo 0-1000 gramos (valor estándar para todos los países del resto del mundo)</t>
  </si>
  <si>
    <t>Un (1) Coordinador bachiller debidamente uniformado, con mínimo un (1) año de experiencia específica en coordinación de procesos de mensajería, quien cumplirá sus funciones en las instalaciones de la entidad y se encargará de coordinar las acciones realizadas por los motorizados, desarrollando los trabajos de digitación, aislamiento, zonificación, enrutamiento de los envíos urgentes; realizar la entrega personalizada de la correspondencia interna; realizar una segunda tele-verificación a la documentación devuelta; elaborar y presentar los informes que señale el supervisor.</t>
  </si>
  <si>
    <t>Cuatro (4) Motorizados bachilleres debidamente uniformados, con un (1) año de experiencia en mensajería en motocicleta, quienes estarán de tiempo completo a disposición de la entidad.</t>
  </si>
  <si>
    <t>PRESUPUESTO</t>
  </si>
  <si>
    <t>Coordinador</t>
  </si>
  <si>
    <t>Mensajeros</t>
  </si>
  <si>
    <t>Costo unitario del servicio urbano especializado 0-1000 gramos</t>
  </si>
  <si>
    <t>Servicio Nacional especializado 0-5000 gramos</t>
  </si>
  <si>
    <t>Servicio Internacional especializado América 0-1000 gramos</t>
  </si>
  <si>
    <t>SERVICIO</t>
  </si>
  <si>
    <t>CANT</t>
  </si>
  <si>
    <t>PROMEDIO VALOR DIEZ (10) DIAS</t>
  </si>
  <si>
    <t>PRESUPUESTO PARA CINCO (5) MESES Y DIEZ (10) DIAS</t>
  </si>
  <si>
    <t>SALDO DE RUBRO 2020</t>
  </si>
  <si>
    <t>ADICION 3</t>
  </si>
  <si>
    <t>VALOR DE RUBRO 2020</t>
  </si>
  <si>
    <t>PROMEDIO PARA SEIS (05) MESES Y DIEZ (10) DIAS</t>
  </si>
  <si>
    <t>Un (1) equipo de computo (Intel Core i3 pantalla plana 4GB RAM DO 500 GB Window 7 office 2013).</t>
  </si>
  <si>
    <t>Cinco (5) celulares (Smartphone con camará integrada superior a 8 mega pixewles, plan ilimitado mensual).</t>
  </si>
  <si>
    <t xml:space="preserve"> Una (1) impresora multifuncional laser.</t>
  </si>
  <si>
    <t>Un (1) escaner</t>
  </si>
  <si>
    <t>SERVICIO INCLUIDO EN FACTURA</t>
  </si>
  <si>
    <t>VALORES PARAMETRIZADO EN SERVICIO DEL COORDINADOR EN COTIZACIÓN DE REDEX SAS Y ENVIA COLVANES SAS</t>
  </si>
  <si>
    <t>NO TENIDO EN CUENTA*</t>
  </si>
  <si>
    <t>PROMEDIO PARA CINCO (05) MESES Y DIEZ (10) DIAS</t>
  </si>
  <si>
    <t>Equipos para la debida prestación del servicio
El contratista previo a la firma del acta de inicio deberá presentar al supervisor del contrato los equipos que se
relacionan a continuación</t>
  </si>
  <si>
    <t>TOTALES</t>
  </si>
  <si>
    <t>CANTIDAD</t>
  </si>
  <si>
    <t>NOTA: El servicio de mensajería se encuentra excluido del Iva. El servicio de mensajería es un servicio que se encuentra excluido del Iva, según el artículo 476 del estatuto tributario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</si>
</sst>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$&quot;\ #,##0;[Red]\-&quot;$&quot;\ #,##0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[$$-240A]\ * #,##0_-;\-[$$-240A]\ * #,##0_-;_-[$$-240A]\ * &quot;-&quot;??_-;_-@_-"/>
    <numFmt numFmtId="168" formatCode="[$$-240A]\ #,##0"/>
    <numFmt numFmtId="169" formatCode="&quot;$&quot;\ #,##0.00"/>
    <numFmt numFmtId="170" formatCode="&quot;$&quot;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b/>
      <sz val="9"/>
      <color theme="1"/>
      <name val="Arial Narrow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8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33">
    <xf numFmtId="0" fontId="0" fillId="0" borderId="0" xfId="0"/>
    <xf numFmtId="0" fontId="2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168" fontId="0" fillId="0" borderId="1" xfId="0" applyNumberFormat="1" applyBorder="1" applyAlignment="1">
      <alignment horizontal="right" vertical="center"/>
    </xf>
    <xf numFmtId="168" fontId="0" fillId="8" borderId="1" xfId="0" applyNumberFormat="1" applyFill="1" applyBorder="1" applyAlignment="1">
      <alignment horizontal="center" vertical="center"/>
    </xf>
    <xf numFmtId="168" fontId="0" fillId="8" borderId="1" xfId="0" applyNumberForma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167" fontId="5" fillId="4" borderId="1" xfId="0" applyNumberFormat="1" applyFont="1" applyFill="1" applyBorder="1" applyAlignment="1">
      <alignment horizontal="center" vertical="center"/>
    </xf>
    <xf numFmtId="167" fontId="5" fillId="4" borderId="1" xfId="0" applyNumberFormat="1" applyFont="1" applyFill="1" applyBorder="1" applyAlignment="1">
      <alignment vertical="center"/>
    </xf>
    <xf numFmtId="0" fontId="5" fillId="3" borderId="0" xfId="0" applyFont="1" applyFill="1"/>
    <xf numFmtId="0" fontId="0" fillId="3" borderId="0" xfId="0" applyFill="1"/>
    <xf numFmtId="0" fontId="7" fillId="0" borderId="0" xfId="0" applyFont="1" applyFill="1" applyBorder="1"/>
    <xf numFmtId="167" fontId="6" fillId="5" borderId="22" xfId="1" applyNumberFormat="1" applyFont="1" applyFill="1" applyBorder="1" applyAlignment="1">
      <alignment horizontal="center" vertical="center" wrapText="1"/>
    </xf>
    <xf numFmtId="167" fontId="6" fillId="5" borderId="34" xfId="1" applyNumberFormat="1" applyFont="1" applyFill="1" applyBorder="1" applyAlignment="1">
      <alignment horizontal="center" vertical="center" wrapText="1"/>
    </xf>
    <xf numFmtId="167" fontId="6" fillId="11" borderId="22" xfId="1" applyNumberFormat="1" applyFont="1" applyFill="1" applyBorder="1" applyAlignment="1">
      <alignment horizontal="center" vertical="center" wrapText="1"/>
    </xf>
    <xf numFmtId="167" fontId="6" fillId="11" borderId="34" xfId="1" applyNumberFormat="1" applyFont="1" applyFill="1" applyBorder="1" applyAlignment="1">
      <alignment horizontal="center" vertical="center" wrapText="1"/>
    </xf>
    <xf numFmtId="167" fontId="6" fillId="12" borderId="22" xfId="1" applyNumberFormat="1" applyFont="1" applyFill="1" applyBorder="1" applyAlignment="1">
      <alignment horizontal="center" vertical="center" wrapText="1"/>
    </xf>
    <xf numFmtId="167" fontId="6" fillId="12" borderId="34" xfId="1" applyNumberFormat="1" applyFont="1" applyFill="1" applyBorder="1" applyAlignment="1">
      <alignment horizontal="center" vertical="center" wrapText="1"/>
    </xf>
    <xf numFmtId="167" fontId="6" fillId="6" borderId="22" xfId="1" applyNumberFormat="1" applyFont="1" applyFill="1" applyBorder="1" applyAlignment="1">
      <alignment horizontal="center" vertical="center" wrapText="1"/>
    </xf>
    <xf numFmtId="167" fontId="6" fillId="6" borderId="34" xfId="1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/>
    </xf>
    <xf numFmtId="170" fontId="8" fillId="0" borderId="12" xfId="0" applyNumberFormat="1" applyFont="1" applyFill="1" applyBorder="1" applyAlignment="1">
      <alignment horizontal="right" vertical="center"/>
    </xf>
    <xf numFmtId="170" fontId="8" fillId="0" borderId="13" xfId="0" applyNumberFormat="1" applyFont="1" applyFill="1" applyBorder="1" applyAlignment="1">
      <alignment horizontal="right" vertical="center"/>
    </xf>
    <xf numFmtId="170" fontId="8" fillId="0" borderId="15" xfId="0" applyNumberFormat="1" applyFont="1" applyFill="1" applyBorder="1" applyAlignment="1">
      <alignment horizontal="right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170" fontId="8" fillId="0" borderId="16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/>
    </xf>
    <xf numFmtId="170" fontId="8" fillId="0" borderId="18" xfId="0" applyNumberFormat="1" applyFont="1" applyFill="1" applyBorder="1" applyAlignment="1">
      <alignment horizontal="right" vertical="center"/>
    </xf>
    <xf numFmtId="170" fontId="7" fillId="0" borderId="0" xfId="0" applyNumberFormat="1" applyFont="1" applyFill="1" applyBorder="1"/>
    <xf numFmtId="0" fontId="8" fillId="0" borderId="3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169" fontId="8" fillId="9" borderId="4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70" fontId="11" fillId="0" borderId="9" xfId="1" applyNumberFormat="1" applyFont="1" applyFill="1" applyBorder="1" applyAlignment="1">
      <alignment horizontal="center" vertical="center" wrapText="1"/>
    </xf>
    <xf numFmtId="170" fontId="8" fillId="0" borderId="11" xfId="0" applyNumberFormat="1" applyFont="1" applyFill="1" applyBorder="1" applyAlignment="1">
      <alignment horizontal="center" vertical="center" wrapText="1"/>
    </xf>
    <xf numFmtId="169" fontId="8" fillId="9" borderId="38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3" borderId="0" xfId="0" applyFont="1" applyFill="1"/>
    <xf numFmtId="167" fontId="12" fillId="3" borderId="0" xfId="1" applyNumberFormat="1" applyFont="1" applyFill="1" applyBorder="1" applyAlignment="1">
      <alignment vertical="center"/>
    </xf>
    <xf numFmtId="167" fontId="13" fillId="3" borderId="0" xfId="1" applyNumberFormat="1" applyFont="1" applyFill="1" applyBorder="1" applyAlignment="1">
      <alignment vertical="center"/>
    </xf>
    <xf numFmtId="167" fontId="6" fillId="0" borderId="0" xfId="1" applyNumberFormat="1" applyFont="1" applyFill="1" applyBorder="1" applyAlignment="1">
      <alignment horizontal="center" vertical="center" wrapText="1"/>
    </xf>
    <xf numFmtId="0" fontId="7" fillId="0" borderId="0" xfId="0" applyFont="1"/>
    <xf numFmtId="167" fontId="8" fillId="3" borderId="0" xfId="1" applyNumberFormat="1" applyFont="1" applyFill="1" applyAlignment="1">
      <alignment horizontal="center" vertical="center"/>
    </xf>
    <xf numFmtId="167" fontId="7" fillId="0" borderId="0" xfId="1" applyNumberFormat="1" applyFont="1" applyAlignment="1">
      <alignment horizontal="center" vertical="center"/>
    </xf>
    <xf numFmtId="167" fontId="14" fillId="0" borderId="0" xfId="1" applyNumberFormat="1" applyFont="1" applyAlignment="1">
      <alignment horizontal="center" vertical="center"/>
    </xf>
    <xf numFmtId="170" fontId="8" fillId="9" borderId="39" xfId="0" applyNumberFormat="1" applyFont="1" applyFill="1" applyBorder="1" applyAlignment="1">
      <alignment horizontal="center" vertical="center" wrapText="1"/>
    </xf>
    <xf numFmtId="170" fontId="8" fillId="9" borderId="21" xfId="0" applyNumberFormat="1" applyFont="1" applyFill="1" applyBorder="1" applyAlignment="1">
      <alignment horizontal="center" vertical="center" wrapText="1"/>
    </xf>
    <xf numFmtId="166" fontId="7" fillId="0" borderId="0" xfId="2" applyFont="1" applyFill="1" applyBorder="1"/>
    <xf numFmtId="166" fontId="7" fillId="0" borderId="0" xfId="0" applyNumberFormat="1" applyFont="1" applyFill="1" applyBorder="1"/>
    <xf numFmtId="170" fontId="9" fillId="0" borderId="12" xfId="1" applyNumberFormat="1" applyFont="1" applyFill="1" applyBorder="1" applyAlignment="1">
      <alignment horizontal="right" vertical="center"/>
    </xf>
    <xf numFmtId="170" fontId="9" fillId="0" borderId="15" xfId="1" applyNumberFormat="1" applyFont="1" applyFill="1" applyBorder="1" applyAlignment="1">
      <alignment horizontal="right" vertical="center"/>
    </xf>
    <xf numFmtId="170" fontId="8" fillId="0" borderId="12" xfId="1" applyNumberFormat="1" applyFont="1" applyFill="1" applyBorder="1" applyAlignment="1">
      <alignment horizontal="right" vertical="center"/>
    </xf>
    <xf numFmtId="170" fontId="8" fillId="0" borderId="15" xfId="1" applyNumberFormat="1" applyFont="1" applyFill="1" applyBorder="1" applyAlignment="1">
      <alignment horizontal="right" vertical="center"/>
    </xf>
    <xf numFmtId="170" fontId="9" fillId="0" borderId="16" xfId="1" applyNumberFormat="1" applyFont="1" applyFill="1" applyBorder="1" applyAlignment="1">
      <alignment horizontal="right" vertical="center"/>
    </xf>
    <xf numFmtId="170" fontId="9" fillId="0" borderId="17" xfId="1" applyNumberFormat="1" applyFont="1" applyFill="1" applyBorder="1" applyAlignment="1">
      <alignment horizontal="right" vertical="center"/>
    </xf>
    <xf numFmtId="170" fontId="8" fillId="0" borderId="16" xfId="1" applyNumberFormat="1" applyFont="1" applyFill="1" applyBorder="1" applyAlignment="1">
      <alignment horizontal="right" vertical="center"/>
    </xf>
    <xf numFmtId="170" fontId="8" fillId="0" borderId="17" xfId="1" applyNumberFormat="1" applyFont="1" applyFill="1" applyBorder="1" applyAlignment="1">
      <alignment horizontal="right" vertical="center"/>
    </xf>
    <xf numFmtId="170" fontId="9" fillId="0" borderId="18" xfId="1" applyNumberFormat="1" applyFont="1" applyFill="1" applyBorder="1" applyAlignment="1">
      <alignment horizontal="right" vertical="center"/>
    </xf>
    <xf numFmtId="170" fontId="9" fillId="0" borderId="20" xfId="1" applyNumberFormat="1" applyFont="1" applyFill="1" applyBorder="1" applyAlignment="1">
      <alignment horizontal="right" vertical="center"/>
    </xf>
    <xf numFmtId="170" fontId="8" fillId="0" borderId="18" xfId="1" applyNumberFormat="1" applyFont="1" applyFill="1" applyBorder="1" applyAlignment="1">
      <alignment horizontal="right" vertical="center"/>
    </xf>
    <xf numFmtId="170" fontId="8" fillId="0" borderId="20" xfId="1" applyNumberFormat="1" applyFont="1" applyFill="1" applyBorder="1" applyAlignment="1">
      <alignment horizontal="right" vertical="center"/>
    </xf>
    <xf numFmtId="167" fontId="8" fillId="0" borderId="32" xfId="1" applyNumberFormat="1" applyFont="1" applyFill="1" applyBorder="1" applyAlignment="1">
      <alignment horizontal="center" vertical="center"/>
    </xf>
    <xf numFmtId="167" fontId="8" fillId="0" borderId="31" xfId="1" applyNumberFormat="1" applyFont="1" applyFill="1" applyBorder="1" applyAlignment="1">
      <alignment horizontal="center" vertical="center"/>
    </xf>
    <xf numFmtId="167" fontId="8" fillId="0" borderId="4" xfId="1" applyNumberFormat="1" applyFont="1" applyFill="1" applyBorder="1" applyAlignment="1">
      <alignment horizontal="center" vertical="center"/>
    </xf>
    <xf numFmtId="167" fontId="8" fillId="0" borderId="5" xfId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167" fontId="9" fillId="0" borderId="32" xfId="1" applyNumberFormat="1" applyFont="1" applyFill="1" applyBorder="1" applyAlignment="1">
      <alignment horizontal="center" vertical="center"/>
    </xf>
    <xf numFmtId="167" fontId="9" fillId="0" borderId="31" xfId="1" applyNumberFormat="1" applyFont="1" applyFill="1" applyBorder="1" applyAlignment="1">
      <alignment horizontal="center" vertical="center"/>
    </xf>
    <xf numFmtId="167" fontId="9" fillId="0" borderId="4" xfId="1" applyNumberFormat="1" applyFont="1" applyFill="1" applyBorder="1" applyAlignment="1">
      <alignment horizontal="center" vertical="center"/>
    </xf>
    <xf numFmtId="167" fontId="9" fillId="0" borderId="5" xfId="1" applyNumberFormat="1" applyFont="1" applyFill="1" applyBorder="1" applyAlignment="1">
      <alignment horizontal="center" vertical="center"/>
    </xf>
    <xf numFmtId="167" fontId="9" fillId="0" borderId="26" xfId="1" applyNumberFormat="1" applyFont="1" applyFill="1" applyBorder="1" applyAlignment="1">
      <alignment horizontal="center" vertical="center"/>
    </xf>
    <xf numFmtId="167" fontId="9" fillId="0" borderId="25" xfId="1" applyNumberFormat="1" applyFont="1" applyFill="1" applyBorder="1" applyAlignment="1">
      <alignment horizontal="center" vertical="center"/>
    </xf>
    <xf numFmtId="167" fontId="9" fillId="0" borderId="27" xfId="1" applyNumberFormat="1" applyFont="1" applyFill="1" applyBorder="1" applyAlignment="1">
      <alignment horizontal="center" vertical="center"/>
    </xf>
    <xf numFmtId="167" fontId="9" fillId="0" borderId="33" xfId="1" applyNumberFormat="1" applyFont="1" applyFill="1" applyBorder="1" applyAlignment="1">
      <alignment horizontal="center" vertical="center"/>
    </xf>
    <xf numFmtId="167" fontId="9" fillId="0" borderId="29" xfId="1" applyNumberFormat="1" applyFont="1" applyFill="1" applyBorder="1" applyAlignment="1">
      <alignment horizontal="center" vertical="center"/>
    </xf>
    <xf numFmtId="167" fontId="9" fillId="0" borderId="30" xfId="1" applyNumberFormat="1" applyFont="1" applyFill="1" applyBorder="1" applyAlignment="1">
      <alignment horizontal="center" vertical="center"/>
    </xf>
    <xf numFmtId="167" fontId="9" fillId="0" borderId="28" xfId="1" applyNumberFormat="1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6" fillId="11" borderId="15" xfId="0" applyFont="1" applyFill="1" applyBorder="1" applyAlignment="1">
      <alignment horizontal="center" vertical="center"/>
    </xf>
    <xf numFmtId="167" fontId="8" fillId="0" borderId="26" xfId="1" applyNumberFormat="1" applyFont="1" applyFill="1" applyBorder="1" applyAlignment="1">
      <alignment horizontal="center" vertical="center"/>
    </xf>
    <xf numFmtId="167" fontId="8" fillId="0" borderId="25" xfId="1" applyNumberFormat="1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 wrapText="1"/>
    </xf>
    <xf numFmtId="0" fontId="6" fillId="10" borderId="34" xfId="0" applyFont="1" applyFill="1" applyBorder="1" applyAlignment="1">
      <alignment horizontal="center" vertical="center" wrapText="1"/>
    </xf>
    <xf numFmtId="0" fontId="6" fillId="12" borderId="12" xfId="0" applyFont="1" applyFill="1" applyBorder="1" applyAlignment="1">
      <alignment horizontal="center" vertical="center"/>
    </xf>
    <xf numFmtId="0" fontId="6" fillId="12" borderId="15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 wrapText="1"/>
    </xf>
    <xf numFmtId="0" fontId="6" fillId="10" borderId="22" xfId="0" applyFont="1" applyFill="1" applyBorder="1" applyAlignment="1">
      <alignment horizontal="center" vertical="center" wrapText="1"/>
    </xf>
    <xf numFmtId="0" fontId="6" fillId="10" borderId="13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0" borderId="14" xfId="0" applyFont="1" applyFill="1" applyBorder="1" applyAlignment="1">
      <alignment horizontal="center" vertical="center" wrapText="1"/>
    </xf>
    <xf numFmtId="0" fontId="6" fillId="10" borderId="23" xfId="0" applyFont="1" applyFill="1" applyBorder="1" applyAlignment="1">
      <alignment horizontal="center" vertical="center" wrapText="1"/>
    </xf>
    <xf numFmtId="167" fontId="8" fillId="0" borderId="0" xfId="0" applyNumberFormat="1" applyFont="1" applyFill="1" applyBorder="1" applyAlignment="1">
      <alignment horizontal="center" vertical="center" wrapText="1"/>
    </xf>
    <xf numFmtId="170" fontId="8" fillId="9" borderId="37" xfId="0" applyNumberFormat="1" applyFont="1" applyFill="1" applyBorder="1" applyAlignment="1">
      <alignment horizontal="center" vertical="center" wrapText="1"/>
    </xf>
    <xf numFmtId="170" fontId="8" fillId="9" borderId="11" xfId="0" applyNumberFormat="1" applyFont="1" applyFill="1" applyBorder="1" applyAlignment="1">
      <alignment horizontal="center" vertical="center" wrapText="1"/>
    </xf>
    <xf numFmtId="170" fontId="8" fillId="9" borderId="38" xfId="0" applyNumberFormat="1" applyFont="1" applyFill="1" applyBorder="1" applyAlignment="1">
      <alignment horizontal="center" vertical="center" wrapText="1"/>
    </xf>
    <xf numFmtId="0" fontId="6" fillId="10" borderId="8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center" vertical="center" wrapText="1"/>
    </xf>
    <xf numFmtId="0" fontId="6" fillId="10" borderId="35" xfId="0" applyFont="1" applyFill="1" applyBorder="1" applyAlignment="1">
      <alignment horizontal="center" vertical="center" wrapText="1"/>
    </xf>
    <xf numFmtId="170" fontId="11" fillId="0" borderId="8" xfId="1" applyNumberFormat="1" applyFont="1" applyFill="1" applyBorder="1" applyAlignment="1">
      <alignment horizontal="center" vertical="center" wrapText="1"/>
    </xf>
    <xf numFmtId="170" fontId="11" fillId="0" borderId="9" xfId="1" applyNumberFormat="1" applyFont="1" applyFill="1" applyBorder="1" applyAlignment="1">
      <alignment horizontal="center" vertical="center" wrapText="1"/>
    </xf>
    <xf numFmtId="170" fontId="11" fillId="0" borderId="35" xfId="1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textRotation="90" wrapText="1"/>
    </xf>
    <xf numFmtId="0" fontId="6" fillId="10" borderId="10" xfId="0" applyFont="1" applyFill="1" applyBorder="1" applyAlignment="1">
      <alignment horizontal="center" vertical="center" textRotation="90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167" fontId="9" fillId="0" borderId="24" xfId="1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7" fontId="5" fillId="4" borderId="4" xfId="0" applyNumberFormat="1" applyFont="1" applyFill="1" applyBorder="1" applyAlignment="1">
      <alignment horizontal="center" vertical="center" wrapText="1"/>
    </xf>
    <xf numFmtId="167" fontId="5" fillId="4" borderId="6" xfId="0" applyNumberFormat="1" applyFont="1" applyFill="1" applyBorder="1" applyAlignment="1">
      <alignment horizontal="center" vertical="center" wrapText="1"/>
    </xf>
    <xf numFmtId="167" fontId="5" fillId="4" borderId="5" xfId="0" applyNumberFormat="1" applyFont="1" applyFill="1" applyBorder="1" applyAlignment="1">
      <alignment horizontal="center" vertical="center" wrapText="1"/>
    </xf>
    <xf numFmtId="167" fontId="4" fillId="2" borderId="1" xfId="1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workbookViewId="0">
      <selection activeCell="C4" sqref="C4"/>
    </sheetView>
  </sheetViews>
  <sheetFormatPr baseColWidth="10" defaultRowHeight="15" x14ac:dyDescent="0.25"/>
  <cols>
    <col min="1" max="1" width="5.7109375" customWidth="1"/>
    <col min="2" max="2" width="33.28515625" customWidth="1"/>
    <col min="3" max="3" width="13.28515625" customWidth="1"/>
    <col min="4" max="4" width="10.140625" customWidth="1"/>
    <col min="5" max="5" width="12.140625" customWidth="1"/>
  </cols>
  <sheetData>
    <row r="2" spans="2:5" x14ac:dyDescent="0.25">
      <c r="B2" s="1" t="s">
        <v>29</v>
      </c>
      <c r="C2" s="8">
        <v>140000000</v>
      </c>
    </row>
    <row r="3" spans="2:5" x14ac:dyDescent="0.25">
      <c r="B3" s="1" t="s">
        <v>28</v>
      </c>
      <c r="C3" s="6">
        <v>11455501</v>
      </c>
    </row>
    <row r="4" spans="2:5" x14ac:dyDescent="0.25">
      <c r="B4" s="1" t="s">
        <v>27</v>
      </c>
      <c r="C4" s="7">
        <f>C2-C3</f>
        <v>128544499</v>
      </c>
    </row>
    <row r="6" spans="2:5" ht="30" x14ac:dyDescent="0.25">
      <c r="B6" s="1" t="s">
        <v>23</v>
      </c>
      <c r="C6" s="5" t="s">
        <v>9</v>
      </c>
      <c r="D6" s="1" t="s">
        <v>24</v>
      </c>
      <c r="E6" s="5" t="s">
        <v>10</v>
      </c>
    </row>
    <row r="7" spans="2:5" x14ac:dyDescent="0.25">
      <c r="B7" s="2" t="s">
        <v>18</v>
      </c>
      <c r="C7" s="3">
        <v>2261333</v>
      </c>
      <c r="D7" s="4">
        <v>1</v>
      </c>
      <c r="E7" s="3">
        <v>2261333</v>
      </c>
    </row>
    <row r="8" spans="2:5" x14ac:dyDescent="0.25">
      <c r="B8" s="2" t="s">
        <v>19</v>
      </c>
      <c r="C8" s="3">
        <v>1936267</v>
      </c>
      <c r="D8" s="4">
        <v>4</v>
      </c>
      <c r="E8" s="3">
        <v>7745068</v>
      </c>
    </row>
    <row r="9" spans="2:5" ht="30" x14ac:dyDescent="0.25">
      <c r="B9" s="2" t="s">
        <v>20</v>
      </c>
      <c r="C9" s="3">
        <v>3700</v>
      </c>
      <c r="D9" s="4">
        <v>243</v>
      </c>
      <c r="E9" s="3">
        <v>899100</v>
      </c>
    </row>
    <row r="10" spans="2:5" ht="30" x14ac:dyDescent="0.25">
      <c r="B10" s="2" t="s">
        <v>21</v>
      </c>
      <c r="C10" s="3">
        <v>10000</v>
      </c>
      <c r="D10" s="4">
        <v>40</v>
      </c>
      <c r="E10" s="3">
        <v>400000</v>
      </c>
    </row>
    <row r="11" spans="2:5" ht="30" x14ac:dyDescent="0.25">
      <c r="B11" s="2" t="s">
        <v>22</v>
      </c>
      <c r="C11" s="3">
        <v>50000</v>
      </c>
      <c r="D11" s="4">
        <v>3</v>
      </c>
      <c r="E11" s="3">
        <v>150000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9"/>
  <sheetViews>
    <sheetView tabSelected="1" zoomScale="85" zoomScaleNormal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7" sqref="F7"/>
    </sheetView>
  </sheetViews>
  <sheetFormatPr baseColWidth="10" defaultRowHeight="16.5" x14ac:dyDescent="0.3"/>
  <cols>
    <col min="1" max="1" width="10.42578125" style="53" customWidth="1"/>
    <col min="2" max="2" width="51.5703125" style="53" customWidth="1"/>
    <col min="3" max="3" width="7.28515625" style="53" customWidth="1"/>
    <col min="4" max="4" width="13.42578125" style="55" customWidth="1"/>
    <col min="5" max="5" width="13.7109375" style="55" bestFit="1" customWidth="1"/>
    <col min="6" max="6" width="13.85546875" style="55" bestFit="1" customWidth="1"/>
    <col min="7" max="7" width="13.7109375" style="55" bestFit="1" customWidth="1"/>
    <col min="8" max="8" width="15.5703125" style="55" customWidth="1"/>
    <col min="9" max="9" width="13.7109375" style="55" bestFit="1" customWidth="1"/>
    <col min="10" max="10" width="11.7109375" style="55" customWidth="1"/>
    <col min="11" max="11" width="13.7109375" style="55" bestFit="1" customWidth="1"/>
    <col min="12" max="12" width="13.42578125" style="53" customWidth="1"/>
    <col min="13" max="14" width="15.7109375" style="53" customWidth="1"/>
    <col min="15" max="15" width="17" style="53" customWidth="1"/>
    <col min="16" max="16" width="11.42578125" style="15"/>
    <col min="17" max="17" width="12.42578125" style="15" bestFit="1" customWidth="1"/>
    <col min="18" max="16384" width="11.42578125" style="15"/>
  </cols>
  <sheetData>
    <row r="1" spans="1:17" ht="22.5" customHeight="1" x14ac:dyDescent="0.3">
      <c r="A1" s="117" t="s">
        <v>0</v>
      </c>
      <c r="B1" s="117" t="s">
        <v>1</v>
      </c>
      <c r="C1" s="118" t="s">
        <v>2</v>
      </c>
      <c r="D1" s="120" t="s">
        <v>3</v>
      </c>
      <c r="E1" s="121"/>
      <c r="F1" s="91" t="s">
        <v>4</v>
      </c>
      <c r="G1" s="92"/>
      <c r="H1" s="97" t="s">
        <v>5</v>
      </c>
      <c r="I1" s="98"/>
      <c r="J1" s="99" t="s">
        <v>6</v>
      </c>
      <c r="K1" s="100"/>
      <c r="L1" s="101" t="s">
        <v>7</v>
      </c>
      <c r="M1" s="103" t="s">
        <v>8</v>
      </c>
      <c r="N1" s="105" t="s">
        <v>25</v>
      </c>
      <c r="O1" s="95" t="s">
        <v>38</v>
      </c>
    </row>
    <row r="2" spans="1:17" ht="42.75" customHeight="1" thickBot="1" x14ac:dyDescent="0.35">
      <c r="A2" s="104"/>
      <c r="B2" s="104"/>
      <c r="C2" s="119"/>
      <c r="D2" s="16" t="s">
        <v>9</v>
      </c>
      <c r="E2" s="17" t="s">
        <v>10</v>
      </c>
      <c r="F2" s="18" t="s">
        <v>9</v>
      </c>
      <c r="G2" s="19" t="s">
        <v>10</v>
      </c>
      <c r="H2" s="20" t="s">
        <v>9</v>
      </c>
      <c r="I2" s="21" t="s">
        <v>10</v>
      </c>
      <c r="J2" s="22" t="s">
        <v>9</v>
      </c>
      <c r="K2" s="23" t="s">
        <v>10</v>
      </c>
      <c r="L2" s="102"/>
      <c r="M2" s="104"/>
      <c r="N2" s="106"/>
      <c r="O2" s="96"/>
    </row>
    <row r="3" spans="1:17" ht="42" customHeight="1" thickBot="1" x14ac:dyDescent="0.35">
      <c r="A3" s="24">
        <v>1</v>
      </c>
      <c r="B3" s="25" t="s">
        <v>11</v>
      </c>
      <c r="C3" s="26">
        <v>1350</v>
      </c>
      <c r="D3" s="61">
        <v>2800</v>
      </c>
      <c r="E3" s="62">
        <f t="shared" ref="E3:E8" si="0">D3*$C3</f>
        <v>3780000</v>
      </c>
      <c r="F3" s="63">
        <v>4500</v>
      </c>
      <c r="G3" s="64">
        <f t="shared" ref="G3:G8" si="1">F3*$C3</f>
        <v>6075000</v>
      </c>
      <c r="H3" s="61">
        <v>5600</v>
      </c>
      <c r="I3" s="62">
        <f t="shared" ref="I3:I8" si="2">H3*$C3</f>
        <v>7560000</v>
      </c>
      <c r="J3" s="61">
        <v>4800</v>
      </c>
      <c r="K3" s="62">
        <f t="shared" ref="K3:K8" si="3">J3*$C3</f>
        <v>6480000</v>
      </c>
      <c r="L3" s="27">
        <f>AVERAGE(D3,F3,H3,J3)</f>
        <v>4425</v>
      </c>
      <c r="M3" s="28">
        <f t="shared" ref="M3:M8" si="4">L3*C3</f>
        <v>5973750</v>
      </c>
      <c r="N3" s="28">
        <f t="shared" ref="N3:N8" si="5">M3/30*10</f>
        <v>1991250</v>
      </c>
      <c r="O3" s="29">
        <f t="shared" ref="O3:O8" si="6">ROUND(M3*5+N3,0)</f>
        <v>31860000</v>
      </c>
    </row>
    <row r="4" spans="1:17" ht="33.75" customHeight="1" thickBot="1" x14ac:dyDescent="0.35">
      <c r="A4" s="30">
        <v>2</v>
      </c>
      <c r="B4" s="31" t="s">
        <v>12</v>
      </c>
      <c r="C4" s="32">
        <v>150</v>
      </c>
      <c r="D4" s="65">
        <v>8500</v>
      </c>
      <c r="E4" s="66">
        <f t="shared" si="0"/>
        <v>1275000</v>
      </c>
      <c r="F4" s="67">
        <v>10500</v>
      </c>
      <c r="G4" s="68">
        <f t="shared" si="1"/>
        <v>1575000</v>
      </c>
      <c r="H4" s="65">
        <v>14500</v>
      </c>
      <c r="I4" s="66">
        <f t="shared" si="2"/>
        <v>2175000</v>
      </c>
      <c r="J4" s="65">
        <v>9800</v>
      </c>
      <c r="K4" s="66">
        <f t="shared" si="3"/>
        <v>1470000</v>
      </c>
      <c r="L4" s="33">
        <f>AVERAGE(D4,F4,H4,J4)</f>
        <v>10825</v>
      </c>
      <c r="M4" s="28">
        <f t="shared" si="4"/>
        <v>1623750</v>
      </c>
      <c r="N4" s="28">
        <f t="shared" si="5"/>
        <v>541250</v>
      </c>
      <c r="O4" s="29">
        <f t="shared" si="6"/>
        <v>8660000</v>
      </c>
    </row>
    <row r="5" spans="1:17" ht="36" customHeight="1" thickBot="1" x14ac:dyDescent="0.35">
      <c r="A5" s="30">
        <v>3</v>
      </c>
      <c r="B5" s="31" t="s">
        <v>13</v>
      </c>
      <c r="C5" s="32">
        <v>1</v>
      </c>
      <c r="D5" s="65">
        <v>41125</v>
      </c>
      <c r="E5" s="66">
        <f t="shared" si="0"/>
        <v>41125</v>
      </c>
      <c r="F5" s="67">
        <v>200000</v>
      </c>
      <c r="G5" s="68">
        <f t="shared" si="1"/>
        <v>200000</v>
      </c>
      <c r="H5" s="65">
        <v>350000</v>
      </c>
      <c r="I5" s="66">
        <f t="shared" si="2"/>
        <v>350000</v>
      </c>
      <c r="J5" s="65">
        <v>110000</v>
      </c>
      <c r="K5" s="66">
        <f t="shared" si="3"/>
        <v>110000</v>
      </c>
      <c r="L5" s="33">
        <f>AVERAGE(D5,F5,H5,J5)</f>
        <v>175281.25</v>
      </c>
      <c r="M5" s="28">
        <f t="shared" si="4"/>
        <v>175281.25</v>
      </c>
      <c r="N5" s="28">
        <f t="shared" si="5"/>
        <v>58427.083333333328</v>
      </c>
      <c r="O5" s="29">
        <f t="shared" si="6"/>
        <v>934833</v>
      </c>
    </row>
    <row r="6" spans="1:17" ht="42" customHeight="1" thickBot="1" x14ac:dyDescent="0.35">
      <c r="A6" s="30">
        <v>4</v>
      </c>
      <c r="B6" s="31" t="s">
        <v>14</v>
      </c>
      <c r="C6" s="32">
        <v>1</v>
      </c>
      <c r="D6" s="65">
        <v>113625</v>
      </c>
      <c r="E6" s="66">
        <f t="shared" si="0"/>
        <v>113625</v>
      </c>
      <c r="F6" s="67">
        <v>270000</v>
      </c>
      <c r="G6" s="68">
        <f t="shared" si="1"/>
        <v>270000</v>
      </c>
      <c r="H6" s="65">
        <v>480000</v>
      </c>
      <c r="I6" s="66">
        <f t="shared" si="2"/>
        <v>480000</v>
      </c>
      <c r="J6" s="65">
        <v>345000</v>
      </c>
      <c r="K6" s="66">
        <f t="shared" si="3"/>
        <v>345000</v>
      </c>
      <c r="L6" s="33">
        <f>AVERAGE(D6,F6,H6,J6)</f>
        <v>302156.25</v>
      </c>
      <c r="M6" s="28">
        <f t="shared" si="4"/>
        <v>302156.25</v>
      </c>
      <c r="N6" s="28">
        <f t="shared" si="5"/>
        <v>100718.75</v>
      </c>
      <c r="O6" s="29">
        <f t="shared" si="6"/>
        <v>1611500</v>
      </c>
    </row>
    <row r="7" spans="1:17" ht="122.25" customHeight="1" thickBot="1" x14ac:dyDescent="0.35">
      <c r="A7" s="30">
        <v>5</v>
      </c>
      <c r="B7" s="34" t="s">
        <v>15</v>
      </c>
      <c r="C7" s="32">
        <v>1</v>
      </c>
      <c r="D7" s="65">
        <v>2800000</v>
      </c>
      <c r="E7" s="66">
        <f t="shared" si="0"/>
        <v>2800000</v>
      </c>
      <c r="F7" s="67">
        <v>3400000</v>
      </c>
      <c r="G7" s="68">
        <f t="shared" si="1"/>
        <v>3400000</v>
      </c>
      <c r="H7" s="65">
        <v>4382054</v>
      </c>
      <c r="I7" s="66">
        <f t="shared" si="2"/>
        <v>4382054</v>
      </c>
      <c r="J7" s="65">
        <v>3646166</v>
      </c>
      <c r="K7" s="66">
        <f t="shared" si="3"/>
        <v>3646166</v>
      </c>
      <c r="L7" s="33">
        <f>Q15</f>
        <v>2333329.6363636362</v>
      </c>
      <c r="M7" s="28">
        <f t="shared" si="4"/>
        <v>2333329.6363636362</v>
      </c>
      <c r="N7" s="28">
        <f t="shared" si="5"/>
        <v>777776.54545454541</v>
      </c>
      <c r="O7" s="29">
        <f t="shared" si="6"/>
        <v>12444425</v>
      </c>
    </row>
    <row r="8" spans="1:17" ht="54.75" customHeight="1" thickBot="1" x14ac:dyDescent="0.35">
      <c r="A8" s="35">
        <v>6</v>
      </c>
      <c r="B8" s="36" t="s">
        <v>16</v>
      </c>
      <c r="C8" s="37">
        <v>4</v>
      </c>
      <c r="D8" s="69">
        <v>2500000</v>
      </c>
      <c r="E8" s="70">
        <f t="shared" si="0"/>
        <v>10000000</v>
      </c>
      <c r="F8" s="71">
        <v>3000000</v>
      </c>
      <c r="G8" s="72">
        <f t="shared" si="1"/>
        <v>12000000</v>
      </c>
      <c r="H8" s="69">
        <v>3632000</v>
      </c>
      <c r="I8" s="70">
        <f t="shared" si="2"/>
        <v>14528000</v>
      </c>
      <c r="J8" s="69">
        <v>3079456</v>
      </c>
      <c r="K8" s="70">
        <f t="shared" si="3"/>
        <v>12317824</v>
      </c>
      <c r="L8" s="38">
        <f>Q15</f>
        <v>2333329.6363636362</v>
      </c>
      <c r="M8" s="28">
        <f t="shared" si="4"/>
        <v>9333318.5454545449</v>
      </c>
      <c r="N8" s="28">
        <f t="shared" si="5"/>
        <v>3111106.1818181816</v>
      </c>
      <c r="O8" s="29">
        <f t="shared" si="6"/>
        <v>49777699</v>
      </c>
      <c r="P8" s="39"/>
    </row>
    <row r="9" spans="1:17" s="43" customFormat="1" ht="45.75" customHeight="1" thickBot="1" x14ac:dyDescent="0.3">
      <c r="A9" s="40"/>
      <c r="B9" s="41"/>
      <c r="C9" s="41"/>
      <c r="D9" s="114" t="s">
        <v>42</v>
      </c>
      <c r="E9" s="115"/>
      <c r="F9" s="115"/>
      <c r="G9" s="115"/>
      <c r="H9" s="115"/>
      <c r="I9" s="116"/>
      <c r="J9" s="108" t="s">
        <v>40</v>
      </c>
      <c r="K9" s="109"/>
      <c r="L9" s="110"/>
      <c r="M9" s="57">
        <f>SUM(M3:M8)</f>
        <v>19741585.68181818</v>
      </c>
      <c r="N9" s="58">
        <f>SUM(N3:N8)</f>
        <v>6580528.5606060605</v>
      </c>
      <c r="O9" s="42">
        <f>SUM(O3:O8)</f>
        <v>105288457</v>
      </c>
    </row>
    <row r="10" spans="1:17" ht="34.5" customHeight="1" thickBot="1" x14ac:dyDescent="0.35">
      <c r="A10" s="43"/>
      <c r="B10" s="41"/>
      <c r="C10" s="41"/>
      <c r="D10" s="44"/>
      <c r="E10" s="44"/>
      <c r="F10" s="44"/>
      <c r="G10" s="44"/>
      <c r="H10" s="44"/>
      <c r="I10" s="44"/>
      <c r="J10" s="45"/>
      <c r="K10" s="45"/>
      <c r="L10" s="111" t="s">
        <v>26</v>
      </c>
      <c r="M10" s="112"/>
      <c r="N10" s="113"/>
      <c r="O10" s="46">
        <f>O9</f>
        <v>105288457</v>
      </c>
    </row>
    <row r="11" spans="1:17" ht="29.25" customHeight="1" thickBot="1" x14ac:dyDescent="0.35">
      <c r="A11" s="43"/>
      <c r="B11" s="47" t="s">
        <v>39</v>
      </c>
      <c r="C11" s="48" t="s">
        <v>41</v>
      </c>
      <c r="D11" s="77" t="s">
        <v>36</v>
      </c>
      <c r="E11" s="78"/>
      <c r="F11" s="78"/>
      <c r="G11" s="78"/>
      <c r="H11" s="78"/>
      <c r="I11" s="78"/>
      <c r="J11" s="78"/>
      <c r="K11" s="79"/>
      <c r="L11" s="107"/>
      <c r="M11" s="107"/>
      <c r="N11" s="107"/>
      <c r="O11" s="107"/>
    </row>
    <row r="12" spans="1:17" ht="29.25" customHeight="1" x14ac:dyDescent="0.3">
      <c r="A12" s="43"/>
      <c r="B12" s="24" t="s">
        <v>31</v>
      </c>
      <c r="C12" s="26">
        <v>1</v>
      </c>
      <c r="D12" s="122" t="s">
        <v>37</v>
      </c>
      <c r="E12" s="85"/>
      <c r="F12" s="93" t="s">
        <v>35</v>
      </c>
      <c r="G12" s="94"/>
      <c r="H12" s="84" t="s">
        <v>35</v>
      </c>
      <c r="I12" s="85"/>
      <c r="J12" s="84" t="s">
        <v>37</v>
      </c>
      <c r="K12" s="86"/>
      <c r="L12" s="107"/>
      <c r="M12" s="107"/>
      <c r="N12" s="107"/>
      <c r="O12" s="107"/>
    </row>
    <row r="13" spans="1:17" ht="37.5" customHeight="1" x14ac:dyDescent="0.3">
      <c r="A13" s="43"/>
      <c r="B13" s="30" t="s">
        <v>33</v>
      </c>
      <c r="C13" s="32">
        <v>1</v>
      </c>
      <c r="D13" s="90" t="s">
        <v>37</v>
      </c>
      <c r="E13" s="83"/>
      <c r="F13" s="75" t="s">
        <v>35</v>
      </c>
      <c r="G13" s="76"/>
      <c r="H13" s="82" t="s">
        <v>35</v>
      </c>
      <c r="I13" s="83"/>
      <c r="J13" s="82" t="s">
        <v>37</v>
      </c>
      <c r="K13" s="88"/>
      <c r="L13" s="107"/>
      <c r="M13" s="107"/>
      <c r="N13" s="107"/>
      <c r="O13" s="107"/>
    </row>
    <row r="14" spans="1:17" ht="52.5" customHeight="1" x14ac:dyDescent="0.3">
      <c r="A14" s="49"/>
      <c r="B14" s="30" t="s">
        <v>34</v>
      </c>
      <c r="C14" s="32">
        <v>1</v>
      </c>
      <c r="D14" s="90" t="s">
        <v>37</v>
      </c>
      <c r="E14" s="83"/>
      <c r="F14" s="75" t="s">
        <v>35</v>
      </c>
      <c r="G14" s="76"/>
      <c r="H14" s="82" t="s">
        <v>35</v>
      </c>
      <c r="I14" s="83"/>
      <c r="J14" s="82" t="s">
        <v>37</v>
      </c>
      <c r="K14" s="88"/>
      <c r="L14" s="15"/>
      <c r="M14" s="15">
        <v>7</v>
      </c>
      <c r="N14" s="15">
        <v>18</v>
      </c>
      <c r="O14" s="15">
        <f>N14-M14</f>
        <v>11</v>
      </c>
      <c r="P14" s="60">
        <f>O15/O14</f>
        <v>13682.727272727272</v>
      </c>
      <c r="Q14" s="60">
        <f>P14*5</f>
        <v>68413.636363636353</v>
      </c>
    </row>
    <row r="15" spans="1:17" ht="18.75" customHeight="1" thickBot="1" x14ac:dyDescent="0.35">
      <c r="A15" s="49"/>
      <c r="B15" s="35" t="s">
        <v>32</v>
      </c>
      <c r="C15" s="37">
        <v>5</v>
      </c>
      <c r="D15" s="89" t="s">
        <v>37</v>
      </c>
      <c r="E15" s="81"/>
      <c r="F15" s="73" t="s">
        <v>35</v>
      </c>
      <c r="G15" s="74"/>
      <c r="H15" s="80" t="s">
        <v>35</v>
      </c>
      <c r="I15" s="81"/>
      <c r="J15" s="80" t="s">
        <v>37</v>
      </c>
      <c r="K15" s="87"/>
      <c r="L15" s="15"/>
      <c r="M15" s="59">
        <v>2264916</v>
      </c>
      <c r="N15" s="59">
        <v>2415426</v>
      </c>
      <c r="O15" s="60">
        <f>N15-M15</f>
        <v>150510</v>
      </c>
      <c r="Q15" s="60">
        <f>M15+Q14</f>
        <v>2333329.6363636362</v>
      </c>
    </row>
    <row r="16" spans="1:17" ht="36.75" customHeight="1" x14ac:dyDescent="0.3">
      <c r="A16" s="49"/>
      <c r="B16" s="49"/>
      <c r="C16" s="49"/>
      <c r="D16" s="50"/>
      <c r="E16" s="51"/>
      <c r="F16" s="51"/>
      <c r="G16" s="51"/>
      <c r="H16" s="51"/>
      <c r="I16" s="51"/>
      <c r="J16" s="51"/>
      <c r="K16" s="52"/>
      <c r="L16" s="15"/>
      <c r="M16" s="15"/>
      <c r="N16" s="15"/>
      <c r="O16" s="15"/>
    </row>
    <row r="17" spans="2:15" x14ac:dyDescent="0.3">
      <c r="B17" s="49"/>
      <c r="C17" s="49"/>
      <c r="D17" s="51"/>
      <c r="E17" s="51"/>
      <c r="F17" s="51"/>
      <c r="G17" s="51"/>
      <c r="H17" s="51"/>
      <c r="I17" s="51"/>
      <c r="J17" s="51"/>
      <c r="K17" s="15"/>
      <c r="L17" s="15"/>
      <c r="M17" s="15"/>
      <c r="N17" s="15"/>
      <c r="O17" s="15"/>
    </row>
    <row r="18" spans="2:15" x14ac:dyDescent="0.3">
      <c r="B18" s="49"/>
      <c r="C18" s="49"/>
      <c r="D18" s="54"/>
      <c r="E18" s="54"/>
      <c r="F18" s="54"/>
      <c r="G18" s="54"/>
      <c r="H18" s="54"/>
      <c r="I18" s="54"/>
      <c r="J18" s="54"/>
      <c r="K18" s="54"/>
      <c r="L18" s="15"/>
      <c r="M18" s="15"/>
      <c r="N18" s="15"/>
      <c r="O18" s="15"/>
    </row>
    <row r="19" spans="2:15" x14ac:dyDescent="0.3">
      <c r="K19" s="56"/>
    </row>
  </sheetData>
  <mergeCells count="34">
    <mergeCell ref="A1:A2"/>
    <mergeCell ref="B1:B2"/>
    <mergeCell ref="C1:C2"/>
    <mergeCell ref="D1:E1"/>
    <mergeCell ref="D12:E12"/>
    <mergeCell ref="F1:G1"/>
    <mergeCell ref="F13:G13"/>
    <mergeCell ref="F12:G12"/>
    <mergeCell ref="O1:O2"/>
    <mergeCell ref="H1:I1"/>
    <mergeCell ref="J1:K1"/>
    <mergeCell ref="L1:L2"/>
    <mergeCell ref="M1:M2"/>
    <mergeCell ref="N1:N2"/>
    <mergeCell ref="L13:O13"/>
    <mergeCell ref="L12:O12"/>
    <mergeCell ref="L11:O11"/>
    <mergeCell ref="J9:L9"/>
    <mergeCell ref="L10:N10"/>
    <mergeCell ref="D9:I9"/>
    <mergeCell ref="D13:E13"/>
    <mergeCell ref="F15:G15"/>
    <mergeCell ref="F14:G14"/>
    <mergeCell ref="D11:K11"/>
    <mergeCell ref="H15:I15"/>
    <mergeCell ref="H14:I14"/>
    <mergeCell ref="H13:I13"/>
    <mergeCell ref="H12:I12"/>
    <mergeCell ref="J12:K12"/>
    <mergeCell ref="J15:K15"/>
    <mergeCell ref="J14:K14"/>
    <mergeCell ref="J13:K13"/>
    <mergeCell ref="D15:E15"/>
    <mergeCell ref="D14:E14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C8" sqref="C8"/>
    </sheetView>
  </sheetViews>
  <sheetFormatPr baseColWidth="10" defaultRowHeight="15" x14ac:dyDescent="0.25"/>
  <cols>
    <col min="1" max="1" width="11.42578125" style="14"/>
    <col min="2" max="2" width="6.5703125" customWidth="1"/>
    <col min="3" max="3" width="50.7109375" customWidth="1"/>
    <col min="4" max="4" width="10" customWidth="1"/>
    <col min="5" max="7" width="12.85546875" customWidth="1"/>
    <col min="8" max="8" width="14.28515625" customWidth="1"/>
  </cols>
  <sheetData>
    <row r="1" spans="2:10" s="14" customFormat="1" x14ac:dyDescent="0.25"/>
    <row r="2" spans="2:10" ht="18.75" customHeight="1" x14ac:dyDescent="0.25">
      <c r="B2" s="125" t="s">
        <v>0</v>
      </c>
      <c r="C2" s="125" t="s">
        <v>1</v>
      </c>
      <c r="D2" s="125" t="s">
        <v>2</v>
      </c>
      <c r="E2" s="125" t="s">
        <v>7</v>
      </c>
      <c r="F2" s="125" t="s">
        <v>8</v>
      </c>
      <c r="G2" s="123" t="s">
        <v>25</v>
      </c>
      <c r="H2" s="125" t="s">
        <v>30</v>
      </c>
      <c r="I2" s="14"/>
      <c r="J2" s="14"/>
    </row>
    <row r="3" spans="2:10" ht="18.75" customHeight="1" x14ac:dyDescent="0.25">
      <c r="B3" s="125"/>
      <c r="C3" s="125"/>
      <c r="D3" s="125"/>
      <c r="E3" s="125"/>
      <c r="F3" s="125"/>
      <c r="G3" s="124"/>
      <c r="H3" s="125"/>
      <c r="I3" s="14"/>
      <c r="J3" s="14"/>
    </row>
    <row r="4" spans="2:10" ht="31.5" x14ac:dyDescent="0.25">
      <c r="B4" s="9">
        <v>1</v>
      </c>
      <c r="C4" s="9" t="s">
        <v>11</v>
      </c>
      <c r="D4" s="10">
        <v>1350</v>
      </c>
      <c r="E4" s="11">
        <f>'ANALISIS MERCADO'!L3</f>
        <v>4425</v>
      </c>
      <c r="F4" s="12">
        <f>'ANALISIS MERCADO'!M3</f>
        <v>5973750</v>
      </c>
      <c r="G4" s="12">
        <f>'ANALISIS MERCADO'!N3</f>
        <v>1991250</v>
      </c>
      <c r="H4" s="11">
        <f>'ANALISIS MERCADO'!O3</f>
        <v>31860000</v>
      </c>
      <c r="I4" s="14"/>
      <c r="J4" s="14"/>
    </row>
    <row r="5" spans="2:10" ht="21" x14ac:dyDescent="0.25">
      <c r="B5" s="9">
        <v>2</v>
      </c>
      <c r="C5" s="9" t="s">
        <v>12</v>
      </c>
      <c r="D5" s="10">
        <v>150</v>
      </c>
      <c r="E5" s="11">
        <f>'ANALISIS MERCADO'!L4</f>
        <v>10825</v>
      </c>
      <c r="F5" s="12">
        <f>'ANALISIS MERCADO'!M4</f>
        <v>1623750</v>
      </c>
      <c r="G5" s="12">
        <f>'ANALISIS MERCADO'!N4</f>
        <v>541250</v>
      </c>
      <c r="H5" s="11">
        <f>'ANALISIS MERCADO'!O4</f>
        <v>8660000</v>
      </c>
      <c r="I5" s="14"/>
      <c r="J5" s="14"/>
    </row>
    <row r="6" spans="2:10" ht="21" x14ac:dyDescent="0.25">
      <c r="B6" s="9">
        <v>3</v>
      </c>
      <c r="C6" s="9" t="s">
        <v>13</v>
      </c>
      <c r="D6" s="10">
        <v>1</v>
      </c>
      <c r="E6" s="11">
        <f>'ANALISIS MERCADO'!L5</f>
        <v>175281.25</v>
      </c>
      <c r="F6" s="12">
        <f>'ANALISIS MERCADO'!M5</f>
        <v>175281.25</v>
      </c>
      <c r="G6" s="12">
        <f>'ANALISIS MERCADO'!N5</f>
        <v>58427.083333333328</v>
      </c>
      <c r="H6" s="11">
        <f>'ANALISIS MERCADO'!O5</f>
        <v>934833</v>
      </c>
      <c r="I6" s="14"/>
      <c r="J6" s="14"/>
    </row>
    <row r="7" spans="2:10" ht="21" x14ac:dyDescent="0.25">
      <c r="B7" s="9">
        <v>4</v>
      </c>
      <c r="C7" s="9" t="s">
        <v>14</v>
      </c>
      <c r="D7" s="10">
        <v>1</v>
      </c>
      <c r="E7" s="11">
        <f>'ANALISIS MERCADO'!L6</f>
        <v>302156.25</v>
      </c>
      <c r="F7" s="12">
        <f>'ANALISIS MERCADO'!M6</f>
        <v>302156.25</v>
      </c>
      <c r="G7" s="12">
        <f>'ANALISIS MERCADO'!N6</f>
        <v>100718.75</v>
      </c>
      <c r="H7" s="11">
        <f>'ANALISIS MERCADO'!O6</f>
        <v>1611500</v>
      </c>
      <c r="I7" s="14"/>
      <c r="J7" s="14"/>
    </row>
    <row r="8" spans="2:10" ht="94.5" x14ac:dyDescent="0.25">
      <c r="B8" s="9">
        <v>5</v>
      </c>
      <c r="C8" s="9" t="s">
        <v>15</v>
      </c>
      <c r="D8" s="10">
        <v>1</v>
      </c>
      <c r="E8" s="11">
        <f>'ANALISIS MERCADO'!L7</f>
        <v>2333329.6363636362</v>
      </c>
      <c r="F8" s="11">
        <f>'ANALISIS MERCADO'!M7</f>
        <v>2333329.6363636362</v>
      </c>
      <c r="G8" s="12">
        <f>'ANALISIS MERCADO'!N7</f>
        <v>777776.54545454541</v>
      </c>
      <c r="H8" s="11">
        <f>'ANALISIS MERCADO'!O7</f>
        <v>12444425</v>
      </c>
      <c r="I8" s="14"/>
      <c r="J8" s="14"/>
    </row>
    <row r="9" spans="2:10" ht="31.5" x14ac:dyDescent="0.25">
      <c r="B9" s="9">
        <v>6</v>
      </c>
      <c r="C9" s="9" t="s">
        <v>16</v>
      </c>
      <c r="D9" s="10">
        <v>4</v>
      </c>
      <c r="E9" s="11">
        <f>'ANALISIS MERCADO'!L8</f>
        <v>2333329.6363636362</v>
      </c>
      <c r="F9" s="11">
        <f>'ANALISIS MERCADO'!M8</f>
        <v>9333318.5454545449</v>
      </c>
      <c r="G9" s="12">
        <f>'ANALISIS MERCADO'!N8</f>
        <v>3111106.1818181816</v>
      </c>
      <c r="H9" s="11">
        <f>'ANALISIS MERCADO'!O8</f>
        <v>49777699</v>
      </c>
      <c r="I9" s="14"/>
      <c r="J9" s="14"/>
    </row>
    <row r="10" spans="2:10" ht="22.5" customHeight="1" x14ac:dyDescent="0.25">
      <c r="B10" s="9">
        <v>7</v>
      </c>
      <c r="C10" s="9" t="s">
        <v>31</v>
      </c>
      <c r="D10" s="10">
        <v>1</v>
      </c>
      <c r="E10" s="126" t="e">
        <f>'ANALISIS MERCADO'!#REF!</f>
        <v>#REF!</v>
      </c>
      <c r="F10" s="127"/>
      <c r="G10" s="127"/>
      <c r="H10" s="128"/>
      <c r="I10" s="14"/>
      <c r="J10" s="14"/>
    </row>
    <row r="11" spans="2:10" ht="22.5" customHeight="1" x14ac:dyDescent="0.25">
      <c r="B11" s="9">
        <v>8</v>
      </c>
      <c r="C11" s="9" t="s">
        <v>33</v>
      </c>
      <c r="D11" s="10">
        <v>1</v>
      </c>
      <c r="E11" s="126">
        <f>'ANALISIS MERCADO'!L11</f>
        <v>0</v>
      </c>
      <c r="F11" s="127"/>
      <c r="G11" s="127"/>
      <c r="H11" s="128"/>
      <c r="I11" s="14"/>
      <c r="J11" s="14"/>
    </row>
    <row r="12" spans="2:10" ht="22.5" customHeight="1" x14ac:dyDescent="0.25">
      <c r="B12" s="9">
        <v>9</v>
      </c>
      <c r="C12" s="9" t="s">
        <v>34</v>
      </c>
      <c r="D12" s="10">
        <v>1</v>
      </c>
      <c r="E12" s="126">
        <f>'ANALISIS MERCADO'!L12</f>
        <v>0</v>
      </c>
      <c r="F12" s="127"/>
      <c r="G12" s="127"/>
      <c r="H12" s="128"/>
      <c r="I12" s="14"/>
      <c r="J12" s="14"/>
    </row>
    <row r="13" spans="2:10" ht="22.5" customHeight="1" x14ac:dyDescent="0.25">
      <c r="B13" s="9">
        <v>10</v>
      </c>
      <c r="C13" s="9" t="s">
        <v>32</v>
      </c>
      <c r="D13" s="10">
        <v>5</v>
      </c>
      <c r="E13" s="126">
        <f>'ANALISIS MERCADO'!L13</f>
        <v>0</v>
      </c>
      <c r="F13" s="127"/>
      <c r="G13" s="127"/>
      <c r="H13" s="128"/>
      <c r="I13" s="14"/>
      <c r="J13" s="14"/>
    </row>
    <row r="14" spans="2:10" ht="15" customHeight="1" x14ac:dyDescent="0.25">
      <c r="B14" s="13"/>
      <c r="C14" s="13"/>
      <c r="D14" s="129" t="s">
        <v>17</v>
      </c>
      <c r="E14" s="129"/>
      <c r="F14" s="11">
        <f>SUM(F4:F9)</f>
        <v>19741585.68181818</v>
      </c>
      <c r="G14" s="12">
        <f>SUM(G4:G9)</f>
        <v>6580528.5606060605</v>
      </c>
      <c r="H14" s="11">
        <f>SUM(H4:H9)</f>
        <v>105288457</v>
      </c>
      <c r="I14" s="14"/>
      <c r="J14" s="14"/>
    </row>
    <row r="15" spans="2:10" ht="15" customHeight="1" x14ac:dyDescent="0.25">
      <c r="B15" s="13"/>
      <c r="C15" s="13"/>
      <c r="D15" s="130" t="s">
        <v>26</v>
      </c>
      <c r="E15" s="131"/>
      <c r="F15" s="131"/>
      <c r="G15" s="132"/>
      <c r="H15" s="11">
        <f>F14*5+G14</f>
        <v>105288456.96969697</v>
      </c>
      <c r="I15" s="14"/>
      <c r="J15" s="14"/>
    </row>
    <row r="16" spans="2:10" x14ac:dyDescent="0.25">
      <c r="B16" s="14"/>
      <c r="C16" s="14"/>
      <c r="D16" s="14"/>
      <c r="E16" s="14"/>
      <c r="F16" s="14"/>
      <c r="G16" s="14"/>
      <c r="H16" s="14"/>
      <c r="I16" s="14"/>
      <c r="J16" s="14"/>
    </row>
    <row r="17" spans="2:10" x14ac:dyDescent="0.25">
      <c r="B17" s="14"/>
      <c r="C17" s="14"/>
      <c r="D17" s="14"/>
      <c r="E17" s="14"/>
      <c r="F17" s="14"/>
      <c r="G17" s="14"/>
      <c r="H17" s="14"/>
      <c r="I17" s="14"/>
      <c r="J17" s="14"/>
    </row>
    <row r="18" spans="2:10" x14ac:dyDescent="0.25">
      <c r="B18" s="14"/>
      <c r="C18" s="14"/>
      <c r="D18" s="14"/>
      <c r="E18" s="14"/>
      <c r="F18" s="14"/>
      <c r="G18" s="14"/>
      <c r="H18" s="14"/>
      <c r="I18" s="14"/>
      <c r="J18" s="14"/>
    </row>
  </sheetData>
  <mergeCells count="13">
    <mergeCell ref="B2:B3"/>
    <mergeCell ref="C2:C3"/>
    <mergeCell ref="D2:D3"/>
    <mergeCell ref="E2:E3"/>
    <mergeCell ref="F2:F3"/>
    <mergeCell ref="G2:G3"/>
    <mergeCell ref="H2:H3"/>
    <mergeCell ref="E10:H10"/>
    <mergeCell ref="D14:E14"/>
    <mergeCell ref="D15:G15"/>
    <mergeCell ref="E13:H13"/>
    <mergeCell ref="E11:H11"/>
    <mergeCell ref="E12:H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CTO 2020</vt:lpstr>
      <vt:lpstr>ANALISIS MERCADO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Bermúdez Cifuentes</dc:creator>
  <cp:lastModifiedBy>Lady Gisela Garcia Colorado</cp:lastModifiedBy>
  <dcterms:created xsi:type="dcterms:W3CDTF">2020-04-22T16:11:38Z</dcterms:created>
  <dcterms:modified xsi:type="dcterms:W3CDTF">2020-06-26T18:10:11Z</dcterms:modified>
</cp:coreProperties>
</file>