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24226"/>
  <mc:AlternateContent xmlns:mc="http://schemas.openxmlformats.org/markup-compatibility/2006">
    <mc:Choice Requires="x15">
      <x15ac:absPath xmlns:x15ac="http://schemas.microsoft.com/office/spreadsheetml/2010/11/ac" url="C:\Users\Rentadvisor\Documents\ANGELICA\"/>
    </mc:Choice>
  </mc:AlternateContent>
  <xr:revisionPtr revIDLastSave="0" documentId="13_ncr:1_{141D276C-48FD-4321-86BC-C277385FB54C}" xr6:coauthVersionLast="45" xr6:coauthVersionMax="45" xr10:uidLastSave="{00000000-0000-0000-0000-000000000000}"/>
  <bookViews>
    <workbookView xWindow="-120" yWindow="-120" windowWidth="20730" windowHeight="11310" tabRatio="882" firstSheet="2" activeTab="3"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7A'!$A$1:$L$50</definedName>
    <definedName name="_xlnm.Print_Area" localSheetId="1">'LISTA DE OFERENTES'!$A$1:$F$22</definedName>
    <definedName name="_xlnm.Print_Area" localSheetId="2">'VERIFICACION OFERTA ECONOMICA'!$A$1:$D$40</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4" i="17" l="1"/>
  <c r="H15" i="17"/>
  <c r="H16" i="17"/>
  <c r="H17" i="17"/>
  <c r="H18" i="17"/>
  <c r="H13" i="17"/>
  <c r="H12" i="17"/>
  <c r="D38" i="18" l="1"/>
  <c r="F12" i="17"/>
  <c r="C19" i="14"/>
  <c r="E17" i="17" l="1"/>
  <c r="F17" i="17" s="1"/>
  <c r="M17" i="17"/>
  <c r="M23" i="17" l="1"/>
  <c r="M24" i="17"/>
  <c r="C20" i="14"/>
  <c r="M48" i="17" l="1"/>
  <c r="D20" i="14"/>
  <c r="M14" i="17"/>
  <c r="M15" i="17"/>
  <c r="M16" i="17"/>
  <c r="M18" i="17"/>
  <c r="M13" i="17"/>
  <c r="M12" i="17"/>
  <c r="C4" i="17"/>
  <c r="M4" i="17" l="1"/>
  <c r="M28" i="17"/>
  <c r="M27" i="17"/>
  <c r="M26" i="17"/>
  <c r="M25" i="17"/>
  <c r="E25" i="17"/>
  <c r="F25" i="17" s="1"/>
  <c r="E28" i="17"/>
  <c r="F28" i="17" s="1"/>
  <c r="E27" i="17"/>
  <c r="F27" i="17" s="1"/>
  <c r="E26" i="17"/>
  <c r="F26" i="17" s="1"/>
  <c r="E24" i="17"/>
  <c r="F24" i="17" s="1"/>
  <c r="D11" i="18" l="1"/>
  <c r="D68" i="18" l="1"/>
  <c r="G23" i="17"/>
  <c r="E23" i="17"/>
  <c r="F23" i="17" s="1"/>
  <c r="L7" i="17" l="1"/>
  <c r="M7" i="17" s="1"/>
  <c r="H23" i="17"/>
  <c r="G13" i="17"/>
  <c r="G24" i="17" s="1"/>
  <c r="H24" i="17" s="1"/>
  <c r="B13" i="14"/>
  <c r="B12" i="14"/>
  <c r="G14" i="17" l="1"/>
  <c r="G25" i="17" s="1"/>
  <c r="H25" i="17" s="1"/>
  <c r="L9" i="17"/>
  <c r="L8" i="17"/>
  <c r="G15" i="17" l="1"/>
  <c r="G17" i="17" s="1"/>
  <c r="A1" i="17"/>
  <c r="A1" i="18" s="1"/>
  <c r="G16" i="17" l="1"/>
  <c r="G26" i="17"/>
  <c r="H26" i="17" s="1"/>
  <c r="C4" i="18"/>
  <c r="H43" i="17"/>
  <c r="H42" i="17"/>
  <c r="H41" i="17"/>
  <c r="H40" i="17"/>
  <c r="H39" i="17"/>
  <c r="H38" i="17"/>
  <c r="H37" i="17"/>
  <c r="H36" i="17"/>
  <c r="H35" i="17"/>
  <c r="H34" i="17"/>
  <c r="E18" i="17"/>
  <c r="F18" i="17" s="1"/>
  <c r="E16" i="17"/>
  <c r="F16" i="17" s="1"/>
  <c r="E15" i="17"/>
  <c r="F15" i="17" s="1"/>
  <c r="E14" i="17"/>
  <c r="F14" i="17" s="1"/>
  <c r="E13" i="17"/>
  <c r="F13" i="17" s="1"/>
  <c r="C23" i="14"/>
  <c r="G18" i="17" l="1"/>
  <c r="G27" i="17"/>
  <c r="H27" i="17" s="1"/>
  <c r="H45" i="17"/>
  <c r="G28" i="17" l="1"/>
  <c r="H28" i="17" s="1"/>
  <c r="H30" i="17" s="1"/>
  <c r="B38" i="14" l="1"/>
  <c r="C37" i="14"/>
  <c r="B32" i="14"/>
  <c r="C31" i="14"/>
  <c r="B26" i="14"/>
  <c r="C25" i="14"/>
  <c r="C22" i="15"/>
  <c r="C21" i="15"/>
  <c r="C20" i="15"/>
  <c r="C19" i="15"/>
  <c r="C18" i="15"/>
  <c r="C33" i="14" l="1"/>
  <c r="C27" i="14"/>
  <c r="C39" i="14"/>
  <c r="C35" i="14"/>
  <c r="C29" i="14"/>
  <c r="B1" i="15"/>
  <c r="B2" i="15"/>
  <c r="B4" i="15"/>
  <c r="B8" i="15"/>
  <c r="B29" i="14"/>
  <c r="B35" i="14" s="1"/>
  <c r="B6" i="15"/>
  <c r="H20" i="17" l="1"/>
  <c r="H47" i="17" s="1"/>
  <c r="H48" i="17" s="1"/>
  <c r="H49" i="17" l="1"/>
  <c r="M49" i="17" l="1"/>
</calcChain>
</file>

<file path=xl/sharedStrings.xml><?xml version="1.0" encoding="utf-8"?>
<sst xmlns="http://schemas.openxmlformats.org/spreadsheetml/2006/main" count="114" uniqueCount="92">
  <si>
    <t>FONDO FINANCIERO DE PROYECTOS DE DESARROLLO – FONADE</t>
  </si>
  <si>
    <t>AUDIENCIA DE CIERRE -  ORDEN</t>
  </si>
  <si>
    <t xml:space="preserve">No </t>
  </si>
  <si>
    <t>OFERENTE</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</si>
  <si>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</si>
  <si>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</si>
  <si>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</si>
  <si>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</si>
  <si>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</si>
  <si>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</si>
  <si>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</si>
  <si>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</si>
  <si>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</si>
  <si>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</si>
  <si>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</si>
  <si>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</si>
  <si>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</si>
  <si>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</si>
  <si>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</si>
  <si>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</si>
  <si>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</si>
  <si>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</si>
  <si>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</si>
  <si>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</si>
  <si>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</si>
  <si>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</si>
  <si>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</si>
  <si>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</si>
  <si>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</si>
  <si>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</si>
  <si>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</si>
  <si>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</si>
  <si>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</si>
  <si>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</si>
  <si>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</si>
  <si>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</si>
  <si>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</si>
  <si>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</si>
  <si>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</si>
  <si>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</si>
  <si>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</si>
  <si>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</si>
  <si>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</si>
  <si>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</si>
  <si>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</si>
  <si>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</si>
  <si>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</si>
  <si>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</si>
  <si>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</si>
  <si>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</si>
  <si>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</si>
  <si>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</si>
  <si>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</si>
  <si>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</si>
  <si>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</si>
  <si>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</si>
  <si>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</si>
  <si>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</si>
  <si>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</si>
  <si>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</si>
  <si>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</si>
  <si>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INTERVENTORÍA DURANTE LA ETAPA 1: PRE-CONSTRUCCIÓN</t>
  </si>
  <si>
    <t>INTERVENTORÍA DURANTE LA ETAPA 2: EJECUCIÓN Y ENTREGA DE OBRAS</t>
  </si>
  <si>
    <t>EMPRESA NACIONAL PROMOTORA DEL DESARROLLO TERRITORIAL – ENTerritorio</t>
  </si>
  <si>
    <t>COSTOS INDIRECTOS</t>
  </si>
  <si>
    <t>Costos indirectos</t>
  </si>
  <si>
    <t>SUBTOTAL COSTOS INDIRECTOS (3)</t>
  </si>
  <si>
    <t>FACTOR MULTIPLICADOR (A+B+C+D)</t>
  </si>
  <si>
    <t>Honorarios</t>
  </si>
  <si>
    <t>DESCRIPCIÓN</t>
  </si>
  <si>
    <t>VALOR TOTAL</t>
  </si>
  <si>
    <t>Especialista Estructural</t>
  </si>
  <si>
    <t>OFERTA ECONÓMICA</t>
  </si>
  <si>
    <t>Director de Interventoría</t>
  </si>
  <si>
    <t>VALOR FORMATO 07A</t>
  </si>
  <si>
    <t>CLIENTE
MINISTERIO DE VIVIENDA, CIUDAD Y TERRITORIO 
CONTRATO INTERADMINISTRATIVO DE GERENCIA DE PROYECTOS No. 859-2019 (Numeración ENTerritorio 219141)</t>
  </si>
  <si>
    <t>CONVOCATORIA MERITORIA
CME 010-2020</t>
  </si>
  <si>
    <t>VALOR TOTAL OFERTA ECONÓMICA</t>
  </si>
  <si>
    <t>Residente de Interventoria</t>
  </si>
  <si>
    <t>Profesional Social</t>
  </si>
  <si>
    <t>Profesional Social de Apoyo</t>
  </si>
  <si>
    <t>Profesional de Calidad</t>
  </si>
  <si>
    <t xml:space="preserve">Inspector de Interventoría </t>
  </si>
  <si>
    <t>Técnico PGIO</t>
  </si>
  <si>
    <t>Profesional Auxiliar de Interventoría</t>
  </si>
  <si>
    <r>
      <t xml:space="preserve">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t>
    </r>
    <r>
      <rPr>
        <b/>
        <sz val="11"/>
        <rFont val="Arial"/>
        <family val="2"/>
      </rPr>
      <t>GRUPO 5. ATRATO – CHOCÓ</t>
    </r>
  </si>
  <si>
    <t>PRESUPUESTO OFICIAL - GRUPO 5</t>
  </si>
  <si>
    <t>VALOR INTERVENTORÍA GRUPO 5 SIN IVA</t>
  </si>
  <si>
    <t>IVA (19%) GRUPO 5</t>
  </si>
  <si>
    <t>GNG INGENIERIA S.A.S.</t>
  </si>
  <si>
    <t>FORMATO 07A - GRUPO 5
DISCRIMINADO OFERTA ECONÓMICA</t>
  </si>
  <si>
    <t>VALOR TOTAL DE LA INTERVENTORÍA  GRUPO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</si>
</sst>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3" formatCode="[$$-240A]\ #,##0"/>
    <numFmt numFmtId="204" formatCode="#,##0.0_);\(#,##0.0\)"/>
    <numFmt numFmtId="205" formatCode="0.0000%"/>
    <numFmt numFmtId="206" formatCode="[$$-240A]\ #,##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sz val="12"/>
      <color rgb="FF000000"/>
      <name val="Arial Narrow"/>
      <family val="2"/>
    </font>
    <font>
      <sz val="10"/>
      <color rgb="FFFF0000"/>
      <name val="Arial"/>
      <family val="2"/>
    </font>
    <font>
      <sz val="10"/>
      <color theme="1"/>
      <name val="Arial Narrow"/>
      <family val="2"/>
    </font>
    <font>
      <sz val="10"/>
      <color rgb="FF0000FF"/>
      <name val="Arial"/>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90">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top/>
      <bottom style="hair">
        <color indexed="64"/>
      </bottom>
      <diagonal/>
    </border>
    <border>
      <left style="thin">
        <color indexed="64"/>
      </left>
      <right style="double">
        <color indexed="64"/>
      </right>
      <top style="hair">
        <color indexed="64"/>
      </top>
      <bottom style="thin">
        <color indexed="64"/>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78">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0"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1" xfId="0" applyFont="1" applyFill="1" applyBorder="1" applyAlignment="1">
      <alignment horizontal="center" vertical="center" wrapText="1"/>
    </xf>
    <xf numFmtId="0" fontId="44" fillId="57" borderId="43"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39" xfId="0" applyNumberFormat="1" applyFont="1" applyFill="1" applyBorder="1" applyAlignment="1">
      <alignment horizontal="center" vertical="center" wrapText="1"/>
    </xf>
    <xf numFmtId="0" fontId="9" fillId="0" borderId="39"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39" xfId="0" applyNumberFormat="1" applyFont="1" applyFill="1" applyBorder="1" applyAlignment="1">
      <alignment horizontal="center" vertical="center" wrapText="1"/>
    </xf>
    <xf numFmtId="0" fontId="9" fillId="68" borderId="39"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4" xfId="0" applyFont="1" applyFill="1" applyBorder="1" applyAlignment="1">
      <alignment horizontal="center" vertical="center" wrapText="1"/>
    </xf>
    <xf numFmtId="203" fontId="48" fillId="2" borderId="28" xfId="431" applyNumberFormat="1" applyFont="1" applyFill="1" applyBorder="1" applyAlignment="1">
      <alignment horizontal="right" vertical="center"/>
    </xf>
    <xf numFmtId="203" fontId="48" fillId="2" borderId="29" xfId="431" applyNumberFormat="1" applyFont="1" applyFill="1" applyBorder="1" applyAlignment="1">
      <alignment horizontal="right" vertical="center"/>
    </xf>
    <xf numFmtId="203"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39" xfId="0" applyFont="1" applyFill="1" applyBorder="1" applyAlignment="1">
      <alignment horizontal="center"/>
    </xf>
    <xf numFmtId="0" fontId="45" fillId="68" borderId="28" xfId="0" applyFont="1" applyFill="1" applyBorder="1" applyAlignment="1">
      <alignment horizontal="left" vertical="center" wrapText="1"/>
    </xf>
    <xf numFmtId="0" fontId="9" fillId="68" borderId="42"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8" xfId="1181" applyFont="1" applyFill="1" applyBorder="1" applyAlignment="1">
      <alignment horizontal="center" vertical="center"/>
    </xf>
    <xf numFmtId="0" fontId="64" fillId="0" borderId="49" xfId="1181" applyFont="1" applyFill="1" applyBorder="1" applyAlignment="1">
      <alignment horizontal="center" vertical="center"/>
    </xf>
    <xf numFmtId="0" fontId="64" fillId="0" borderId="51" xfId="1181" applyFont="1" applyFill="1" applyBorder="1" applyAlignment="1">
      <alignment horizontal="center" vertical="center"/>
    </xf>
    <xf numFmtId="0" fontId="64" fillId="0" borderId="52"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4" xfId="1181" applyFont="1" applyFill="1" applyBorder="1" applyAlignment="1">
      <alignment horizontal="center" vertical="center" wrapText="1"/>
    </xf>
    <xf numFmtId="0" fontId="64" fillId="0" borderId="55" xfId="1181" applyFont="1" applyFill="1" applyBorder="1" applyAlignment="1">
      <alignment vertical="center" wrapText="1"/>
    </xf>
    <xf numFmtId="0" fontId="64" fillId="0" borderId="56" xfId="1181" applyFont="1" applyFill="1" applyBorder="1" applyAlignment="1">
      <alignment horizontal="center" vertical="center" wrapText="1"/>
    </xf>
    <xf numFmtId="201" fontId="65" fillId="0" borderId="57" xfId="1270" applyNumberFormat="1" applyFont="1" applyFill="1" applyBorder="1" applyAlignment="1">
      <alignment vertical="center" wrapText="1"/>
    </xf>
    <xf numFmtId="9" fontId="64" fillId="0" borderId="57" xfId="1232" applyFont="1" applyFill="1" applyBorder="1" applyAlignment="1">
      <alignment horizontal="center" vertical="center" wrapText="1"/>
    </xf>
    <xf numFmtId="201" fontId="65" fillId="0" borderId="60" xfId="1270" applyNumberFormat="1" applyFont="1" applyFill="1" applyBorder="1" applyAlignment="1">
      <alignment vertical="center" wrapText="1"/>
    </xf>
    <xf numFmtId="9" fontId="65" fillId="0" borderId="57" xfId="1232" applyFont="1" applyFill="1" applyBorder="1" applyAlignment="1">
      <alignment horizontal="center" vertical="center" wrapText="1"/>
    </xf>
    <xf numFmtId="204" fontId="65" fillId="0" borderId="57" xfId="1270" applyNumberFormat="1" applyFont="1" applyFill="1" applyBorder="1" applyAlignment="1">
      <alignment horizontal="center" vertical="center" wrapText="1"/>
    </xf>
    <xf numFmtId="201" fontId="64" fillId="0" borderId="54" xfId="1181" applyNumberFormat="1" applyFont="1" applyFill="1" applyBorder="1" applyAlignment="1">
      <alignment vertical="center"/>
    </xf>
    <xf numFmtId="201" fontId="8" fillId="0" borderId="0" xfId="1269" applyNumberFormat="1"/>
    <xf numFmtId="201" fontId="65" fillId="0" borderId="57" xfId="1270" applyNumberFormat="1" applyFont="1" applyFill="1" applyBorder="1" applyAlignment="1">
      <alignment vertical="center"/>
    </xf>
    <xf numFmtId="0" fontId="64" fillId="0" borderId="68" xfId="1181" applyFont="1" applyFill="1" applyBorder="1" applyAlignment="1">
      <alignment vertical="center" wrapText="1"/>
    </xf>
    <xf numFmtId="0" fontId="64" fillId="0" borderId="69" xfId="1181" applyFont="1" applyFill="1" applyBorder="1" applyAlignment="1">
      <alignment horizontal="center" vertical="center"/>
    </xf>
    <xf numFmtId="201" fontId="65" fillId="0" borderId="69" xfId="1270" applyNumberFormat="1" applyFont="1" applyFill="1" applyBorder="1" applyAlignment="1">
      <alignment vertical="center"/>
    </xf>
    <xf numFmtId="9" fontId="64" fillId="0" borderId="69" xfId="1232" applyFont="1" applyFill="1" applyBorder="1" applyAlignment="1">
      <alignment horizontal="center" vertical="center"/>
    </xf>
    <xf numFmtId="204" fontId="65" fillId="0" borderId="69"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4" xfId="1181" applyFont="1" applyFill="1" applyBorder="1" applyAlignment="1">
      <alignment horizontal="center" vertical="center"/>
    </xf>
    <xf numFmtId="201" fontId="65" fillId="0" borderId="71" xfId="1270" applyNumberFormat="1" applyFont="1" applyFill="1" applyBorder="1" applyAlignment="1">
      <alignment vertical="center"/>
    </xf>
    <xf numFmtId="201" fontId="65" fillId="0" borderId="57" xfId="1270" applyNumberFormat="1" applyFont="1" applyFill="1" applyBorder="1"/>
    <xf numFmtId="201" fontId="65" fillId="0" borderId="71" xfId="1270" applyNumberFormat="1" applyFont="1" applyFill="1" applyBorder="1"/>
    <xf numFmtId="201" fontId="64" fillId="0" borderId="78" xfId="1181" applyNumberFormat="1" applyFont="1" applyFill="1" applyBorder="1" applyAlignment="1">
      <alignment horizontal="right" vertical="center"/>
    </xf>
    <xf numFmtId="204" fontId="64" fillId="0" borderId="57" xfId="1270" applyNumberFormat="1" applyFont="1" applyFill="1" applyBorder="1" applyAlignment="1">
      <alignment horizontal="center" vertical="center" wrapText="1"/>
    </xf>
    <xf numFmtId="10" fontId="65" fillId="0" borderId="57" xfId="1232" applyNumberFormat="1" applyFont="1" applyFill="1" applyBorder="1" applyAlignment="1">
      <alignment horizontal="center" vertical="center" wrapText="1"/>
    </xf>
    <xf numFmtId="10" fontId="65" fillId="0" borderId="69"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5" xfId="1181" applyFont="1" applyBorder="1" applyAlignment="1">
      <alignment vertical="center" wrapText="1"/>
    </xf>
    <xf numFmtId="0" fontId="64" fillId="0" borderId="56" xfId="1181" applyFont="1" applyBorder="1" applyAlignment="1">
      <alignment horizontal="center" vertical="center" wrapText="1"/>
    </xf>
    <xf numFmtId="201" fontId="65" fillId="0" borderId="57" xfId="1270" applyNumberFormat="1" applyFont="1" applyBorder="1" applyAlignment="1">
      <alignment vertical="center" wrapText="1"/>
    </xf>
    <xf numFmtId="9" fontId="64" fillId="0" borderId="57" xfId="1232" applyFont="1" applyBorder="1" applyAlignment="1">
      <alignment horizontal="center" vertical="center" wrapText="1"/>
    </xf>
    <xf numFmtId="0" fontId="64" fillId="0" borderId="65" xfId="1181" applyFont="1" applyBorder="1" applyAlignment="1">
      <alignment vertical="center" wrapText="1"/>
    </xf>
    <xf numFmtId="0" fontId="64" fillId="0" borderId="66" xfId="1181" applyFont="1" applyBorder="1" applyAlignment="1">
      <alignment horizontal="center" vertical="center"/>
    </xf>
    <xf numFmtId="201" fontId="65" fillId="0" borderId="66" xfId="1270" applyNumberFormat="1" applyFont="1" applyBorder="1" applyAlignment="1">
      <alignment vertical="center"/>
    </xf>
    <xf numFmtId="9" fontId="64" fillId="0" borderId="66" xfId="1232" applyFont="1" applyBorder="1" applyAlignment="1">
      <alignment horizontal="center" vertical="center"/>
    </xf>
    <xf numFmtId="204" fontId="65" fillId="0" borderId="66" xfId="1270" applyNumberFormat="1" applyFont="1" applyBorder="1" applyAlignment="1">
      <alignment horizontal="center" vertical="center" wrapText="1"/>
    </xf>
    <xf numFmtId="201" fontId="65" fillId="0" borderId="67"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5" fontId="0" fillId="0" borderId="4" xfId="1232" applyNumberFormat="1" applyFont="1" applyBorder="1"/>
    <xf numFmtId="0" fontId="9" fillId="0" borderId="4" xfId="0" applyFont="1" applyBorder="1"/>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6"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2" fillId="0" borderId="0" xfId="0" applyFont="1"/>
    <xf numFmtId="0" fontId="73" fillId="0" borderId="0" xfId="0" applyFont="1" applyAlignment="1">
      <alignment horizontal="left" vertical="center"/>
    </xf>
    <xf numFmtId="9" fontId="64" fillId="0" borderId="57" xfId="1232" applyNumberFormat="1" applyFont="1" applyBorder="1" applyAlignment="1">
      <alignment horizontal="center" vertical="center" wrapText="1"/>
    </xf>
    <xf numFmtId="0" fontId="74" fillId="0" borderId="0" xfId="1269" applyFont="1" applyAlignment="1">
      <alignment horizontal="center" vertical="center" wrapText="1"/>
    </xf>
    <xf numFmtId="0" fontId="74" fillId="0" borderId="0" xfId="1269" applyFont="1" applyAlignment="1">
      <alignment horizontal="center"/>
    </xf>
    <xf numFmtId="0" fontId="74" fillId="0" borderId="0" xfId="1269" applyFont="1" applyFill="1"/>
    <xf numFmtId="0" fontId="64" fillId="0" borderId="24" xfId="1181" applyFont="1" applyFill="1" applyBorder="1" applyAlignment="1">
      <alignment horizontal="center" vertical="center" wrapText="1"/>
    </xf>
    <xf numFmtId="201" fontId="65" fillId="0" borderId="58" xfId="1271" applyNumberFormat="1" applyFont="1" applyFill="1" applyBorder="1" applyAlignment="1">
      <alignment horizontal="center" vertical="center" wrapText="1"/>
    </xf>
    <xf numFmtId="201" fontId="65" fillId="0" borderId="61" xfId="1271" applyNumberFormat="1" applyFont="1" applyFill="1" applyBorder="1" applyAlignment="1">
      <alignment horizontal="center" vertical="center" wrapText="1"/>
    </xf>
    <xf numFmtId="0" fontId="64" fillId="0" borderId="50" xfId="1181" applyFont="1" applyFill="1" applyBorder="1" applyAlignment="1">
      <alignment horizontal="center" vertical="center"/>
    </xf>
    <xf numFmtId="204" fontId="65" fillId="0" borderId="61" xfId="1270" applyNumberFormat="1" applyFont="1" applyFill="1" applyBorder="1" applyAlignment="1">
      <alignment horizontal="center" vertical="center" wrapText="1"/>
    </xf>
    <xf numFmtId="201" fontId="65" fillId="0" borderId="58"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4" fontId="65" fillId="0" borderId="58" xfId="1270" applyNumberFormat="1" applyFont="1" applyFill="1" applyBorder="1" applyAlignment="1">
      <alignment horizontal="center" vertical="center" wrapText="1"/>
    </xf>
    <xf numFmtId="201" fontId="65" fillId="0" borderId="70" xfId="1270" applyNumberFormat="1" applyFont="1" applyFill="1" applyBorder="1" applyAlignment="1">
      <alignment horizontal="center" vertical="center" wrapText="1"/>
    </xf>
    <xf numFmtId="204" fontId="65" fillId="0" borderId="74" xfId="1270" applyNumberFormat="1" applyFont="1" applyFill="1" applyBorder="1" applyAlignment="1">
      <alignment horizontal="center" vertical="center" wrapText="1"/>
    </xf>
    <xf numFmtId="206" fontId="71" fillId="71" borderId="4" xfId="0" applyNumberFormat="1" applyFont="1" applyFill="1" applyBorder="1" applyAlignment="1">
      <alignment horizontal="center" vertical="center" wrapText="1"/>
    </xf>
    <xf numFmtId="201" fontId="8" fillId="0" borderId="38" xfId="1269" applyNumberFormat="1" applyFill="1" applyBorder="1" applyAlignment="1">
      <alignment vertical="center"/>
    </xf>
    <xf numFmtId="0" fontId="9" fillId="0" borderId="4" xfId="0" applyFont="1" applyBorder="1" applyAlignment="1">
      <alignment horizontal="center"/>
    </xf>
    <xf numFmtId="201" fontId="65" fillId="0" borderId="67" xfId="1270" applyNumberFormat="1" applyFont="1" applyFill="1" applyBorder="1" applyAlignment="1">
      <alignment vertical="center" wrapText="1"/>
    </xf>
    <xf numFmtId="201" fontId="65" fillId="0" borderId="67" xfId="1270" applyNumberFormat="1" applyFont="1" applyFill="1" applyBorder="1"/>
    <xf numFmtId="201" fontId="65" fillId="0" borderId="60" xfId="1270" applyNumberFormat="1" applyFont="1" applyFill="1" applyBorder="1"/>
    <xf numFmtId="201" fontId="64" fillId="0" borderId="87" xfId="1270" applyNumberFormat="1" applyFont="1" applyFill="1" applyBorder="1" applyAlignment="1">
      <alignment vertical="center"/>
    </xf>
    <xf numFmtId="10" fontId="4" fillId="0" borderId="4" xfId="1232" applyNumberFormat="1" applyFont="1" applyFill="1" applyBorder="1"/>
    <xf numFmtId="0" fontId="74" fillId="0" borderId="0" xfId="1269" applyFont="1" applyFill="1" applyAlignment="1">
      <alignment horizontal="center" vertical="center" wrapText="1"/>
    </xf>
    <xf numFmtId="201" fontId="65" fillId="0" borderId="88" xfId="1270" applyNumberFormat="1" applyFont="1" applyBorder="1" applyAlignment="1">
      <alignment horizontal="center" vertical="center" wrapText="1"/>
    </xf>
    <xf numFmtId="0" fontId="64" fillId="0" borderId="57" xfId="1181" applyFont="1" applyBorder="1" applyAlignment="1">
      <alignment horizontal="center" vertical="center"/>
    </xf>
    <xf numFmtId="9" fontId="64" fillId="0" borderId="57" xfId="1232" applyFont="1" applyBorder="1" applyAlignment="1">
      <alignment horizontal="center" vertical="center"/>
    </xf>
    <xf numFmtId="10" fontId="65" fillId="0" borderId="57" xfId="1232" applyNumberFormat="1" applyFont="1" applyBorder="1" applyAlignment="1">
      <alignment horizontal="center" vertical="center" wrapText="1"/>
    </xf>
    <xf numFmtId="204" fontId="65" fillId="0" borderId="57" xfId="1270" applyNumberFormat="1" applyFont="1" applyBorder="1" applyAlignment="1">
      <alignment horizontal="center" vertical="center" wrapText="1"/>
    </xf>
    <xf numFmtId="201" fontId="65" fillId="0" borderId="89" xfId="1270" applyNumberFormat="1" applyFont="1" applyFill="1" applyBorder="1" applyAlignment="1">
      <alignment vertical="center" wrapText="1"/>
    </xf>
    <xf numFmtId="201" fontId="64" fillId="0" borderId="71" xfId="1270" applyNumberFormat="1" applyFont="1" applyFill="1" applyBorder="1" applyAlignment="1">
      <alignment vertical="center" wrapText="1"/>
    </xf>
    <xf numFmtId="0" fontId="61" fillId="0" borderId="0" xfId="0" applyFont="1" applyAlignment="1">
      <alignment horizontal="center" vertical="center" wrapText="1"/>
    </xf>
    <xf numFmtId="0" fontId="62" fillId="0" borderId="0" xfId="0" applyFont="1" applyAlignment="1">
      <alignment horizontal="center" vertical="center"/>
    </xf>
    <xf numFmtId="206" fontId="70" fillId="0" borderId="53" xfId="0" applyNumberFormat="1" applyFont="1" applyFill="1" applyBorder="1" applyAlignment="1">
      <alignment horizontal="right" vertical="center"/>
    </xf>
    <xf numFmtId="206" fontId="70" fillId="72" borderId="53" xfId="0" applyNumberFormat="1" applyFont="1" applyFill="1" applyBorder="1" applyAlignment="1">
      <alignment horizontal="right" vertical="center"/>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0" fontId="66" fillId="0" borderId="0" xfId="0" applyFont="1" applyFill="1" applyAlignment="1">
      <alignment horizontal="center" vertical="center" wrapText="1"/>
    </xf>
    <xf numFmtId="0" fontId="45" fillId="0" borderId="0" xfId="0" applyFont="1" applyAlignment="1">
      <alignment horizontal="right"/>
    </xf>
    <xf numFmtId="0" fontId="64" fillId="0" borderId="0" xfId="0" applyFont="1" applyAlignment="1">
      <alignment horizontal="center" vertical="center" wrapText="1"/>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9" fillId="58" borderId="0" xfId="0" applyFont="1" applyFill="1" applyAlignment="1">
      <alignment horizontal="center" vertical="center" wrapText="1"/>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71" fillId="71" borderId="24" xfId="0" applyFont="1" applyFill="1" applyBorder="1" applyAlignment="1">
      <alignment horizontal="center" vertical="center" wrapText="1"/>
    </xf>
    <xf numFmtId="0" fontId="71" fillId="71" borderId="53" xfId="0" applyFont="1" applyFill="1" applyBorder="1" applyAlignment="1">
      <alignment horizontal="center" vertical="center" wrapText="1"/>
    </xf>
    <xf numFmtId="0" fontId="68" fillId="71" borderId="24" xfId="0" applyFont="1" applyFill="1" applyBorder="1" applyAlignment="1">
      <alignment horizontal="center" vertical="center"/>
    </xf>
    <xf numFmtId="0" fontId="68" fillId="71" borderId="53" xfId="0" applyFont="1" applyFill="1" applyBorder="1" applyAlignment="1">
      <alignment horizontal="center" vertical="center"/>
    </xf>
    <xf numFmtId="0" fontId="70" fillId="72" borderId="24" xfId="0" applyFont="1" applyFill="1" applyBorder="1" applyAlignment="1">
      <alignment horizontal="left" vertical="center"/>
    </xf>
    <xf numFmtId="0" fontId="70" fillId="72" borderId="53" xfId="0" applyFont="1" applyFill="1" applyBorder="1" applyAlignment="1">
      <alignment horizontal="left" vertical="center"/>
    </xf>
    <xf numFmtId="0" fontId="65" fillId="0" borderId="61" xfId="1181" applyFont="1" applyFill="1" applyBorder="1" applyAlignment="1">
      <alignment horizontal="center"/>
    </xf>
    <xf numFmtId="0" fontId="65" fillId="0" borderId="56" xfId="1181" applyFont="1" applyFill="1" applyBorder="1" applyAlignment="1">
      <alignment horizontal="center"/>
    </xf>
    <xf numFmtId="0" fontId="65" fillId="0" borderId="72" xfId="1181" applyFont="1" applyFill="1" applyBorder="1" applyAlignment="1">
      <alignment horizontal="left"/>
    </xf>
    <xf numFmtId="0" fontId="65" fillId="0" borderId="73" xfId="1181" applyFont="1" applyFill="1" applyBorder="1" applyAlignment="1">
      <alignment horizontal="left"/>
    </xf>
    <xf numFmtId="0" fontId="65" fillId="0" borderId="56" xfId="1181" applyFont="1" applyFill="1" applyBorder="1" applyAlignment="1">
      <alignment horizontal="left"/>
    </xf>
    <xf numFmtId="0" fontId="8" fillId="0" borderId="27" xfId="1269" applyFont="1" applyFill="1" applyBorder="1" applyAlignment="1">
      <alignment horizontal="center" vertical="center" wrapText="1"/>
    </xf>
    <xf numFmtId="0" fontId="8" fillId="0" borderId="3" xfId="1269" applyFont="1" applyFill="1" applyBorder="1" applyAlignment="1">
      <alignment horizontal="center" vertical="center" wrapText="1"/>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63" fillId="70" borderId="45" xfId="397" applyFont="1" applyFill="1" applyBorder="1" applyAlignment="1">
      <alignment horizontal="center" vertical="center" wrapText="1"/>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9" fillId="69" borderId="0" xfId="1269" applyFont="1" applyFill="1" applyAlignment="1">
      <alignment horizontal="center" vertical="center" wrapText="1"/>
    </xf>
    <xf numFmtId="0" fontId="64" fillId="0" borderId="62" xfId="1181" applyFont="1" applyFill="1" applyBorder="1" applyAlignment="1">
      <alignment horizontal="left" vertical="center"/>
    </xf>
    <xf numFmtId="0" fontId="64" fillId="0" borderId="63" xfId="1181" applyFont="1" applyFill="1" applyBorder="1" applyAlignment="1">
      <alignment horizontal="left" vertical="center"/>
    </xf>
    <xf numFmtId="0" fontId="64" fillId="0" borderId="53" xfId="1181" applyFont="1" applyFill="1" applyBorder="1" applyAlignment="1">
      <alignment horizontal="left" vertical="center"/>
    </xf>
    <xf numFmtId="0" fontId="64" fillId="70" borderId="62" xfId="1181" applyFont="1" applyFill="1" applyBorder="1" applyAlignment="1">
      <alignment horizontal="center" vertical="center"/>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0" borderId="62" xfId="1181" applyFont="1" applyFill="1" applyBorder="1" applyAlignment="1">
      <alignment horizontal="center" vertical="center"/>
    </xf>
    <xf numFmtId="0" fontId="64" fillId="0" borderId="63" xfId="1181" applyFont="1" applyFill="1" applyBorder="1" applyAlignment="1">
      <alignment horizontal="center" vertical="center"/>
    </xf>
    <xf numFmtId="0" fontId="64" fillId="0" borderId="53" xfId="1181" applyFont="1" applyFill="1" applyBorder="1" applyAlignment="1">
      <alignment horizontal="center" vertical="center"/>
    </xf>
    <xf numFmtId="0" fontId="64" fillId="0" borderId="24" xfId="1181" applyFont="1" applyFill="1" applyBorder="1" applyAlignment="1">
      <alignment horizontal="center" vertical="center"/>
    </xf>
    <xf numFmtId="0" fontId="65" fillId="0" borderId="72" xfId="1181" applyFont="1" applyFill="1" applyBorder="1" applyAlignment="1">
      <alignment horizontal="left" wrapText="1"/>
    </xf>
    <xf numFmtId="0" fontId="65" fillId="0" borderId="73" xfId="1181" applyFont="1" applyFill="1" applyBorder="1" applyAlignment="1">
      <alignment horizontal="left" wrapText="1"/>
    </xf>
    <xf numFmtId="0" fontId="65" fillId="0" borderId="56" xfId="1181" applyFont="1" applyFill="1" applyBorder="1" applyAlignment="1">
      <alignment horizontal="left" wrapText="1"/>
    </xf>
    <xf numFmtId="0" fontId="65" fillId="0" borderId="61" xfId="1181" applyFont="1" applyFill="1" applyBorder="1" applyAlignment="1">
      <alignment horizontal="center" vertical="center"/>
    </xf>
    <xf numFmtId="0" fontId="65" fillId="0" borderId="56" xfId="1181" applyFont="1" applyFill="1" applyBorder="1" applyAlignment="1">
      <alignment horizontal="center" vertical="center"/>
    </xf>
    <xf numFmtId="0" fontId="64" fillId="0" borderId="72" xfId="1181" applyFont="1" applyFill="1" applyBorder="1" applyAlignment="1">
      <alignment horizontal="left"/>
    </xf>
    <xf numFmtId="0" fontId="64" fillId="0" borderId="73" xfId="1181" applyFont="1" applyFill="1" applyBorder="1" applyAlignment="1">
      <alignment horizontal="left"/>
    </xf>
    <xf numFmtId="0" fontId="64" fillId="0" borderId="56" xfId="1181" applyFont="1" applyFill="1" applyBorder="1" applyAlignment="1">
      <alignment horizontal="left"/>
    </xf>
    <xf numFmtId="0" fontId="64" fillId="0" borderId="84" xfId="1181" applyFont="1" applyFill="1" applyBorder="1" applyAlignment="1">
      <alignment horizontal="left" vertical="center"/>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4" fillId="0" borderId="75" xfId="1181" applyFont="1" applyFill="1" applyBorder="1" applyAlignment="1">
      <alignment horizontal="left" vertical="center"/>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70" borderId="79" xfId="1181" applyFont="1" applyFill="1" applyBorder="1" applyAlignment="1">
      <alignment horizontal="center"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0" borderId="82" xfId="1181" applyFont="1" applyFill="1" applyBorder="1" applyAlignment="1">
      <alignment horizontal="left"/>
    </xf>
    <xf numFmtId="0" fontId="64" fillId="0" borderId="83" xfId="1181" applyFont="1" applyFill="1" applyBorder="1" applyAlignment="1">
      <alignment horizontal="left"/>
    </xf>
    <xf numFmtId="0" fontId="64" fillId="0" borderId="59" xfId="1181" applyFont="1" applyFill="1" applyBorder="1" applyAlignment="1">
      <alignment horizontal="left"/>
    </xf>
    <xf numFmtId="0" fontId="9" fillId="0" borderId="24" xfId="0" applyFont="1" applyBorder="1" applyAlignment="1">
      <alignment horizontal="center"/>
    </xf>
    <xf numFmtId="0" fontId="9" fillId="0" borderId="63" xfId="0" applyFont="1" applyBorder="1" applyAlignment="1">
      <alignment horizontal="center"/>
    </xf>
    <xf numFmtId="0" fontId="9" fillId="0" borderId="53"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41" fillId="69" borderId="0" xfId="1269" applyFont="1" applyFill="1" applyAlignment="1">
      <alignment horizontal="center" vertical="center" wrapText="1"/>
    </xf>
    <xf numFmtId="0" fontId="8" fillId="0" borderId="0" xfId="1269" applyFont="1" applyAlignment="1">
      <alignment horizontal="center" vertical="center"/>
    </xf>
    <xf numFmtId="201" fontId="65" fillId="0" borderId="66" xfId="1270" applyNumberFormat="1" applyFont="1" applyFill="1" applyBorder="1" applyAlignment="1">
      <alignment vertical="center"/>
    </xf>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3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201" t="s">
        <v>0</v>
      </c>
      <c r="B1" s="201"/>
      <c r="C1" s="201"/>
    </row>
    <row r="2" spans="1:3" ht="31.5" customHeight="1">
      <c r="A2" s="206" t="s">
        <v>18</v>
      </c>
      <c r="B2" s="206"/>
      <c r="C2" s="206"/>
    </row>
    <row r="3" spans="1:3" ht="15">
      <c r="A3" s="11"/>
      <c r="B3" s="11"/>
      <c r="C3" s="11"/>
    </row>
    <row r="4" spans="1:3" ht="27.75" customHeight="1">
      <c r="A4" s="199" t="s">
        <v>19</v>
      </c>
      <c r="B4" s="200"/>
      <c r="C4" s="200"/>
    </row>
    <row r="5" spans="1:3">
      <c r="A5" s="81"/>
      <c r="B5" s="82"/>
      <c r="C5" s="82"/>
    </row>
    <row r="6" spans="1:3" ht="15">
      <c r="A6" s="205" t="s">
        <v>20</v>
      </c>
      <c r="B6" s="205"/>
      <c r="C6" s="205"/>
    </row>
    <row r="7" spans="1:3">
      <c r="A7" s="83"/>
      <c r="B7" s="83"/>
      <c r="C7" s="83"/>
    </row>
    <row r="8" spans="1:3">
      <c r="A8" s="84"/>
      <c r="B8" s="84"/>
      <c r="C8" s="84"/>
    </row>
    <row r="9" spans="1:3" ht="30.75" customHeight="1">
      <c r="A9" s="202" t="s">
        <v>21</v>
      </c>
      <c r="B9" s="203"/>
      <c r="C9" s="203"/>
    </row>
    <row r="10" spans="1:3" ht="7.5" customHeight="1">
      <c r="A10" s="203"/>
      <c r="B10" s="203"/>
      <c r="C10" s="203"/>
    </row>
    <row r="11" spans="1:3" ht="15">
      <c r="A11" s="10"/>
      <c r="B11" s="10"/>
      <c r="C11" s="10"/>
    </row>
    <row r="12" spans="1:3" ht="15">
      <c r="A12" s="204" t="s">
        <v>1</v>
      </c>
      <c r="B12" s="204"/>
      <c r="C12" s="204"/>
    </row>
    <row r="13" spans="1:3">
      <c r="A13" s="4"/>
      <c r="B13" s="4"/>
      <c r="C13" s="4"/>
    </row>
    <row r="14" spans="1:3">
      <c r="A14" s="4"/>
      <c r="B14" s="4"/>
      <c r="C14" s="4"/>
    </row>
    <row r="15" spans="1:3" ht="13.5" thickBot="1"/>
    <row r="16" spans="1:3" ht="26.25" thickBot="1">
      <c r="A16" s="44" t="s">
        <v>2</v>
      </c>
      <c r="B16" s="47" t="s">
        <v>3</v>
      </c>
      <c r="C16" s="46" t="s">
        <v>13</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xmlns:xlrd2="http://schemas.microsoft.com/office/spreadsheetml/2017/richdata2"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207" t="str">
        <f>'VERIFICACION OFERTA ECONOMICA'!A1</f>
        <v>EMPRESA NACIONAL PROMOTORA DEL DESARROLLO TERRITORIAL – ENTerritorio</v>
      </c>
      <c r="C1" s="208"/>
      <c r="D1" s="208"/>
      <c r="E1" s="208"/>
      <c r="F1" s="208"/>
      <c r="G1" s="208"/>
    </row>
    <row r="2" spans="2:7" ht="15.75">
      <c r="B2" s="207" t="str">
        <f>'VERIFICACION OFERTA ECONOMICA'!A2</f>
        <v>CLIENTE
MINISTERIO DE VIVIENDA, CIUDAD Y TERRITORIO 
CONTRATO INTERADMINISTRATIVO DE GERENCIA DE PROYECTOS No. 859-2019 (Numeración ENTerritorio 219141)</v>
      </c>
      <c r="C2" s="207"/>
      <c r="D2" s="207"/>
      <c r="E2" s="207"/>
      <c r="F2" s="207"/>
      <c r="G2" s="35"/>
    </row>
    <row r="3" spans="2:7" ht="15.75">
      <c r="B3" s="34"/>
      <c r="C3" s="35"/>
      <c r="D3" s="35"/>
      <c r="E3" s="35"/>
      <c r="F3" s="35"/>
      <c r="G3" s="35"/>
    </row>
    <row r="4" spans="2:7" ht="33.75" customHeight="1">
      <c r="B4" s="207" t="e">
        <f>'VERIFICACION OFERTA ECONOMICA'!#REF!</f>
        <v>#REF!</v>
      </c>
      <c r="C4" s="207"/>
      <c r="D4" s="207"/>
      <c r="E4" s="207"/>
      <c r="F4" s="207"/>
      <c r="G4" s="35"/>
    </row>
    <row r="5" spans="2:7" ht="15.75">
      <c r="B5" s="34"/>
      <c r="C5" s="35"/>
      <c r="D5" s="35"/>
      <c r="E5" s="35"/>
      <c r="F5" s="35"/>
      <c r="G5" s="35"/>
    </row>
    <row r="6" spans="2:7" ht="15.75">
      <c r="B6" s="207" t="str">
        <f>'VERIFICACION OFERTA ECONOMICA'!A4</f>
        <v>CONVOCATORIA MERITORIA
CME 010-2020</v>
      </c>
      <c r="C6" s="207"/>
      <c r="D6" s="207"/>
      <c r="E6" s="207"/>
      <c r="F6" s="207"/>
      <c r="G6" s="35"/>
    </row>
    <row r="7" spans="2:7" ht="15.75">
      <c r="B7" s="34"/>
      <c r="C7" s="35"/>
      <c r="D7" s="35"/>
      <c r="E7" s="35"/>
      <c r="F7" s="35"/>
      <c r="G7" s="35"/>
    </row>
    <row r="8" spans="2:7" ht="40.5" customHeight="1">
      <c r="B8" s="207"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5. ATRATO – CHOCÓ</v>
      </c>
      <c r="C8" s="207"/>
      <c r="D8" s="207"/>
      <c r="E8" s="207"/>
      <c r="F8" s="207"/>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5</v>
      </c>
      <c r="E11" s="16"/>
      <c r="F11" s="16"/>
      <c r="G11" s="17"/>
    </row>
    <row r="12" spans="2:7" ht="16.5" thickBot="1">
      <c r="B12" s="2"/>
      <c r="C12" s="18" t="s">
        <v>6</v>
      </c>
      <c r="D12" s="79">
        <v>844368720</v>
      </c>
      <c r="E12" s="19"/>
      <c r="F12" s="19"/>
      <c r="G12" s="17"/>
    </row>
    <row r="13" spans="2:7" ht="16.5" hidden="1" thickBot="1">
      <c r="B13" s="2"/>
      <c r="C13" s="18" t="s">
        <v>7</v>
      </c>
      <c r="D13" s="20"/>
      <c r="E13" s="19"/>
      <c r="F13" s="19"/>
      <c r="G13" s="17"/>
    </row>
    <row r="14" spans="2:7" ht="15.75">
      <c r="B14" s="2"/>
      <c r="C14" s="18"/>
      <c r="D14" s="2"/>
      <c r="E14" s="17"/>
      <c r="F14" s="17"/>
      <c r="G14" s="17"/>
    </row>
    <row r="15" spans="2:7" ht="15.75" hidden="1">
      <c r="B15" s="209" t="s">
        <v>8</v>
      </c>
      <c r="C15" s="209"/>
      <c r="D15" s="21">
        <v>2.02</v>
      </c>
      <c r="E15" s="21"/>
      <c r="F15" s="21"/>
      <c r="G15" s="2"/>
    </row>
    <row r="16" spans="2:7" ht="16.5" thickBot="1">
      <c r="B16" s="2"/>
      <c r="C16" s="18"/>
      <c r="D16" s="2"/>
      <c r="E16" s="2"/>
      <c r="F16" s="2"/>
      <c r="G16" s="2"/>
    </row>
    <row r="17" spans="2:10" ht="63" customHeight="1" thickBot="1">
      <c r="B17" s="12" t="s">
        <v>11</v>
      </c>
      <c r="C17" s="47" t="s">
        <v>3</v>
      </c>
      <c r="D17" s="47" t="s">
        <v>14</v>
      </c>
      <c r="E17" s="39" t="s">
        <v>9</v>
      </c>
      <c r="F17" s="63" t="s">
        <v>12</v>
      </c>
      <c r="G17" s="22" t="s">
        <v>10</v>
      </c>
      <c r="H17" s="23"/>
      <c r="I17" s="24"/>
      <c r="J17" s="24"/>
    </row>
    <row r="18" spans="2:10" ht="15.75">
      <c r="B18" s="36">
        <v>1</v>
      </c>
      <c r="C18" s="57">
        <f>CONSOLIDACIÓN!B17</f>
        <v>0</v>
      </c>
      <c r="D18" s="60"/>
      <c r="E18" s="41"/>
      <c r="F18" s="64"/>
      <c r="G18" s="25">
        <v>2.15</v>
      </c>
      <c r="H18" s="210"/>
      <c r="I18" s="210"/>
      <c r="J18" s="210"/>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35" priority="7" operator="lessThan">
      <formula>#REF!</formula>
    </cfRule>
  </conditionalFormatting>
  <conditionalFormatting sqref="G23:G46">
    <cfRule type="cellIs" dxfId="34" priority="6" operator="lessThan">
      <formula>#REF!</formula>
    </cfRule>
  </conditionalFormatting>
  <conditionalFormatting sqref="G23:G46">
    <cfRule type="cellIs" dxfId="33" priority="5" stopIfTrue="1" operator="lessThan">
      <formula>#REF!</formula>
    </cfRule>
  </conditionalFormatting>
  <conditionalFormatting sqref="G23:G46">
    <cfRule type="cellIs" dxfId="32" priority="4" stopIfTrue="1" operator="lessThan">
      <formula>$D$15</formula>
    </cfRule>
  </conditionalFormatting>
  <conditionalFormatting sqref="E18:E22">
    <cfRule type="cellIs" dxfId="31" priority="3" stopIfTrue="1" operator="greaterThan">
      <formula>$D$13</formula>
    </cfRule>
  </conditionalFormatting>
  <conditionalFormatting sqref="F18:F22">
    <cfRule type="cellIs" dxfId="30" priority="2" stopIfTrue="1" operator="lessThan">
      <formula>#REF!</formula>
    </cfRule>
  </conditionalFormatting>
  <conditionalFormatting sqref="G18:G22">
    <cfRule type="cellIs" dxfId="29"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40"/>
  <sheetViews>
    <sheetView view="pageBreakPreview" topLeftCell="A4" zoomScaleNormal="100" zoomScaleSheetLayoutView="100" workbookViewId="0">
      <selection activeCell="D42" sqref="D42"/>
    </sheetView>
  </sheetViews>
  <sheetFormatPr baseColWidth="10" defaultColWidth="11.42578125" defaultRowHeight="12.75"/>
  <cols>
    <col min="1" max="1" width="41.28515625" style="1" bestFit="1" customWidth="1"/>
    <col min="2" max="2" width="16.5703125" style="1" bestFit="1" customWidth="1"/>
    <col min="3" max="3" width="20.28515625" style="1" customWidth="1"/>
    <col min="4" max="4" width="10.7109375" style="1" customWidth="1"/>
    <col min="5" max="5" width="15.28515625" style="1" customWidth="1"/>
    <col min="6" max="6" width="17.42578125" style="1" customWidth="1"/>
    <col min="7" max="7" width="15.5703125" style="1" bestFit="1" customWidth="1"/>
    <col min="8" max="8" width="10.7109375" style="1" bestFit="1" customWidth="1"/>
    <col min="9" max="16384" width="11.42578125" style="1"/>
  </cols>
  <sheetData>
    <row r="1" spans="1:4" ht="58.5" customHeight="1">
      <c r="A1" s="212" t="s">
        <v>63</v>
      </c>
      <c r="B1" s="212"/>
      <c r="C1" s="212"/>
      <c r="D1" s="212"/>
    </row>
    <row r="2" spans="1:4" ht="51" customHeight="1">
      <c r="A2" s="213" t="s">
        <v>75</v>
      </c>
      <c r="B2" s="213"/>
      <c r="C2" s="213"/>
      <c r="D2" s="213"/>
    </row>
    <row r="3" spans="1:4">
      <c r="A3" s="85"/>
      <c r="B3" s="85"/>
      <c r="C3" s="85"/>
    </row>
    <row r="4" spans="1:4" ht="26.25" customHeight="1">
      <c r="A4" s="214" t="s">
        <v>76</v>
      </c>
      <c r="B4" s="214"/>
      <c r="C4" s="214"/>
      <c r="D4" s="214"/>
    </row>
    <row r="5" spans="1:4">
      <c r="A5" s="3"/>
      <c r="B5" s="3"/>
      <c r="C5" s="3"/>
    </row>
    <row r="6" spans="1:4" ht="101.25" customHeight="1">
      <c r="A6" s="215" t="s">
        <v>85</v>
      </c>
      <c r="B6" s="215"/>
      <c r="C6" s="215"/>
      <c r="D6" s="215"/>
    </row>
    <row r="8" spans="1:4">
      <c r="A8" s="216" t="s">
        <v>72</v>
      </c>
      <c r="B8" s="216"/>
      <c r="C8" s="216"/>
      <c r="D8" s="216"/>
    </row>
    <row r="10" spans="1:4">
      <c r="A10" s="5" t="s">
        <v>86</v>
      </c>
      <c r="B10" s="6">
        <v>424452595.24000001</v>
      </c>
    </row>
    <row r="12" spans="1:4" ht="22.5" hidden="1">
      <c r="A12" s="137" t="s">
        <v>61</v>
      </c>
      <c r="B12" s="68">
        <f>43329889+8232679</f>
        <v>51562568</v>
      </c>
    </row>
    <row r="13" spans="1:4" ht="22.5" hidden="1">
      <c r="A13" s="137" t="s">
        <v>62</v>
      </c>
      <c r="B13" s="68">
        <f>296555104+56345470</f>
        <v>352900574</v>
      </c>
    </row>
    <row r="14" spans="1:4" hidden="1"/>
    <row r="15" spans="1:4">
      <c r="A15" s="86" t="s">
        <v>4</v>
      </c>
      <c r="B15" s="86"/>
      <c r="C15" s="211" t="s">
        <v>89</v>
      </c>
      <c r="D15" s="211"/>
    </row>
    <row r="16" spans="1:4">
      <c r="D16" s="196"/>
    </row>
    <row r="17" spans="1:8" s="162" customFormat="1" ht="27.75" customHeight="1">
      <c r="A17" s="221" t="s">
        <v>69</v>
      </c>
      <c r="B17" s="222"/>
      <c r="C17" s="161" t="s">
        <v>70</v>
      </c>
      <c r="D17"/>
      <c r="E17"/>
      <c r="F17"/>
      <c r="G17"/>
      <c r="H17"/>
    </row>
    <row r="18" spans="1:8" s="162" customFormat="1" ht="18">
      <c r="A18" s="223" t="s">
        <v>87</v>
      </c>
      <c r="B18" s="224"/>
      <c r="C18" s="197">
        <v>356682840</v>
      </c>
      <c r="D18"/>
      <c r="E18"/>
      <c r="F18"/>
      <c r="G18"/>
      <c r="H18"/>
    </row>
    <row r="19" spans="1:8" s="162" customFormat="1" ht="18">
      <c r="A19" s="223" t="s">
        <v>88</v>
      </c>
      <c r="B19" s="224"/>
      <c r="C19" s="198">
        <f>+ROUND(C18*0.19,2)</f>
        <v>67769739.599999994</v>
      </c>
      <c r="D19"/>
      <c r="E19"/>
      <c r="F19"/>
      <c r="G19"/>
      <c r="H19"/>
    </row>
    <row r="20" spans="1:8" s="162" customFormat="1" ht="26.25" customHeight="1">
      <c r="A20" s="219" t="s">
        <v>77</v>
      </c>
      <c r="B20" s="220"/>
      <c r="C20" s="179">
        <f>+C18+C19</f>
        <v>424452579.60000002</v>
      </c>
      <c r="D20" s="164" t="b">
        <f>+C20&lt;=B10</f>
        <v>1</v>
      </c>
      <c r="E20"/>
      <c r="F20"/>
      <c r="G20"/>
      <c r="H20"/>
    </row>
    <row r="21" spans="1:8">
      <c r="A21" s="163"/>
      <c r="B21"/>
      <c r="C21"/>
    </row>
    <row r="22" spans="1:8" hidden="1"/>
    <row r="23" spans="1:8" ht="66" hidden="1" customHeight="1">
      <c r="A23" s="86" t="s">
        <v>4</v>
      </c>
      <c r="B23" s="86">
        <v>2</v>
      </c>
      <c r="C23" s="195" t="e">
        <f>+#REF!</f>
        <v>#REF!</v>
      </c>
    </row>
    <row r="24" spans="1:8" hidden="1"/>
    <row r="25" spans="1:8" ht="18.75" hidden="1">
      <c r="A25" s="67" t="s">
        <v>15</v>
      </c>
      <c r="B25" s="80">
        <v>0</v>
      </c>
      <c r="C25" s="8">
        <f>+ROUND((B25),0)</f>
        <v>0</v>
      </c>
    </row>
    <row r="26" spans="1:8" ht="18.75" hidden="1">
      <c r="A26" s="67" t="s">
        <v>22</v>
      </c>
      <c r="B26" s="217">
        <f>ROUND((0.16*B25),0)</f>
        <v>0</v>
      </c>
      <c r="C26" s="218"/>
    </row>
    <row r="27" spans="1:8" ht="21" hidden="1">
      <c r="A27" s="77" t="s">
        <v>23</v>
      </c>
      <c r="B27" s="9"/>
      <c r="C27" s="78">
        <f>+B26+C25</f>
        <v>0</v>
      </c>
    </row>
    <row r="28" spans="1:8" hidden="1"/>
    <row r="29" spans="1:8" hidden="1">
      <c r="A29" s="7" t="s">
        <v>4</v>
      </c>
      <c r="B29" s="7">
        <f>1+B23</f>
        <v>3</v>
      </c>
      <c r="C29" s="1">
        <f>+'LISTA DE OFERENTES'!C21</f>
        <v>0</v>
      </c>
    </row>
    <row r="30" spans="1:8" hidden="1"/>
    <row r="31" spans="1:8" ht="18.75" hidden="1">
      <c r="A31" s="67" t="s">
        <v>15</v>
      </c>
      <c r="B31" s="80">
        <v>0</v>
      </c>
      <c r="C31" s="8">
        <f>+ROUND((B31),0)</f>
        <v>0</v>
      </c>
    </row>
    <row r="32" spans="1:8" ht="18.75" hidden="1">
      <c r="A32" s="67" t="s">
        <v>16</v>
      </c>
      <c r="B32" s="217">
        <f>ROUND((0.16*B31),0)</f>
        <v>0</v>
      </c>
      <c r="C32" s="218"/>
    </row>
    <row r="33" spans="1:3" ht="21" hidden="1">
      <c r="A33" s="77" t="s">
        <v>17</v>
      </c>
      <c r="B33" s="9"/>
      <c r="C33" s="78">
        <f>+B32+C31</f>
        <v>0</v>
      </c>
    </row>
    <row r="34" spans="1:3" hidden="1"/>
    <row r="35" spans="1:3" hidden="1">
      <c r="A35" s="7" t="s">
        <v>4</v>
      </c>
      <c r="B35" s="7">
        <f>1+B29</f>
        <v>4</v>
      </c>
      <c r="C35" s="1">
        <f>+'LISTA DE OFERENTES'!C22</f>
        <v>0</v>
      </c>
    </row>
    <row r="36" spans="1:3" hidden="1"/>
    <row r="37" spans="1:3" ht="18.75" hidden="1">
      <c r="A37" s="67" t="s">
        <v>15</v>
      </c>
      <c r="B37" s="80">
        <v>0</v>
      </c>
      <c r="C37" s="8">
        <f>+ROUND((B37),0)</f>
        <v>0</v>
      </c>
    </row>
    <row r="38" spans="1:3" ht="18.75" hidden="1">
      <c r="A38" s="67" t="s">
        <v>16</v>
      </c>
      <c r="B38" s="217">
        <f>ROUND((0.16*B37),0)</f>
        <v>0</v>
      </c>
      <c r="C38" s="218"/>
    </row>
    <row r="39" spans="1:3" ht="21" hidden="1">
      <c r="A39" s="77" t="s">
        <v>17</v>
      </c>
      <c r="B39" s="9"/>
      <c r="C39" s="78">
        <f>+B38+C37</f>
        <v>0</v>
      </c>
    </row>
    <row r="40" spans="1:3" hidden="1"/>
  </sheetData>
  <sheetProtection algorithmName="SHA-512" hashValue="I+pqH82PKh+y2b8DUQ0uP4qcJW0MN7iASvoQiSQZ4uYH9IbMyUvZFy/TbMowkv63W0AqggzzlhrDCo86USt/oA==" saltValue="NVcVRiX4AoW2h3cNLj1wyw==" spinCount="100000" sheet="1" objects="1" scenarios="1"/>
  <mergeCells count="13">
    <mergeCell ref="B32:C32"/>
    <mergeCell ref="B38:C38"/>
    <mergeCell ref="A20:B20"/>
    <mergeCell ref="B26:C26"/>
    <mergeCell ref="A17:B17"/>
    <mergeCell ref="A18:B18"/>
    <mergeCell ref="A19:B19"/>
    <mergeCell ref="C15:D15"/>
    <mergeCell ref="A1:D1"/>
    <mergeCell ref="A2:D2"/>
    <mergeCell ref="A4:D4"/>
    <mergeCell ref="A6:D6"/>
    <mergeCell ref="A8:D8"/>
  </mergeCells>
  <conditionalFormatting sqref="B25">
    <cfRule type="cellIs" dxfId="28" priority="38" operator="greaterThan">
      <formula>$B$12</formula>
    </cfRule>
  </conditionalFormatting>
  <conditionalFormatting sqref="B31">
    <cfRule type="cellIs" dxfId="27" priority="30" operator="greaterThan">
      <formula>$B$12</formula>
    </cfRule>
  </conditionalFormatting>
  <conditionalFormatting sqref="B37">
    <cfRule type="cellIs" dxfId="26" priority="22" operator="greaterThan">
      <formula>$B$12</formula>
    </cfRule>
  </conditionalFormatting>
  <conditionalFormatting sqref="C27">
    <cfRule type="cellIs" dxfId="25" priority="15" operator="greaterThan">
      <formula>$B$10</formula>
    </cfRule>
  </conditionalFormatting>
  <conditionalFormatting sqref="C33">
    <cfRule type="cellIs" dxfId="24" priority="14" operator="greaterThan">
      <formula>$B$10</formula>
    </cfRule>
  </conditionalFormatting>
  <conditionalFormatting sqref="C39">
    <cfRule type="cellIs" dxfId="23" priority="13" operator="greaterThan">
      <formula>$B$10</formula>
    </cfRule>
  </conditionalFormatting>
  <conditionalFormatting sqref="C20">
    <cfRule type="cellIs" dxfId="22" priority="223" operator="greaterThan">
      <formula>#REF!</formula>
    </cfRule>
  </conditionalFormatting>
  <pageMargins left="0.70866141732283472" right="0.70866141732283472" top="0.74803149606299213" bottom="0.74803149606299213" header="0.31496062992125984" footer="0.31496062992125984"/>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50"/>
  <sheetViews>
    <sheetView tabSelected="1" topLeftCell="A10" zoomScale="85" zoomScaleNormal="85" workbookViewId="0">
      <selection activeCell="M33" sqref="M33"/>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85546875" style="87" bestFit="1" customWidth="1"/>
    <col min="12" max="12" width="16.7109375" style="87" bestFit="1" customWidth="1"/>
    <col min="13" max="13" width="12.7109375" style="87" bestFit="1" customWidth="1"/>
    <col min="14" max="14" width="11.42578125" style="87"/>
    <col min="15" max="15" width="13.5703125" style="87" bestFit="1" customWidth="1"/>
    <col min="16"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36" customHeight="1">
      <c r="A1" s="232" t="str">
        <f>+'VERIFICACION OFERTA ECONOMICA'!A6</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5. ATRATO – CHOCÓ</v>
      </c>
      <c r="B1" s="233"/>
      <c r="C1" s="233"/>
      <c r="D1" s="233"/>
      <c r="E1" s="233"/>
      <c r="F1" s="233"/>
      <c r="G1" s="233"/>
      <c r="H1" s="233"/>
      <c r="I1" s="233"/>
      <c r="J1" s="233"/>
      <c r="K1" s="233"/>
      <c r="L1" s="233"/>
    </row>
    <row r="2" spans="1:15" ht="48" customHeight="1">
      <c r="A2" s="233"/>
      <c r="B2" s="233"/>
      <c r="C2" s="233"/>
      <c r="D2" s="233"/>
      <c r="E2" s="233"/>
      <c r="F2" s="233"/>
      <c r="G2" s="233"/>
      <c r="H2" s="233"/>
      <c r="I2" s="233"/>
      <c r="J2" s="233"/>
      <c r="K2" s="233"/>
      <c r="L2" s="233"/>
    </row>
    <row r="4" spans="1:15" s="90" customFormat="1" ht="22.5">
      <c r="A4" s="88" t="s">
        <v>3</v>
      </c>
      <c r="B4" s="89">
        <v>1</v>
      </c>
      <c r="C4" s="237" t="str">
        <f>+'VERIFICACION OFERTA ECONOMICA'!C15</f>
        <v>GNG INGENIERIA S.A.S.</v>
      </c>
      <c r="D4" s="237"/>
      <c r="E4" s="237"/>
      <c r="F4" s="237"/>
      <c r="G4" s="237"/>
      <c r="H4" s="237"/>
      <c r="J4" s="91" t="s">
        <v>24</v>
      </c>
      <c r="K4" s="160">
        <v>2.0099999999999998</v>
      </c>
      <c r="L4" s="92" t="s">
        <v>25</v>
      </c>
      <c r="M4" s="166" t="str">
        <f>+IF(OR(E12&gt;(K4*1.05),E12&lt;(K4*0.95)),"NO CUMPLE","CUMPLE")</f>
        <v>CUMPLE</v>
      </c>
      <c r="N4" s="93"/>
    </row>
    <row r="5" spans="1:15" s="94" customFormat="1" ht="12.75" customHeight="1">
      <c r="A5" s="88"/>
      <c r="B5" s="88"/>
      <c r="C5" s="237"/>
      <c r="D5" s="237"/>
      <c r="E5" s="237"/>
      <c r="F5" s="237"/>
      <c r="G5" s="237"/>
      <c r="H5" s="237"/>
      <c r="J5" s="95" t="s">
        <v>26</v>
      </c>
      <c r="K5" s="95">
        <v>6</v>
      </c>
      <c r="L5" s="96" t="s">
        <v>27</v>
      </c>
      <c r="M5" s="95"/>
      <c r="N5" s="95"/>
      <c r="O5" s="97"/>
    </row>
    <row r="6" spans="1:15" s="90" customFormat="1" ht="17.25" customHeight="1">
      <c r="A6" s="88"/>
      <c r="B6" s="88"/>
      <c r="C6" s="237"/>
      <c r="D6" s="237"/>
      <c r="E6" s="237"/>
      <c r="F6" s="237"/>
      <c r="G6" s="237"/>
      <c r="H6" s="237"/>
      <c r="J6" s="98"/>
      <c r="K6" s="98"/>
      <c r="L6" s="98"/>
      <c r="M6" s="98"/>
      <c r="N6" s="98"/>
      <c r="O6" s="99"/>
    </row>
    <row r="7" spans="1:15" ht="13.5" thickBot="1">
      <c r="J7" s="100" t="s">
        <v>28</v>
      </c>
      <c r="K7" s="100"/>
      <c r="L7" s="158">
        <f>+'Formato 11'!D68</f>
        <v>2</v>
      </c>
      <c r="M7" s="187" t="b">
        <f>+E12=L7</f>
        <v>1</v>
      </c>
      <c r="N7" s="100"/>
      <c r="O7" s="100"/>
    </row>
    <row r="8" spans="1:15" ht="30" customHeight="1" thickTop="1" thickBot="1">
      <c r="A8" s="234" t="s">
        <v>90</v>
      </c>
      <c r="B8" s="235"/>
      <c r="C8" s="235"/>
      <c r="D8" s="235"/>
      <c r="E8" s="235"/>
      <c r="F8" s="235"/>
      <c r="G8" s="235"/>
      <c r="H8" s="236"/>
      <c r="J8" s="139"/>
      <c r="K8" s="139">
        <v>0.95</v>
      </c>
      <c r="L8" s="140">
        <f>+K4*K8</f>
        <v>1.9094999999999998</v>
      </c>
      <c r="M8" s="100"/>
      <c r="N8" s="100"/>
      <c r="O8" s="100"/>
    </row>
    <row r="9" spans="1:15" ht="14.25" thickTop="1" thickBot="1">
      <c r="A9" s="234" t="s">
        <v>29</v>
      </c>
      <c r="B9" s="235"/>
      <c r="C9" s="235"/>
      <c r="D9" s="235"/>
      <c r="E9" s="235"/>
      <c r="F9" s="235"/>
      <c r="G9" s="235"/>
      <c r="H9" s="236"/>
      <c r="J9" s="138"/>
      <c r="K9" s="139">
        <v>1.05</v>
      </c>
      <c r="L9" s="140">
        <f>+K4*K9</f>
        <v>2.1105</v>
      </c>
      <c r="M9" s="100"/>
      <c r="N9" s="100"/>
      <c r="O9" s="100"/>
    </row>
    <row r="10" spans="1:15" ht="13.5" thickTop="1">
      <c r="A10" s="102" t="s">
        <v>30</v>
      </c>
      <c r="B10" s="103" t="s">
        <v>31</v>
      </c>
      <c r="C10" s="103" t="s">
        <v>32</v>
      </c>
      <c r="D10" s="103" t="s">
        <v>33</v>
      </c>
      <c r="E10" s="103" t="s">
        <v>34</v>
      </c>
      <c r="F10" s="172" t="s">
        <v>35</v>
      </c>
      <c r="G10" s="103" t="s">
        <v>36</v>
      </c>
      <c r="H10" s="104"/>
      <c r="J10" s="100"/>
      <c r="K10" s="100"/>
      <c r="L10" s="101"/>
      <c r="M10" s="100"/>
      <c r="N10" s="101"/>
      <c r="O10" s="100"/>
    </row>
    <row r="11" spans="1:15" ht="29.25" customHeight="1">
      <c r="A11" s="105" t="s">
        <v>37</v>
      </c>
      <c r="B11" s="106" t="s">
        <v>38</v>
      </c>
      <c r="C11" s="106" t="s">
        <v>39</v>
      </c>
      <c r="D11" s="106" t="s">
        <v>40</v>
      </c>
      <c r="E11" s="106" t="s">
        <v>41</v>
      </c>
      <c r="F11" s="169" t="s">
        <v>42</v>
      </c>
      <c r="G11" s="106" t="s">
        <v>43</v>
      </c>
      <c r="H11" s="107" t="s">
        <v>44</v>
      </c>
      <c r="J11" s="100"/>
      <c r="K11" s="100"/>
      <c r="L11" s="100"/>
      <c r="M11" s="100"/>
      <c r="N11" s="100"/>
      <c r="O11"/>
    </row>
    <row r="12" spans="1:15">
      <c r="A12" s="141" t="s">
        <v>73</v>
      </c>
      <c r="B12" s="142">
        <v>1</v>
      </c>
      <c r="C12" s="110">
        <v>5552162</v>
      </c>
      <c r="D12" s="144">
        <v>0.5</v>
      </c>
      <c r="E12" s="132">
        <v>2</v>
      </c>
      <c r="F12" s="170">
        <f>ROUND(B12*C12*D12*E12,2)</f>
        <v>5552162</v>
      </c>
      <c r="G12" s="131">
        <v>6</v>
      </c>
      <c r="H12" s="112">
        <f>ROUND(F12*G12,0)</f>
        <v>33312972</v>
      </c>
      <c r="I12"/>
      <c r="J12"/>
      <c r="L12" s="143">
        <v>5844380</v>
      </c>
      <c r="M12" s="276" t="str">
        <f>+IF(OR(C12&gt;(L12*1.05),C12&lt;(L12*0.95)),"NO CUMPLE","CUMPLE")</f>
        <v>CUMPLE</v>
      </c>
      <c r="O12"/>
    </row>
    <row r="13" spans="1:15">
      <c r="A13" s="141" t="s">
        <v>78</v>
      </c>
      <c r="B13" s="142">
        <v>1</v>
      </c>
      <c r="C13" s="110">
        <v>4466668</v>
      </c>
      <c r="D13" s="144">
        <v>1</v>
      </c>
      <c r="E13" s="132">
        <f t="shared" ref="E13:E18" si="0">+$E$12</f>
        <v>2</v>
      </c>
      <c r="F13" s="171">
        <f>ROUND(B13*C13*D13*E13,2)</f>
        <v>8933336</v>
      </c>
      <c r="G13" s="114">
        <f>+G12</f>
        <v>6</v>
      </c>
      <c r="H13" s="112">
        <f>ROUND(F13*G13,0)</f>
        <v>53600016</v>
      </c>
      <c r="J13" s="100"/>
      <c r="K13" s="100"/>
      <c r="L13" s="143">
        <v>4701755</v>
      </c>
      <c r="M13" s="276" t="str">
        <f t="shared" ref="M13:M18" si="1">+IF(OR(C13&gt;(L13*1.05),C13&lt;(L13*0.95)),"NO CUMPLE","CUMPLE")</f>
        <v>CUMPLE</v>
      </c>
      <c r="O13"/>
    </row>
    <row r="14" spans="1:15">
      <c r="A14" s="141" t="s">
        <v>71</v>
      </c>
      <c r="B14" s="142">
        <v>1</v>
      </c>
      <c r="C14" s="110">
        <v>4466668</v>
      </c>
      <c r="D14" s="144">
        <v>0.1</v>
      </c>
      <c r="E14" s="132">
        <f t="shared" si="0"/>
        <v>2</v>
      </c>
      <c r="F14" s="171">
        <f t="shared" ref="F14:F18" si="2">ROUND(B14*C14*D14*E14,2)</f>
        <v>893333.6</v>
      </c>
      <c r="G14" s="114">
        <f t="shared" ref="G14:G16" si="3">+G13</f>
        <v>6</v>
      </c>
      <c r="H14" s="112">
        <f t="shared" ref="H14:H18" si="4">ROUND(F14*G14,0)</f>
        <v>5360002</v>
      </c>
      <c r="J14" s="100"/>
      <c r="K14" s="100"/>
      <c r="L14" s="143">
        <v>4701755</v>
      </c>
      <c r="M14" s="276" t="str">
        <f t="shared" si="1"/>
        <v>CUMPLE</v>
      </c>
      <c r="O14"/>
    </row>
    <row r="15" spans="1:15">
      <c r="A15" s="141" t="s">
        <v>79</v>
      </c>
      <c r="B15" s="142">
        <v>1</v>
      </c>
      <c r="C15" s="110">
        <v>4466668</v>
      </c>
      <c r="D15" s="144">
        <v>1</v>
      </c>
      <c r="E15" s="132">
        <f t="shared" si="0"/>
        <v>2</v>
      </c>
      <c r="F15" s="171">
        <f t="shared" si="2"/>
        <v>8933336</v>
      </c>
      <c r="G15" s="114">
        <f t="shared" si="3"/>
        <v>6</v>
      </c>
      <c r="H15" s="112">
        <f t="shared" si="4"/>
        <v>53600016</v>
      </c>
      <c r="J15" s="100"/>
      <c r="K15" s="100"/>
      <c r="L15" s="143">
        <v>4701755</v>
      </c>
      <c r="M15" s="276" t="str">
        <f t="shared" si="1"/>
        <v>CUMPLE</v>
      </c>
      <c r="O15"/>
    </row>
    <row r="16" spans="1:15">
      <c r="A16" s="141" t="s">
        <v>80</v>
      </c>
      <c r="B16" s="142">
        <v>1</v>
      </c>
      <c r="C16" s="110">
        <v>3378346</v>
      </c>
      <c r="D16" s="165">
        <v>1</v>
      </c>
      <c r="E16" s="132">
        <f t="shared" si="0"/>
        <v>2</v>
      </c>
      <c r="F16" s="171">
        <f t="shared" si="2"/>
        <v>6756692</v>
      </c>
      <c r="G16" s="114">
        <f t="shared" si="3"/>
        <v>6</v>
      </c>
      <c r="H16" s="112">
        <f t="shared" si="4"/>
        <v>40540152</v>
      </c>
      <c r="J16" s="100"/>
      <c r="K16" s="100"/>
      <c r="L16" s="143">
        <v>3556153</v>
      </c>
      <c r="M16" s="276" t="str">
        <f t="shared" si="1"/>
        <v>CUMPLE</v>
      </c>
      <c r="O16"/>
    </row>
    <row r="17" spans="1:15">
      <c r="A17" s="141" t="s">
        <v>81</v>
      </c>
      <c r="B17" s="142">
        <v>1</v>
      </c>
      <c r="C17" s="110">
        <v>3378346</v>
      </c>
      <c r="D17" s="144">
        <v>0.5</v>
      </c>
      <c r="E17" s="132">
        <f t="shared" si="0"/>
        <v>2</v>
      </c>
      <c r="F17" s="171">
        <f t="shared" si="2"/>
        <v>3378346</v>
      </c>
      <c r="G17" s="114">
        <f>+G15</f>
        <v>6</v>
      </c>
      <c r="H17" s="112">
        <f t="shared" si="4"/>
        <v>20270076</v>
      </c>
      <c r="J17" s="100"/>
      <c r="K17" s="100"/>
      <c r="L17" s="143">
        <v>3556153</v>
      </c>
      <c r="M17" s="276" t="str">
        <f t="shared" ref="M17" si="5">+IF(OR(C17&gt;(L17*1.05),C17&lt;(L17*0.95)),"NO CUMPLE","CUMPLE")</f>
        <v>CUMPLE</v>
      </c>
      <c r="O17"/>
    </row>
    <row r="18" spans="1:15" ht="26.25" customHeight="1">
      <c r="A18" s="141" t="s">
        <v>84</v>
      </c>
      <c r="B18" s="142">
        <v>1</v>
      </c>
      <c r="C18" s="110">
        <v>3378346</v>
      </c>
      <c r="D18" s="144">
        <v>1</v>
      </c>
      <c r="E18" s="132">
        <f t="shared" si="0"/>
        <v>2</v>
      </c>
      <c r="F18" s="171">
        <f t="shared" si="2"/>
        <v>6756692</v>
      </c>
      <c r="G18" s="114">
        <f>+G16</f>
        <v>6</v>
      </c>
      <c r="H18" s="112">
        <f t="shared" si="4"/>
        <v>40540152</v>
      </c>
      <c r="J18" s="100"/>
      <c r="K18" s="100"/>
      <c r="L18" s="143">
        <v>3556153</v>
      </c>
      <c r="M18" s="276" t="str">
        <f t="shared" si="1"/>
        <v>CUMPLE</v>
      </c>
      <c r="O18"/>
    </row>
    <row r="19" spans="1:15">
      <c r="A19" s="108"/>
      <c r="B19" s="109"/>
      <c r="C19" s="110"/>
      <c r="D19" s="111"/>
      <c r="E19" s="113"/>
      <c r="F19" s="171"/>
      <c r="G19" s="114"/>
      <c r="H19" s="193"/>
      <c r="J19" s="100"/>
      <c r="K19" s="100"/>
      <c r="L19" s="100"/>
      <c r="M19" s="168"/>
      <c r="N19" s="100"/>
      <c r="O19"/>
    </row>
    <row r="20" spans="1:15">
      <c r="A20" s="238" t="s">
        <v>45</v>
      </c>
      <c r="B20" s="239"/>
      <c r="C20" s="239"/>
      <c r="D20" s="239"/>
      <c r="E20" s="239"/>
      <c r="F20" s="239"/>
      <c r="G20" s="240"/>
      <c r="H20" s="194">
        <f>SUM(H12:H19)</f>
        <v>247223386</v>
      </c>
      <c r="I20" s="116"/>
      <c r="J20" s="100"/>
      <c r="K20" s="100"/>
      <c r="L20" s="100"/>
      <c r="M20" s="168"/>
      <c r="N20" s="101"/>
      <c r="O20"/>
    </row>
    <row r="21" spans="1:15">
      <c r="A21" s="241" t="s">
        <v>46</v>
      </c>
      <c r="B21" s="242"/>
      <c r="C21" s="242"/>
      <c r="D21" s="242"/>
      <c r="E21" s="242"/>
      <c r="F21" s="242"/>
      <c r="G21" s="242"/>
      <c r="H21" s="243"/>
      <c r="J21" s="100"/>
      <c r="K21" s="100"/>
      <c r="L21" s="100"/>
      <c r="M21" s="168"/>
      <c r="N21" s="100"/>
      <c r="O21"/>
    </row>
    <row r="22" spans="1:15" ht="29.25" customHeight="1">
      <c r="A22" s="105" t="s">
        <v>47</v>
      </c>
      <c r="B22" s="106" t="s">
        <v>38</v>
      </c>
      <c r="C22" s="106" t="s">
        <v>39</v>
      </c>
      <c r="D22" s="106" t="s">
        <v>40</v>
      </c>
      <c r="E22" s="106" t="s">
        <v>48</v>
      </c>
      <c r="F22" s="169" t="s">
        <v>42</v>
      </c>
      <c r="G22" s="106" t="s">
        <v>43</v>
      </c>
      <c r="H22" s="107" t="s">
        <v>44</v>
      </c>
      <c r="J22" s="100"/>
      <c r="K22" s="100"/>
      <c r="L22" s="100"/>
      <c r="M22" s="168"/>
      <c r="N22" s="100"/>
      <c r="O22"/>
    </row>
    <row r="23" spans="1:15">
      <c r="A23" s="145" t="s">
        <v>82</v>
      </c>
      <c r="B23" s="146">
        <v>2</v>
      </c>
      <c r="C23" s="277">
        <v>1836550</v>
      </c>
      <c r="D23" s="148">
        <v>1</v>
      </c>
      <c r="E23" s="159">
        <f>+$E$12</f>
        <v>2</v>
      </c>
      <c r="F23" s="188">
        <f t="shared" ref="F23:F28" si="6">ROUND(B23*C23*D23*E23,2)</f>
        <v>7346200</v>
      </c>
      <c r="G23" s="149">
        <f>+G12</f>
        <v>6</v>
      </c>
      <c r="H23" s="182">
        <f t="shared" ref="H23:H28" si="7">ROUND(F23*G23,2)</f>
        <v>44077200</v>
      </c>
      <c r="L23" s="143">
        <v>1933210</v>
      </c>
      <c r="M23" s="276" t="str">
        <f t="shared" ref="M23:M24" si="8">+IF(OR(C23&gt;(L23*1.05),C23&lt;(L23*0.95)),"NO CUMPLE","CUMPLE")</f>
        <v>CUMPLE</v>
      </c>
      <c r="O23"/>
    </row>
    <row r="24" spans="1:15">
      <c r="A24" s="141" t="s">
        <v>83</v>
      </c>
      <c r="B24" s="189">
        <v>1</v>
      </c>
      <c r="C24" s="117">
        <v>1836550</v>
      </c>
      <c r="D24" s="190">
        <v>1</v>
      </c>
      <c r="E24" s="191">
        <f t="shared" ref="E24:E28" si="9">+$E$12</f>
        <v>2</v>
      </c>
      <c r="F24" s="188">
        <f t="shared" si="6"/>
        <v>3673100</v>
      </c>
      <c r="G24" s="192">
        <f>+G13</f>
        <v>6</v>
      </c>
      <c r="H24" s="112">
        <f t="shared" si="7"/>
        <v>22038600</v>
      </c>
      <c r="L24" s="143">
        <v>1933210</v>
      </c>
      <c r="M24" s="276" t="str">
        <f t="shared" si="8"/>
        <v>CUMPLE</v>
      </c>
      <c r="O24"/>
    </row>
    <row r="25" spans="1:15" hidden="1">
      <c r="A25" s="145"/>
      <c r="B25" s="146"/>
      <c r="C25" s="147"/>
      <c r="D25" s="148"/>
      <c r="E25" s="159">
        <f t="shared" si="9"/>
        <v>2</v>
      </c>
      <c r="F25" s="174">
        <f t="shared" si="6"/>
        <v>0</v>
      </c>
      <c r="G25" s="149">
        <f>+G14</f>
        <v>6</v>
      </c>
      <c r="H25" s="182">
        <f t="shared" si="7"/>
        <v>0</v>
      </c>
      <c r="L25" s="143">
        <v>1197010.3500000001</v>
      </c>
      <c r="M25" s="167" t="str">
        <f t="shared" ref="M25:M28" si="10">+IF(OR(C25&gt;(L25*1.05),C25&lt;(L25*0.95)),"NO CUMPLE","CUMPLE")</f>
        <v>NO CUMPLE</v>
      </c>
    </row>
    <row r="26" spans="1:15" hidden="1">
      <c r="A26" s="145"/>
      <c r="B26" s="146"/>
      <c r="C26" s="147"/>
      <c r="D26" s="148"/>
      <c r="E26" s="159">
        <f t="shared" si="9"/>
        <v>2</v>
      </c>
      <c r="F26" s="174">
        <f t="shared" si="6"/>
        <v>0</v>
      </c>
      <c r="G26" s="149">
        <f>+G15</f>
        <v>6</v>
      </c>
      <c r="H26" s="150">
        <f t="shared" si="7"/>
        <v>0</v>
      </c>
      <c r="L26" s="143">
        <v>877803</v>
      </c>
      <c r="M26" s="167" t="str">
        <f t="shared" si="10"/>
        <v>NO CUMPLE</v>
      </c>
    </row>
    <row r="27" spans="1:15" hidden="1">
      <c r="A27" s="145"/>
      <c r="B27" s="146"/>
      <c r="C27" s="147"/>
      <c r="D27" s="148"/>
      <c r="E27" s="159">
        <f t="shared" si="9"/>
        <v>2</v>
      </c>
      <c r="F27" s="174">
        <f t="shared" si="6"/>
        <v>0</v>
      </c>
      <c r="G27" s="149">
        <f>+G16</f>
        <v>6</v>
      </c>
      <c r="H27" s="150">
        <f t="shared" si="7"/>
        <v>0</v>
      </c>
      <c r="L27" s="143">
        <v>1091010.3500000001</v>
      </c>
      <c r="M27" s="167" t="str">
        <f t="shared" si="10"/>
        <v>NO CUMPLE</v>
      </c>
    </row>
    <row r="28" spans="1:15" hidden="1">
      <c r="A28" s="145"/>
      <c r="B28" s="146"/>
      <c r="C28" s="147"/>
      <c r="D28" s="148"/>
      <c r="E28" s="159">
        <f t="shared" si="9"/>
        <v>2</v>
      </c>
      <c r="F28" s="174">
        <f t="shared" si="6"/>
        <v>0</v>
      </c>
      <c r="G28" s="149">
        <f t="shared" ref="G28" si="11">+G18</f>
        <v>6</v>
      </c>
      <c r="H28" s="150">
        <f t="shared" si="7"/>
        <v>0</v>
      </c>
      <c r="L28" s="143">
        <v>1281810.3600000001</v>
      </c>
      <c r="M28" s="167" t="str">
        <f t="shared" si="10"/>
        <v>NO CUMPLE</v>
      </c>
    </row>
    <row r="29" spans="1:15">
      <c r="A29" s="118"/>
      <c r="B29" s="119"/>
      <c r="C29" s="120"/>
      <c r="D29" s="121"/>
      <c r="E29" s="133"/>
      <c r="F29" s="177"/>
      <c r="G29" s="122"/>
      <c r="H29" s="112"/>
      <c r="J29" s="100"/>
      <c r="K29" s="100"/>
      <c r="L29" s="100"/>
      <c r="M29" s="100"/>
      <c r="N29" s="123"/>
      <c r="O29" s="100"/>
    </row>
    <row r="30" spans="1:15">
      <c r="A30" s="238" t="s">
        <v>49</v>
      </c>
      <c r="B30" s="239"/>
      <c r="C30" s="239"/>
      <c r="D30" s="239"/>
      <c r="E30" s="239"/>
      <c r="F30" s="239"/>
      <c r="G30" s="240"/>
      <c r="H30" s="115">
        <f>SUM(H23:H29)</f>
        <v>66115800</v>
      </c>
      <c r="I30" s="124"/>
      <c r="J30" s="100"/>
      <c r="K30" s="100"/>
      <c r="L30" s="100"/>
      <c r="M30" s="100"/>
      <c r="N30" s="123"/>
      <c r="O30" s="100"/>
    </row>
    <row r="31" spans="1:15">
      <c r="A31" s="241" t="s">
        <v>64</v>
      </c>
      <c r="B31" s="242"/>
      <c r="C31" s="242"/>
      <c r="D31" s="242"/>
      <c r="E31" s="242"/>
      <c r="F31" s="242"/>
      <c r="G31" s="242"/>
      <c r="H31" s="243"/>
      <c r="J31" s="100"/>
      <c r="K31" s="100"/>
      <c r="L31" s="123"/>
      <c r="M31" s="100"/>
      <c r="N31" s="100"/>
      <c r="O31" s="100"/>
    </row>
    <row r="32" spans="1:15">
      <c r="A32" s="244" t="s">
        <v>65</v>
      </c>
      <c r="B32" s="245"/>
      <c r="C32" s="246"/>
      <c r="D32" s="247" t="s">
        <v>50</v>
      </c>
      <c r="E32" s="246"/>
      <c r="F32" s="175" t="s">
        <v>38</v>
      </c>
      <c r="G32" s="125" t="s">
        <v>51</v>
      </c>
      <c r="H32" s="126" t="s">
        <v>52</v>
      </c>
      <c r="J32" s="100"/>
      <c r="K32" s="100"/>
      <c r="L32" s="123"/>
      <c r="M32" s="100"/>
      <c r="N32" s="123"/>
      <c r="O32" s="99"/>
    </row>
    <row r="33" spans="1:15">
      <c r="A33" s="248"/>
      <c r="B33" s="249"/>
      <c r="C33" s="250"/>
      <c r="D33" s="251"/>
      <c r="E33" s="252"/>
      <c r="F33" s="176"/>
      <c r="G33" s="117"/>
      <c r="H33" s="127">
        <v>43343654</v>
      </c>
      <c r="I33" s="99"/>
      <c r="J33" s="100"/>
      <c r="K33" s="100"/>
      <c r="L33" s="100"/>
      <c r="M33" s="100"/>
      <c r="N33" s="100"/>
      <c r="O33" s="100"/>
    </row>
    <row r="34" spans="1:15" hidden="1">
      <c r="A34" s="227"/>
      <c r="B34" s="228"/>
      <c r="C34" s="229"/>
      <c r="D34" s="225"/>
      <c r="E34" s="226"/>
      <c r="F34" s="173"/>
      <c r="G34" s="128"/>
      <c r="H34" s="129">
        <f t="shared" ref="H34:H43" si="12">ROUND(G34*F34,0)</f>
        <v>0</v>
      </c>
      <c r="I34" s="99"/>
      <c r="J34" s="100"/>
      <c r="K34" s="100"/>
      <c r="L34" s="100"/>
      <c r="M34" s="100"/>
      <c r="N34" s="100"/>
      <c r="O34" s="100"/>
    </row>
    <row r="35" spans="1:15" hidden="1">
      <c r="A35" s="227"/>
      <c r="B35" s="228"/>
      <c r="C35" s="229"/>
      <c r="D35" s="225"/>
      <c r="E35" s="226"/>
      <c r="F35" s="173"/>
      <c r="G35" s="128"/>
      <c r="H35" s="129">
        <f t="shared" si="12"/>
        <v>0</v>
      </c>
      <c r="J35" s="100"/>
      <c r="K35" s="100"/>
      <c r="L35" s="100"/>
      <c r="M35" s="100"/>
      <c r="N35" s="100"/>
      <c r="O35" s="100"/>
    </row>
    <row r="36" spans="1:15" hidden="1">
      <c r="A36" s="227"/>
      <c r="B36" s="228"/>
      <c r="C36" s="229"/>
      <c r="D36" s="225"/>
      <c r="E36" s="226"/>
      <c r="F36" s="173"/>
      <c r="G36" s="128"/>
      <c r="H36" s="129">
        <f t="shared" si="12"/>
        <v>0</v>
      </c>
      <c r="J36" s="100"/>
      <c r="K36" s="100"/>
      <c r="L36" s="100"/>
      <c r="M36" s="100"/>
      <c r="N36" s="100"/>
      <c r="O36" s="100"/>
    </row>
    <row r="37" spans="1:15" hidden="1">
      <c r="A37" s="227"/>
      <c r="B37" s="228"/>
      <c r="C37" s="229"/>
      <c r="D37" s="225"/>
      <c r="E37" s="226"/>
      <c r="F37" s="173"/>
      <c r="G37" s="128"/>
      <c r="H37" s="129">
        <f t="shared" si="12"/>
        <v>0</v>
      </c>
    </row>
    <row r="38" spans="1:15" hidden="1">
      <c r="A38" s="227"/>
      <c r="B38" s="228"/>
      <c r="C38" s="229"/>
      <c r="D38" s="225"/>
      <c r="E38" s="226"/>
      <c r="F38" s="173"/>
      <c r="G38" s="128"/>
      <c r="H38" s="129">
        <f t="shared" si="12"/>
        <v>0</v>
      </c>
    </row>
    <row r="39" spans="1:15" hidden="1">
      <c r="A39" s="227"/>
      <c r="B39" s="228"/>
      <c r="C39" s="229"/>
      <c r="D39" s="225"/>
      <c r="E39" s="226"/>
      <c r="F39" s="173"/>
      <c r="G39" s="128"/>
      <c r="H39" s="129">
        <f t="shared" si="12"/>
        <v>0</v>
      </c>
    </row>
    <row r="40" spans="1:15" hidden="1">
      <c r="A40" s="227"/>
      <c r="B40" s="228"/>
      <c r="C40" s="229"/>
      <c r="D40" s="225"/>
      <c r="E40" s="226"/>
      <c r="F40" s="173"/>
      <c r="G40" s="128"/>
      <c r="H40" s="129">
        <f t="shared" si="12"/>
        <v>0</v>
      </c>
    </row>
    <row r="41" spans="1:15" hidden="1">
      <c r="A41" s="227"/>
      <c r="B41" s="228"/>
      <c r="C41" s="229"/>
      <c r="D41" s="225"/>
      <c r="E41" s="226"/>
      <c r="F41" s="173"/>
      <c r="G41" s="128"/>
      <c r="H41" s="129">
        <f t="shared" si="12"/>
        <v>0</v>
      </c>
    </row>
    <row r="42" spans="1:15" hidden="1">
      <c r="A42" s="227"/>
      <c r="B42" s="228"/>
      <c r="C42" s="229"/>
      <c r="D42" s="225"/>
      <c r="E42" s="226"/>
      <c r="F42" s="173"/>
      <c r="G42" s="128"/>
      <c r="H42" s="129">
        <f t="shared" si="12"/>
        <v>0</v>
      </c>
    </row>
    <row r="43" spans="1:15" hidden="1">
      <c r="A43" s="227"/>
      <c r="B43" s="228"/>
      <c r="C43" s="229"/>
      <c r="D43" s="225"/>
      <c r="E43" s="226"/>
      <c r="F43" s="173"/>
      <c r="G43" s="128"/>
      <c r="H43" s="129">
        <f t="shared" si="12"/>
        <v>0</v>
      </c>
    </row>
    <row r="44" spans="1:15">
      <c r="A44" s="227"/>
      <c r="B44" s="228"/>
      <c r="C44" s="229"/>
      <c r="D44" s="225"/>
      <c r="E44" s="226"/>
      <c r="F44" s="178"/>
      <c r="G44" s="128"/>
      <c r="H44" s="129"/>
    </row>
    <row r="45" spans="1:15" ht="13.5" thickBot="1">
      <c r="A45" s="259" t="s">
        <v>66</v>
      </c>
      <c r="B45" s="260"/>
      <c r="C45" s="260"/>
      <c r="D45" s="260"/>
      <c r="E45" s="260"/>
      <c r="F45" s="260"/>
      <c r="G45" s="261"/>
      <c r="H45" s="130">
        <f>SUM(H33:H44)</f>
        <v>43343654</v>
      </c>
    </row>
    <row r="46" spans="1:15" ht="13.5" thickTop="1">
      <c r="A46" s="262" t="s">
        <v>53</v>
      </c>
      <c r="B46" s="263"/>
      <c r="C46" s="263"/>
      <c r="D46" s="263"/>
      <c r="E46" s="263"/>
      <c r="F46" s="263"/>
      <c r="G46" s="263"/>
      <c r="H46" s="264"/>
    </row>
    <row r="47" spans="1:15">
      <c r="A47" s="265" t="s">
        <v>54</v>
      </c>
      <c r="B47" s="266"/>
      <c r="C47" s="266"/>
      <c r="D47" s="266"/>
      <c r="E47" s="266"/>
      <c r="F47" s="266"/>
      <c r="G47" s="267"/>
      <c r="H47" s="183">
        <f>ROUND(H20+H30+H45,2)</f>
        <v>356682840</v>
      </c>
    </row>
    <row r="48" spans="1:15" ht="13.5" thickBot="1">
      <c r="A48" s="253" t="s">
        <v>22</v>
      </c>
      <c r="B48" s="254"/>
      <c r="C48" s="254"/>
      <c r="D48" s="254"/>
      <c r="E48" s="254"/>
      <c r="F48" s="254"/>
      <c r="G48" s="255"/>
      <c r="H48" s="184">
        <f>ROUND(H47*0.19,2)</f>
        <v>67769739.599999994</v>
      </c>
      <c r="M48" s="87" t="b">
        <f>+L49='VERIFICACION OFERTA ECONOMICA'!C20</f>
        <v>1</v>
      </c>
    </row>
    <row r="49" spans="1:13" ht="27.75" customHeight="1" thickBot="1">
      <c r="A49" s="256" t="s">
        <v>91</v>
      </c>
      <c r="B49" s="257"/>
      <c r="C49" s="257"/>
      <c r="D49" s="257"/>
      <c r="E49" s="257"/>
      <c r="F49" s="257"/>
      <c r="G49" s="258"/>
      <c r="H49" s="185">
        <f>ROUND(H48+H47,2)</f>
        <v>424452579.60000002</v>
      </c>
      <c r="I49" s="230" t="s">
        <v>74</v>
      </c>
      <c r="J49" s="231"/>
      <c r="K49" s="231"/>
      <c r="L49" s="180">
        <v>424452579.60000002</v>
      </c>
      <c r="M49" s="138" t="b">
        <f>+H49=L49</f>
        <v>1</v>
      </c>
    </row>
    <row r="50" spans="1:13" ht="13.5" thickTop="1"/>
  </sheetData>
  <sheetProtection algorithmName="SHA-512" hashValue="ujShV45I60CbXQFRRzMunBKaE8Z0zLXjIjGMWIYMzXGZ/wUnFB0LLRcNGfQt8NFFc9E6+tuOdiAqMwvxJ7eDPw==" saltValue="DOS4vOGa3+dhXzcM59sFKg==" spinCount="100000" sheet="1" objects="1" scenarios="1"/>
  <mergeCells count="40">
    <mergeCell ref="A48:G48"/>
    <mergeCell ref="A49:G49"/>
    <mergeCell ref="A44:C44"/>
    <mergeCell ref="D40:E40"/>
    <mergeCell ref="A41:C41"/>
    <mergeCell ref="D41:E41"/>
    <mergeCell ref="A45:G45"/>
    <mergeCell ref="A46:H46"/>
    <mergeCell ref="A47:G47"/>
    <mergeCell ref="A42:C42"/>
    <mergeCell ref="D42:E42"/>
    <mergeCell ref="A43:C43"/>
    <mergeCell ref="D43:E43"/>
    <mergeCell ref="A38:C38"/>
    <mergeCell ref="D38:E38"/>
    <mergeCell ref="A39:C39"/>
    <mergeCell ref="D39:E39"/>
    <mergeCell ref="D44:E44"/>
    <mergeCell ref="A40:C40"/>
    <mergeCell ref="I49:K49"/>
    <mergeCell ref="A1:L2"/>
    <mergeCell ref="A8:H8"/>
    <mergeCell ref="A9:H9"/>
    <mergeCell ref="C4:H6"/>
    <mergeCell ref="A20:G20"/>
    <mergeCell ref="A34:C34"/>
    <mergeCell ref="D34:E34"/>
    <mergeCell ref="A31:H31"/>
    <mergeCell ref="A32:C32"/>
    <mergeCell ref="D32:E32"/>
    <mergeCell ref="A33:C33"/>
    <mergeCell ref="D33:E33"/>
    <mergeCell ref="A21:H21"/>
    <mergeCell ref="A30:G30"/>
    <mergeCell ref="A36:C36"/>
    <mergeCell ref="D36:E36"/>
    <mergeCell ref="A37:C37"/>
    <mergeCell ref="D37:E37"/>
    <mergeCell ref="A35:C35"/>
    <mergeCell ref="D35:E35"/>
  </mergeCells>
  <conditionalFormatting sqref="D19">
    <cfRule type="cellIs" dxfId="21" priority="219" stopIfTrue="1" operator="lessThan">
      <formula>#REF!</formula>
    </cfRule>
  </conditionalFormatting>
  <conditionalFormatting sqref="D29">
    <cfRule type="cellIs" dxfId="20" priority="220" stopIfTrue="1" operator="lessThan">
      <formula>#REF!</formula>
    </cfRule>
  </conditionalFormatting>
  <conditionalFormatting sqref="B19">
    <cfRule type="cellIs" dxfId="19" priority="223" stopIfTrue="1" operator="lessThan">
      <formula>#REF!</formula>
    </cfRule>
  </conditionalFormatting>
  <conditionalFormatting sqref="B29">
    <cfRule type="cellIs" dxfId="18" priority="224" stopIfTrue="1" operator="lessThan">
      <formula>#REF!</formula>
    </cfRule>
  </conditionalFormatting>
  <conditionalFormatting sqref="G12">
    <cfRule type="cellIs" dxfId="17" priority="134" operator="lessThan">
      <formula>$K$5</formula>
    </cfRule>
  </conditionalFormatting>
  <conditionalFormatting sqref="E12">
    <cfRule type="cellIs" dxfId="16" priority="120" operator="notBetween">
      <formula>$L$8</formula>
      <formula>$L$9</formula>
    </cfRule>
  </conditionalFormatting>
  <conditionalFormatting sqref="B12">
    <cfRule type="cellIs" dxfId="15" priority="84" stopIfTrue="1" operator="lessThan">
      <formula>#REF!</formula>
    </cfRule>
  </conditionalFormatting>
  <conditionalFormatting sqref="B13">
    <cfRule type="cellIs" dxfId="14" priority="85" stopIfTrue="1" operator="lessThan">
      <formula>#REF!</formula>
    </cfRule>
  </conditionalFormatting>
  <conditionalFormatting sqref="B14:B15">
    <cfRule type="cellIs" dxfId="13" priority="81" stopIfTrue="1" operator="lessThan">
      <formula>#REF!</formula>
    </cfRule>
  </conditionalFormatting>
  <conditionalFormatting sqref="B16 B18">
    <cfRule type="cellIs" dxfId="12" priority="80" stopIfTrue="1" operator="lessThan">
      <formula>#REF!</formula>
    </cfRule>
  </conditionalFormatting>
  <conditionalFormatting sqref="D12">
    <cfRule type="cellIs" dxfId="11" priority="78" stopIfTrue="1" operator="lessThan">
      <formula>#REF!</formula>
    </cfRule>
  </conditionalFormatting>
  <conditionalFormatting sqref="D13">
    <cfRule type="cellIs" dxfId="10" priority="79" stopIfTrue="1" operator="lessThan">
      <formula>#REF!</formula>
    </cfRule>
  </conditionalFormatting>
  <conditionalFormatting sqref="D14:D15">
    <cfRule type="cellIs" dxfId="9" priority="76" stopIfTrue="1" operator="lessThan">
      <formula>#REF!</formula>
    </cfRule>
  </conditionalFormatting>
  <conditionalFormatting sqref="D16 D18">
    <cfRule type="cellIs" dxfId="8" priority="75" stopIfTrue="1" operator="lessThan">
      <formula>#REF!</formula>
    </cfRule>
  </conditionalFormatting>
  <conditionalFormatting sqref="D23">
    <cfRule type="cellIs" dxfId="7" priority="73" stopIfTrue="1" operator="lessThan">
      <formula>#REF!</formula>
    </cfRule>
  </conditionalFormatting>
  <conditionalFormatting sqref="B23">
    <cfRule type="cellIs" dxfId="6" priority="74" stopIfTrue="1" operator="lessThan">
      <formula>#REF!</formula>
    </cfRule>
  </conditionalFormatting>
  <conditionalFormatting sqref="D24 D26:D28">
    <cfRule type="cellIs" dxfId="5" priority="59" stopIfTrue="1" operator="lessThan">
      <formula>#REF!</formula>
    </cfRule>
  </conditionalFormatting>
  <conditionalFormatting sqref="B24 B26:B28">
    <cfRule type="cellIs" dxfId="4" priority="60" stopIfTrue="1" operator="lessThan">
      <formula>#REF!</formula>
    </cfRule>
  </conditionalFormatting>
  <conditionalFormatting sqref="D25">
    <cfRule type="cellIs" dxfId="3" priority="57" stopIfTrue="1" operator="lessThan">
      <formula>#REF!</formula>
    </cfRule>
  </conditionalFormatting>
  <conditionalFormatting sqref="B25">
    <cfRule type="cellIs" dxfId="2" priority="58" stopIfTrue="1" operator="lessThan">
      <formula>#REF!</formula>
    </cfRule>
  </conditionalFormatting>
  <conditionalFormatting sqref="B17">
    <cfRule type="cellIs" dxfId="1" priority="2" stopIfTrue="1" operator="lessThan">
      <formula>#REF!</formula>
    </cfRule>
  </conditionalFormatting>
  <conditionalFormatting sqref="D17">
    <cfRule type="cellIs" dxfId="0"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68"/>
  <sheetViews>
    <sheetView topLeftCell="A37" zoomScale="85" zoomScaleNormal="85" workbookViewId="0">
      <selection activeCell="A67" sqref="A67:D67"/>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39" customHeight="1">
      <c r="A1" s="273" t="str">
        <f>+'Formato 7A'!A1</f>
        <v>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GRUPO 5. ATRATO – CHOCÓ</v>
      </c>
      <c r="B1" s="274"/>
      <c r="C1" s="274"/>
      <c r="D1" s="274"/>
    </row>
    <row r="2" spans="1:11" ht="40.5" customHeight="1">
      <c r="A2" s="274"/>
      <c r="B2" s="274"/>
      <c r="C2" s="274"/>
      <c r="D2" s="274"/>
    </row>
    <row r="4" spans="1:11" s="90" customFormat="1" ht="18" customHeight="1">
      <c r="A4" s="156" t="s">
        <v>3</v>
      </c>
      <c r="B4" s="157">
        <v>1</v>
      </c>
      <c r="C4" s="275" t="str">
        <f>+'Formato 7A'!C4</f>
        <v>GNG INGENIERIA S.A.S.</v>
      </c>
      <c r="D4" s="275"/>
      <c r="F4" s="87"/>
      <c r="G4" s="87"/>
      <c r="H4" s="87"/>
      <c r="I4" s="93"/>
      <c r="J4" s="93"/>
    </row>
    <row r="5" spans="1:11" s="94" customFormat="1">
      <c r="A5" s="88"/>
      <c r="B5" s="88"/>
      <c r="C5" s="275"/>
      <c r="D5" s="275"/>
      <c r="F5" s="87"/>
      <c r="G5" s="87"/>
      <c r="H5" s="87"/>
      <c r="I5" s="95"/>
      <c r="J5" s="95"/>
      <c r="K5" s="97"/>
    </row>
    <row r="6" spans="1:11" s="90" customFormat="1">
      <c r="A6" s="88"/>
      <c r="B6" s="88"/>
      <c r="C6" s="275"/>
      <c r="D6" s="275"/>
      <c r="F6" s="87"/>
      <c r="G6" s="87"/>
      <c r="H6" s="87"/>
      <c r="I6" s="98"/>
      <c r="J6" s="98"/>
      <c r="K6" s="99"/>
    </row>
    <row r="7" spans="1:11" s="90" customFormat="1">
      <c r="A7"/>
      <c r="B7"/>
      <c r="C7"/>
      <c r="D7"/>
      <c r="F7" s="87"/>
      <c r="G7" s="87"/>
      <c r="H7" s="87"/>
      <c r="I7" s="98"/>
      <c r="J7" s="98"/>
      <c r="K7" s="99"/>
    </row>
    <row r="9" spans="1:11">
      <c r="A9" s="151" t="s">
        <v>55</v>
      </c>
      <c r="B9" s="151" t="s">
        <v>56</v>
      </c>
      <c r="C9" s="151"/>
      <c r="D9" s="151" t="s">
        <v>57</v>
      </c>
    </row>
    <row r="10" spans="1:11">
      <c r="A10" s="151" t="s">
        <v>31</v>
      </c>
      <c r="B10" s="152" t="s">
        <v>58</v>
      </c>
      <c r="C10" s="153"/>
      <c r="D10" s="135">
        <v>1</v>
      </c>
    </row>
    <row r="11" spans="1:11">
      <c r="A11" s="151" t="s">
        <v>32</v>
      </c>
      <c r="B11" s="152" t="s">
        <v>59</v>
      </c>
      <c r="C11" s="153"/>
      <c r="D11" s="135">
        <f>SUM(C12:C36)</f>
        <v>0.51339999999999997</v>
      </c>
    </row>
    <row r="12" spans="1:11">
      <c r="A12" s="151"/>
      <c r="B12" s="152"/>
      <c r="C12" s="134">
        <v>8.3299999999999999E-2</v>
      </c>
      <c r="D12" s="154"/>
    </row>
    <row r="13" spans="1:11">
      <c r="A13" s="151"/>
      <c r="B13" s="152"/>
      <c r="C13" s="134">
        <v>8.3299999999999999E-2</v>
      </c>
      <c r="D13" s="154"/>
    </row>
    <row r="14" spans="1:11">
      <c r="A14" s="151"/>
      <c r="B14" s="152"/>
      <c r="C14" s="134">
        <v>1E-3</v>
      </c>
      <c r="D14" s="154"/>
    </row>
    <row r="15" spans="1:11">
      <c r="A15" s="151"/>
      <c r="B15" s="152"/>
      <c r="C15" s="134">
        <v>1.12E-2</v>
      </c>
      <c r="D15" s="154"/>
    </row>
    <row r="16" spans="1:11">
      <c r="A16" s="151"/>
      <c r="B16" s="152"/>
      <c r="C16" s="134">
        <v>0.05</v>
      </c>
      <c r="D16" s="154"/>
    </row>
    <row r="17" spans="1:7">
      <c r="A17" s="151"/>
      <c r="B17" s="152"/>
      <c r="C17" s="134">
        <v>6.9599999999999995E-2</v>
      </c>
      <c r="D17" s="154"/>
    </row>
    <row r="18" spans="1:7">
      <c r="A18" s="151"/>
      <c r="B18" s="152"/>
      <c r="C18" s="134">
        <v>0.12</v>
      </c>
      <c r="D18" s="154"/>
    </row>
    <row r="19" spans="1:7">
      <c r="A19" s="151"/>
      <c r="B19" s="152"/>
      <c r="C19" s="134">
        <v>0.04</v>
      </c>
      <c r="D19" s="154"/>
    </row>
    <row r="20" spans="1:7">
      <c r="A20" s="151"/>
      <c r="B20" s="152"/>
      <c r="C20" s="134">
        <v>5.0000000000000001E-3</v>
      </c>
      <c r="D20" s="154"/>
      <c r="G20"/>
    </row>
    <row r="21" spans="1:7">
      <c r="A21" s="151"/>
      <c r="B21" s="152"/>
      <c r="C21" s="134">
        <v>5.0000000000000001E-3</v>
      </c>
      <c r="D21" s="154"/>
      <c r="G21"/>
    </row>
    <row r="22" spans="1:7">
      <c r="A22" s="151"/>
      <c r="B22" s="152"/>
      <c r="C22" s="134">
        <v>1.4999999999999999E-2</v>
      </c>
      <c r="D22" s="154"/>
      <c r="G22"/>
    </row>
    <row r="23" spans="1:7">
      <c r="A23" s="151"/>
      <c r="B23" s="152"/>
      <c r="C23" s="134">
        <v>0.02</v>
      </c>
      <c r="D23" s="154"/>
      <c r="G23"/>
    </row>
    <row r="24" spans="1:7">
      <c r="A24" s="151"/>
      <c r="B24" s="152"/>
      <c r="C24" s="134">
        <v>5.0000000000000001E-3</v>
      </c>
      <c r="D24" s="154"/>
    </row>
    <row r="25" spans="1:7">
      <c r="A25" s="151"/>
      <c r="B25" s="152"/>
      <c r="C25" s="134">
        <v>5.0000000000000001E-3</v>
      </c>
      <c r="D25" s="154"/>
    </row>
    <row r="26" spans="1:7">
      <c r="A26" s="151"/>
      <c r="B26" s="152"/>
      <c r="C26" s="134"/>
      <c r="D26" s="154"/>
    </row>
    <row r="27" spans="1:7" hidden="1">
      <c r="A27" s="151"/>
      <c r="B27" s="152"/>
      <c r="C27" s="134"/>
      <c r="D27" s="154"/>
    </row>
    <row r="28" spans="1:7" hidden="1">
      <c r="A28" s="151"/>
      <c r="B28" s="152"/>
      <c r="C28" s="134"/>
      <c r="D28" s="154"/>
    </row>
    <row r="29" spans="1:7" hidden="1">
      <c r="A29" s="151"/>
      <c r="B29" s="152"/>
      <c r="C29" s="134"/>
      <c r="D29" s="154"/>
    </row>
    <row r="30" spans="1:7" hidden="1">
      <c r="A30" s="153"/>
      <c r="B30" s="155"/>
      <c r="C30" s="134"/>
      <c r="D30" s="154"/>
    </row>
    <row r="31" spans="1:7" hidden="1">
      <c r="A31" s="153"/>
      <c r="B31" s="155"/>
      <c r="C31" s="134"/>
      <c r="D31" s="154"/>
    </row>
    <row r="32" spans="1:7" hidden="1">
      <c r="A32" s="151"/>
      <c r="B32" s="151"/>
      <c r="C32" s="134"/>
      <c r="D32" s="154"/>
    </row>
    <row r="33" spans="1:4" hidden="1">
      <c r="A33" s="151"/>
      <c r="B33" s="152"/>
      <c r="C33" s="134"/>
      <c r="D33" s="134"/>
    </row>
    <row r="34" spans="1:4" hidden="1">
      <c r="A34" s="151"/>
      <c r="B34" s="152"/>
      <c r="C34" s="134"/>
      <c r="D34" s="134"/>
    </row>
    <row r="35" spans="1:4" hidden="1">
      <c r="A35" s="151"/>
      <c r="B35" s="152"/>
      <c r="C35" s="134"/>
      <c r="D35" s="134"/>
    </row>
    <row r="36" spans="1:4" hidden="1">
      <c r="A36" s="151"/>
      <c r="B36" s="152"/>
      <c r="C36" s="134"/>
      <c r="D36" s="134"/>
    </row>
    <row r="37" spans="1:4">
      <c r="A37" s="268"/>
      <c r="B37" s="269"/>
      <c r="C37" s="269"/>
      <c r="D37" s="270"/>
    </row>
    <row r="38" spans="1:4">
      <c r="A38" s="151" t="s">
        <v>33</v>
      </c>
      <c r="B38" s="152" t="s">
        <v>60</v>
      </c>
      <c r="C38" s="153"/>
      <c r="D38" s="135">
        <f>SUM(C39:C61)</f>
        <v>0.24660000000000004</v>
      </c>
    </row>
    <row r="39" spans="1:4">
      <c r="A39" s="151"/>
      <c r="B39" s="152"/>
      <c r="C39" s="134">
        <v>1.4999999999999999E-2</v>
      </c>
      <c r="D39" s="136"/>
    </row>
    <row r="40" spans="1:4">
      <c r="A40" s="151"/>
      <c r="B40" s="152"/>
      <c r="C40" s="134">
        <v>0.03</v>
      </c>
      <c r="D40" s="136"/>
    </row>
    <row r="41" spans="1:4">
      <c r="A41" s="151"/>
      <c r="B41" s="152"/>
      <c r="C41" s="134">
        <v>1.9E-2</v>
      </c>
      <c r="D41" s="136"/>
    </row>
    <row r="42" spans="1:4">
      <c r="A42" s="151"/>
      <c r="B42" s="152"/>
      <c r="C42" s="134">
        <v>1.2999999999999999E-2</v>
      </c>
      <c r="D42" s="136"/>
    </row>
    <row r="43" spans="1:4">
      <c r="A43" s="151"/>
      <c r="B43" s="152"/>
      <c r="C43" s="134">
        <v>1.1599999999999999E-2</v>
      </c>
      <c r="D43" s="136"/>
    </row>
    <row r="44" spans="1:4">
      <c r="A44" s="151"/>
      <c r="B44" s="152"/>
      <c r="C44" s="134">
        <v>0.01</v>
      </c>
      <c r="D44" s="136"/>
    </row>
    <row r="45" spans="1:4">
      <c r="A45" s="151"/>
      <c r="B45" s="152"/>
      <c r="C45" s="134">
        <v>1.4999999999999999E-2</v>
      </c>
      <c r="D45" s="136"/>
    </row>
    <row r="46" spans="1:4">
      <c r="A46" s="151"/>
      <c r="B46" s="152"/>
      <c r="C46" s="134">
        <v>0.01</v>
      </c>
      <c r="D46" s="136"/>
    </row>
    <row r="47" spans="1:4">
      <c r="A47" s="151"/>
      <c r="B47" s="152"/>
      <c r="C47" s="134">
        <v>4.0000000000000001E-3</v>
      </c>
      <c r="D47" s="136"/>
    </row>
    <row r="48" spans="1:4">
      <c r="A48" s="151"/>
      <c r="B48" s="152"/>
      <c r="C48" s="134">
        <v>0.01</v>
      </c>
      <c r="D48" s="136"/>
    </row>
    <row r="49" spans="1:4">
      <c r="A49" s="151"/>
      <c r="B49" s="152"/>
      <c r="C49" s="134">
        <v>1E-3</v>
      </c>
      <c r="D49" s="136"/>
    </row>
    <row r="50" spans="1:4">
      <c r="A50" s="151"/>
      <c r="B50" s="152"/>
      <c r="C50" s="134">
        <v>4.0000000000000001E-3</v>
      </c>
      <c r="D50" s="136"/>
    </row>
    <row r="51" spans="1:4">
      <c r="A51" s="151"/>
      <c r="B51" s="152"/>
      <c r="C51" s="134">
        <v>1E-3</v>
      </c>
      <c r="D51" s="136"/>
    </row>
    <row r="52" spans="1:4">
      <c r="A52" s="151"/>
      <c r="B52" s="152"/>
      <c r="C52" s="134">
        <v>2E-3</v>
      </c>
      <c r="D52" s="136"/>
    </row>
    <row r="53" spans="1:4">
      <c r="A53" s="151"/>
      <c r="B53" s="152"/>
      <c r="C53" s="134">
        <v>0.03</v>
      </c>
      <c r="D53" s="136"/>
    </row>
    <row r="54" spans="1:4">
      <c r="A54" s="151"/>
      <c r="B54" s="152"/>
      <c r="C54" s="134">
        <v>2.5000000000000001E-2</v>
      </c>
      <c r="D54" s="136"/>
    </row>
    <row r="55" spans="1:4">
      <c r="A55" s="151"/>
      <c r="B55" s="152"/>
      <c r="C55" s="134">
        <v>1.4999999999999999E-2</v>
      </c>
      <c r="D55" s="136"/>
    </row>
    <row r="56" spans="1:4">
      <c r="A56" s="151"/>
      <c r="B56" s="152"/>
      <c r="C56" s="134">
        <v>1E-3</v>
      </c>
      <c r="D56" s="134"/>
    </row>
    <row r="57" spans="1:4">
      <c r="A57" s="181"/>
      <c r="B57" s="152"/>
      <c r="C57" s="134">
        <v>5.0000000000000001E-3</v>
      </c>
      <c r="D57" s="134"/>
    </row>
    <row r="58" spans="1:4">
      <c r="A58" s="181"/>
      <c r="B58" s="152"/>
      <c r="C58" s="134">
        <v>5.0000000000000001E-3</v>
      </c>
      <c r="D58" s="134"/>
    </row>
    <row r="59" spans="1:4">
      <c r="A59" s="181"/>
      <c r="B59" s="152"/>
      <c r="C59" s="134">
        <v>5.0000000000000001E-3</v>
      </c>
      <c r="D59" s="134"/>
    </row>
    <row r="60" spans="1:4">
      <c r="A60" s="151"/>
      <c r="B60" s="152"/>
      <c r="C60" s="134">
        <v>5.0000000000000001E-3</v>
      </c>
      <c r="D60" s="134"/>
    </row>
    <row r="61" spans="1:4">
      <c r="A61" s="181"/>
      <c r="B61" s="152"/>
      <c r="C61" s="134">
        <v>0.01</v>
      </c>
      <c r="D61" s="134"/>
    </row>
    <row r="62" spans="1:4" hidden="1">
      <c r="A62" s="181"/>
      <c r="B62" s="152"/>
      <c r="C62" s="134"/>
      <c r="D62" s="134"/>
    </row>
    <row r="63" spans="1:4" hidden="1">
      <c r="A63" s="153"/>
      <c r="B63" s="155"/>
      <c r="C63" s="134"/>
      <c r="D63" s="135"/>
    </row>
    <row r="64" spans="1:4" hidden="1">
      <c r="A64" s="151"/>
      <c r="B64" s="151"/>
      <c r="C64" s="134"/>
      <c r="D64" s="151"/>
    </row>
    <row r="65" spans="1:4">
      <c r="A65" s="268"/>
      <c r="B65" s="269"/>
      <c r="C65" s="269"/>
      <c r="D65" s="270"/>
    </row>
    <row r="66" spans="1:4">
      <c r="A66" s="151" t="s">
        <v>34</v>
      </c>
      <c r="B66" s="152" t="s">
        <v>68</v>
      </c>
      <c r="C66" s="153"/>
      <c r="D66" s="135">
        <v>0.24</v>
      </c>
    </row>
    <row r="67" spans="1:4">
      <c r="A67" s="271"/>
      <c r="B67" s="271"/>
      <c r="C67" s="271"/>
      <c r="D67" s="271"/>
    </row>
    <row r="68" spans="1:4" ht="15">
      <c r="A68" s="272" t="s">
        <v>67</v>
      </c>
      <c r="B68" s="272"/>
      <c r="C68" s="153"/>
      <c r="D68" s="186">
        <f>+D66+D38+D11+D10</f>
        <v>2</v>
      </c>
    </row>
  </sheetData>
  <sheetProtection algorithmName="SHA-512" hashValue="bxD6SQOg8JlErndnkIVVisQcEe58w7Cqb7RaVCQXmDeMhA4lcsEHoBkbbMU2kVIWBHMaV5f4s66CkGUJ4gnFvA==" saltValue="yGNOMi/65bj2g/JQ/J6eDQ==" spinCount="100000" sheet="1" objects="1" scenarios="1"/>
  <mergeCells count="6">
    <mergeCell ref="A37:D37"/>
    <mergeCell ref="A65:D65"/>
    <mergeCell ref="A67:D67"/>
    <mergeCell ref="A68:B68"/>
    <mergeCell ref="A1:D2"/>
    <mergeCell ref="C4:D6"/>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EE2F2251-FAAF-42C6-B372-F33D3E6333C0}">
  <ds:schemaRefs>
    <ds:schemaRef ds:uri="http://schemas.microsoft.com/sharepoint/v3/contenttype/forms"/>
  </ds:schemaRefs>
</ds:datastoreItem>
</file>

<file path=customXml/itemProps3.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Sonda</cp:lastModifiedBy>
  <cp:lastPrinted>2019-11-28T19:21:53Z</cp:lastPrinted>
  <dcterms:created xsi:type="dcterms:W3CDTF">2009-10-05T18:30:32Z</dcterms:created>
  <dcterms:modified xsi:type="dcterms:W3CDTF">2020-07-01T22:47:10Z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