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ermv-my.sharepoint.com/personal/angel_jerez_umv_gov_co/Documents/2024/Estudios del Sector/CONTENEDORES MODULARES/"/>
    </mc:Choice>
  </mc:AlternateContent>
  <xr:revisionPtr revIDLastSave="8" documentId="8_{2E0A567C-C970-478D-8BFB-80361087B3BA}" xr6:coauthVersionLast="47" xr6:coauthVersionMax="47" xr10:uidLastSave="{3727BB0C-E641-4A43-86E7-512E12CE1100}"/>
  <bookViews>
    <workbookView xWindow="-120" yWindow="-120" windowWidth="20730" windowHeight="11040" tabRatio="750" activeTab="1" xr2:uid="{00000000-000D-0000-FFFF-FFFF00000000}"/>
  </bookViews>
  <sheets>
    <sheet name="TAB. INICIAL" sheetId="3" r:id="rId1"/>
    <sheet name="DEPURADA" sheetId="2" r:id="rId2"/>
  </sheets>
  <definedNames>
    <definedName name="_xlnm._FilterDatabase" localSheetId="1" hidden="1">DEPURADA!#REF!</definedName>
    <definedName name="_xlnm._FilterDatabase" localSheetId="0" hidden="1">'TAB. INICIAL'!#REF!</definedName>
    <definedName name="_xlnm.Print_Area" localSheetId="1">DEPURADA!$A$1:$V$13</definedName>
    <definedName name="_xlnm.Print_Area" localSheetId="0">'TAB. INICIAL'!$A$1:$V$13</definedName>
    <definedName name="dol" localSheetId="1">#REF!</definedName>
    <definedName name="dol" localSheetId="0">#REF!</definedName>
    <definedName name="dol">#REF!</definedName>
    <definedName name="DOLAR">#REF!</definedName>
    <definedName name="DOLAR1" localSheetId="1">#REF!</definedName>
    <definedName name="DOLAR1" localSheetId="0">#REF!</definedName>
    <definedName name="DOLAR1">#REF!</definedName>
    <definedName name="LO" localSheetId="1">#REF!</definedName>
    <definedName name="LO" localSheetId="0">#REF!</definedName>
    <definedName name="L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2" l="1"/>
  <c r="N20" i="3"/>
  <c r="M20" i="3"/>
  <c r="L20" i="3"/>
  <c r="K20" i="3"/>
  <c r="J20" i="3"/>
  <c r="I20" i="3"/>
  <c r="H20" i="3"/>
  <c r="O11" i="3"/>
  <c r="L11" i="3"/>
  <c r="K11" i="3"/>
  <c r="J11" i="3"/>
  <c r="H11" i="3"/>
  <c r="R11" i="3" s="1"/>
  <c r="P10" i="3"/>
  <c r="Q10" i="3" s="1"/>
  <c r="N10" i="3"/>
  <c r="M10" i="3"/>
  <c r="L10" i="3"/>
  <c r="R10" i="3" s="1"/>
  <c r="S10" i="3" s="1"/>
  <c r="T10" i="3" s="1"/>
  <c r="U10" i="3" s="1"/>
  <c r="I10" i="3"/>
  <c r="O10" i="3" s="1"/>
  <c r="P11" i="3" l="1"/>
  <c r="Q11" i="3" s="1"/>
  <c r="Q12" i="3" s="1"/>
  <c r="N20" i="2"/>
  <c r="M20" i="2"/>
  <c r="M10" i="2" s="1"/>
  <c r="L20" i="2"/>
  <c r="K20" i="2"/>
  <c r="K11" i="2" s="1"/>
  <c r="J20" i="2"/>
  <c r="I20" i="2"/>
  <c r="I10" i="2" s="1"/>
  <c r="H20" i="2"/>
  <c r="L11" i="2"/>
  <c r="J11" i="2"/>
  <c r="N10" i="2"/>
  <c r="L10" i="2"/>
  <c r="S11" i="3" l="1"/>
  <c r="T11" i="3" s="1"/>
  <c r="U11" i="3" s="1"/>
  <c r="R11" i="2"/>
  <c r="O10" i="2"/>
  <c r="R10" i="2"/>
  <c r="P10" i="2"/>
  <c r="Q10" i="2" s="1"/>
  <c r="O11" i="2"/>
  <c r="P11" i="2"/>
  <c r="Q11" i="2" s="1"/>
  <c r="Q12" i="2" l="1"/>
  <c r="S10" i="2"/>
  <c r="S11" i="2"/>
  <c r="T11" i="2" s="1"/>
  <c r="U11" i="2" s="1"/>
  <c r="T10" i="2" l="1"/>
  <c r="U10" i="2" s="1"/>
</calcChain>
</file>

<file path=xl/sharedStrings.xml><?xml version="1.0" encoding="utf-8"?>
<sst xmlns="http://schemas.openxmlformats.org/spreadsheetml/2006/main" count="132" uniqueCount="51">
  <si>
    <t>FORMATO CUADRO DE TABULACIÓN Y ANÁLISIS DE DATOS ESTADÍSTICOS - ESTUDIO DE SECTOR</t>
  </si>
  <si>
    <t>CÓDIGO: GCON-FM-029</t>
  </si>
  <si>
    <t>FECHA DE APLICACIÓN: DICIEMBRE DE 2021</t>
  </si>
  <si>
    <t>COTIZACIONES GESTIONADAS PARA EL ESTUDIO DE SECTOR</t>
  </si>
  <si>
    <t>CONTRATACIONES ANTERIORES UAERMV</t>
  </si>
  <si>
    <t>ITEM</t>
  </si>
  <si>
    <t>DESCRIPCIÓN</t>
  </si>
  <si>
    <t>UND</t>
  </si>
  <si>
    <t>VALOR UNITARIO INCLUIDO  IVA</t>
  </si>
  <si>
    <t>PRECIOS TRAIDOS A VALOR PRESENTE 2024</t>
  </si>
  <si>
    <t>MUESTRA</t>
  </si>
  <si>
    <t>VALOR PROMEDIO UNITARIO</t>
  </si>
  <si>
    <t>VALOR PROMEDIO TOTAL</t>
  </si>
  <si>
    <t>DESVIACION ESTANDAR</t>
  </si>
  <si>
    <t>COEF VARIACION</t>
  </si>
  <si>
    <t>MARGEN DE CONFIABILIDAD</t>
  </si>
  <si>
    <t>NIVEL DE CONFIABILIDAD DE LOS DATOS</t>
  </si>
  <si>
    <t>Total</t>
  </si>
  <si>
    <t xml:space="preserve"> </t>
  </si>
  <si>
    <t>CONTRATACIONES EN OTRAS ENTIDADES</t>
  </si>
  <si>
    <t>INDICE</t>
  </si>
  <si>
    <r>
      <rPr>
        <b/>
        <sz val="12"/>
        <rFont val="Calibri"/>
        <family val="2"/>
        <scheme val="minor"/>
      </rPr>
      <t>Proyectó</t>
    </r>
    <r>
      <rPr>
        <sz val="12"/>
        <rFont val="Calibri"/>
        <family val="2"/>
        <scheme val="minor"/>
      </rPr>
      <t>: Angel Leonardo Jerez Carvajal</t>
    </r>
  </si>
  <si>
    <r>
      <rPr>
        <b/>
        <sz val="12"/>
        <color theme="1"/>
        <rFont val="Calibri"/>
        <family val="2"/>
        <scheme val="minor"/>
      </rPr>
      <t>Fuente del IPC:</t>
    </r>
    <r>
      <rPr>
        <sz val="12"/>
        <color theme="1"/>
        <rFont val="Calibri"/>
        <family val="2"/>
        <scheme val="minor"/>
      </rPr>
      <t xml:space="preserve"> Banco de la República</t>
    </r>
  </si>
  <si>
    <r>
      <rPr>
        <b/>
        <sz val="12"/>
        <color theme="1"/>
        <rFont val="Calibri"/>
        <family val="2"/>
        <scheme val="minor"/>
      </rPr>
      <t>Metodología empleada:</t>
    </r>
    <r>
      <rPr>
        <sz val="12"/>
        <color theme="1"/>
        <rFont val="Calibri"/>
        <family val="2"/>
        <scheme val="minor"/>
      </rPr>
      <t xml:space="preserve"> Pindick y Rubenfield (2009) - Microeconomía 7 ed. pp. 14-16</t>
    </r>
  </si>
  <si>
    <t>SUMINISTRO, INSTALACIÓN Y ADECUACIÓN A TODO COSTO DE CONTENEDORES MODULARES PARA ACTIVIDADES ADMINISTRATIVAS, LOGÍSTICAS Y OPERATIVAS DE LA UAERMV</t>
  </si>
  <si>
    <t>Contenedor para bodega 20ft</t>
  </si>
  <si>
    <t>Contenedor para actividades administrativas 20ft</t>
  </si>
  <si>
    <t>TABULACION INICIAL COTIZACIONES, CONTRATACIONES  VIGENCIA ANTERIOR DE LA UAERMV PARA EL ESTUDIO DE SECTOR
PRESUPUESTO</t>
  </si>
  <si>
    <t>IPC DIC 2021</t>
  </si>
  <si>
    <t>IPC OCT 2023</t>
  </si>
  <si>
    <t>IPC MAY 2021</t>
  </si>
  <si>
    <t>Contrato No. 418 de 18/05/2021</t>
  </si>
  <si>
    <t>WORLD M&amp;D, EFECTIVIDAD E INNOVACION</t>
  </si>
  <si>
    <t>Econtainers S.A.S</t>
  </si>
  <si>
    <t>UNION TEMPORAL CONTENEDORES 2021</t>
  </si>
  <si>
    <t>IPC NOV 2021</t>
  </si>
  <si>
    <t>RHOSER INGENIERIA S.A.S</t>
  </si>
  <si>
    <t>CONINCAG SAS</t>
  </si>
  <si>
    <t>IPC JUL 2020</t>
  </si>
  <si>
    <t>ANTBOX</t>
  </si>
  <si>
    <t>ESM SOLUTIONS SAS</t>
  </si>
  <si>
    <t>COLDEGRAP</t>
  </si>
  <si>
    <t>IPC SEP 2024</t>
  </si>
  <si>
    <t>LOS VALORES DE CONTRATOS DE LA UAERMV Y DE OTRAS ENTIDADES ESTAN INDEXADOS A SEPTIEMBRE DE 2024</t>
  </si>
  <si>
    <t xml:space="preserve">ANTBOX
</t>
  </si>
  <si>
    <t>SENA REGIONAL RISARALDA
MC-RSR-CASA-140-2024</t>
  </si>
  <si>
    <t>INCIVA
MC-024-2023</t>
  </si>
  <si>
    <t>DEPARTAMENTO DEL ATLANTICO
MC-020-2021</t>
  </si>
  <si>
    <t>ALCALDIA MUNICIPAL DE CHIA
SAMC 024-2021</t>
  </si>
  <si>
    <t>Jardín Botánico José Celestino Mutis
JBB-SA-SI-013-2021</t>
  </si>
  <si>
    <t>FISCALÍA GENERAL DE LA NACIÓN REGIONAL NOROCCIDENTAL
FGN-RNOCC.MC.0017.2020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</si>
</sst>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(&quot;$&quot;\ * #,##0.00_);_(&quot;$&quot;\ * \(#,##0.00\);_(&quot;$&quot;\ * &quot;-&quot;??_);_(@_)"/>
    <numFmt numFmtId="167" formatCode="_-* #,##0_-;\-* #,##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5" fillId="0" borderId="0" xfId="0" applyFont="1" applyAlignment="1">
      <alignment vertical="center" wrapText="1"/>
    </xf>
    <xf numFmtId="0" fontId="0" fillId="2" borderId="0" xfId="0" applyFill="1"/>
    <xf numFmtId="0" fontId="6" fillId="0" borderId="0" xfId="0" applyFont="1" applyAlignment="1">
      <alignment vertical="center" wrapText="1"/>
    </xf>
    <xf numFmtId="0" fontId="7" fillId="2" borderId="0" xfId="0" applyFont="1" applyFill="1"/>
    <xf numFmtId="0" fontId="2" fillId="2" borderId="0" xfId="0" applyFont="1" applyFill="1" applyAlignment="1">
      <alignment horizontal="left" wrapText="1"/>
    </xf>
    <xf numFmtId="165" fontId="19" fillId="6" borderId="19" xfId="0" applyNumberFormat="1" applyFont="1" applyFill="1" applyBorder="1" applyAlignment="1">
      <alignment horizontal="center" vertical="center" wrapText="1"/>
    </xf>
    <xf numFmtId="167" fontId="2" fillId="7" borderId="22" xfId="3" applyNumberFormat="1" applyFont="1" applyFill="1" applyBorder="1" applyAlignment="1">
      <alignment horizontal="center"/>
    </xf>
    <xf numFmtId="0" fontId="2" fillId="7" borderId="22" xfId="0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21" fillId="0" borderId="0" xfId="0" applyFont="1"/>
    <xf numFmtId="0" fontId="1" fillId="0" borderId="22" xfId="0" applyFont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2" fontId="1" fillId="2" borderId="22" xfId="0" applyNumberFormat="1" applyFont="1" applyFill="1" applyBorder="1" applyAlignment="1">
      <alignment horizontal="center"/>
    </xf>
    <xf numFmtId="0" fontId="23" fillId="2" borderId="0" xfId="0" applyFont="1" applyFill="1"/>
    <xf numFmtId="0" fontId="23" fillId="0" borderId="0" xfId="1" applyNumberFormat="1" applyFont="1" applyFill="1" applyBorder="1" applyAlignment="1">
      <alignment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1" fontId="18" fillId="0" borderId="20" xfId="1" applyNumberFormat="1" applyFont="1" applyFill="1" applyBorder="1" applyAlignment="1">
      <alignment horizontal="center" vertical="center"/>
    </xf>
    <xf numFmtId="1" fontId="18" fillId="0" borderId="19" xfId="1" applyNumberFormat="1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165" fontId="16" fillId="0" borderId="19" xfId="0" applyNumberFormat="1" applyFont="1" applyBorder="1" applyAlignment="1">
      <alignment horizontal="center" vertical="center" wrapText="1"/>
    </xf>
    <xf numFmtId="165" fontId="16" fillId="2" borderId="19" xfId="0" applyNumberFormat="1" applyFont="1" applyFill="1" applyBorder="1" applyAlignment="1">
      <alignment horizontal="center" vertical="center" wrapText="1"/>
    </xf>
    <xf numFmtId="164" fontId="16" fillId="2" borderId="19" xfId="1" applyFont="1" applyFill="1" applyBorder="1" applyAlignment="1">
      <alignment vertical="center"/>
    </xf>
    <xf numFmtId="39" fontId="16" fillId="2" borderId="19" xfId="0" applyNumberFormat="1" applyFont="1" applyFill="1" applyBorder="1" applyAlignment="1">
      <alignment vertical="center"/>
    </xf>
    <xf numFmtId="39" fontId="16" fillId="2" borderId="19" xfId="0" applyNumberFormat="1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 wrapText="1"/>
    </xf>
    <xf numFmtId="0" fontId="16" fillId="0" borderId="19" xfId="1" applyNumberFormat="1" applyFont="1" applyFill="1" applyBorder="1" applyAlignment="1">
      <alignment vertical="center" wrapText="1"/>
    </xf>
    <xf numFmtId="0" fontId="0" fillId="0" borderId="22" xfId="0" applyBorder="1" applyAlignment="1">
      <alignment horizontal="center"/>
    </xf>
    <xf numFmtId="0" fontId="0" fillId="2" borderId="22" xfId="0" applyFill="1" applyBorder="1" applyAlignment="1">
      <alignment horizontal="center"/>
    </xf>
    <xf numFmtId="2" fontId="0" fillId="2" borderId="22" xfId="0" applyNumberFormat="1" applyFill="1" applyBorder="1" applyAlignment="1">
      <alignment horizontal="center"/>
    </xf>
    <xf numFmtId="0" fontId="20" fillId="2" borderId="0" xfId="0" applyFont="1" applyFill="1" applyAlignment="1">
      <alignment horizontal="left" wrapText="1"/>
    </xf>
    <xf numFmtId="165" fontId="16" fillId="9" borderId="19" xfId="0" applyNumberFormat="1" applyFont="1" applyFill="1" applyBorder="1" applyAlignment="1">
      <alignment vertical="center"/>
    </xf>
    <xf numFmtId="165" fontId="16" fillId="10" borderId="19" xfId="0" applyNumberFormat="1" applyFont="1" applyFill="1" applyBorder="1" applyAlignment="1">
      <alignment vertical="center"/>
    </xf>
    <xf numFmtId="0" fontId="10" fillId="4" borderId="21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0" fillId="2" borderId="0" xfId="0" applyFont="1" applyFill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9" fillId="6" borderId="11" xfId="0" applyFont="1" applyFill="1" applyBorder="1" applyAlignment="1">
      <alignment horizontal="center" vertical="center"/>
    </xf>
    <xf numFmtId="0" fontId="19" fillId="6" borderId="20" xfId="0" applyFont="1" applyFill="1" applyBorder="1" applyAlignment="1">
      <alignment horizontal="center" vertical="center"/>
    </xf>
    <xf numFmtId="164" fontId="18" fillId="2" borderId="11" xfId="1" applyFont="1" applyFill="1" applyBorder="1" applyAlignment="1">
      <alignment horizontal="center" vertical="center"/>
    </xf>
    <xf numFmtId="164" fontId="18" fillId="2" borderId="12" xfId="1" applyFont="1" applyFill="1" applyBorder="1" applyAlignment="1">
      <alignment horizontal="center" vertical="center"/>
    </xf>
    <xf numFmtId="164" fontId="18" fillId="2" borderId="20" xfId="1" applyFont="1" applyFill="1" applyBorder="1" applyAlignment="1">
      <alignment horizontal="center" vertical="center"/>
    </xf>
  </cellXfs>
  <cellStyles count="9">
    <cellStyle name="Millares" xfId="3" builtinId="3"/>
    <cellStyle name="Millares 2" xfId="4" xr:uid="{0AF2B3C5-3B42-4921-B07D-2BEFF9A21BAD}"/>
    <cellStyle name="Millares 2 2" xfId="7" xr:uid="{CD6CCC99-F986-457A-9D69-726FC14E77AC}"/>
    <cellStyle name="Millares 3" xfId="6" xr:uid="{4DADB352-17A6-4DED-990F-7264BD55A7E5}"/>
    <cellStyle name="Moneda" xfId="1" builtinId="4"/>
    <cellStyle name="Moneda 2" xfId="2" xr:uid="{00000000-0005-0000-0000-000002000000}"/>
    <cellStyle name="Moneda 3" xfId="5" xr:uid="{DBA907E9-9FCB-42BA-9A84-1679B4F84D72}"/>
    <cellStyle name="Moneda 3 2" xfId="8" xr:uid="{0A2C94DD-31B7-402F-AF33-3B786A790F49}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1470024</xdr:colOff>
      <xdr:row>3</xdr:row>
      <xdr:rowOff>187138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7FCCCB-644D-4650-9D4B-0450596C3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62024" cy="8634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1470024</xdr:colOff>
      <xdr:row>3</xdr:row>
      <xdr:rowOff>187138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00ADC6-6B28-4DE3-B52C-CCC2519CA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62024" cy="8634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70FC1-2E6C-40E4-B55E-ABC8603F6628}">
  <sheetPr>
    <tabColor theme="9" tint="-0.249977111117893"/>
    <pageSetUpPr fitToPage="1"/>
  </sheetPr>
  <dimension ref="B2:V20"/>
  <sheetViews>
    <sheetView showGridLines="0" topLeftCell="A4" zoomScale="70" zoomScaleNormal="70" zoomScaleSheetLayoutView="70" zoomScalePageLayoutView="85" workbookViewId="0">
      <pane xSplit="4" topLeftCell="E1" activePane="topRight" state="frozen"/>
      <selection pane="topRight" activeCell="E10" sqref="E10:E11"/>
    </sheetView>
  </sheetViews>
  <sheetFormatPr baseColWidth="10" defaultColWidth="11.42578125" defaultRowHeight="21" x14ac:dyDescent="0.35"/>
  <cols>
    <col min="1" max="1" width="4.28515625" style="2" customWidth="1"/>
    <col min="2" max="2" width="7.28515625" style="2" customWidth="1"/>
    <col min="3" max="3" width="61.28515625" style="2" customWidth="1"/>
    <col min="4" max="4" width="13.28515625" style="2" bestFit="1" customWidth="1"/>
    <col min="5" max="6" width="22.7109375" style="2" customWidth="1"/>
    <col min="7" max="11" width="22.28515625" style="2" customWidth="1"/>
    <col min="12" max="13" width="22.140625" style="2" customWidth="1"/>
    <col min="14" max="14" width="23.42578125" style="2" bestFit="1" customWidth="1"/>
    <col min="15" max="15" width="18.42578125" style="2" customWidth="1"/>
    <col min="16" max="16" width="19.5703125" style="2" customWidth="1"/>
    <col min="17" max="17" width="26.28515625" style="2" customWidth="1"/>
    <col min="18" max="18" width="21.28515625" style="2" customWidth="1"/>
    <col min="19" max="19" width="21.5703125" style="2" customWidth="1"/>
    <col min="20" max="20" width="28.28515625" style="2" customWidth="1"/>
    <col min="21" max="21" width="30.28515625" style="2" customWidth="1"/>
    <col min="22" max="22" width="20.28515625" style="4" customWidth="1"/>
    <col min="23" max="16384" width="11.42578125" style="2"/>
  </cols>
  <sheetData>
    <row r="2" spans="2:22" ht="39.75" customHeight="1" x14ac:dyDescent="0.25">
      <c r="B2" s="42"/>
      <c r="C2" s="43"/>
      <c r="D2" s="48" t="s">
        <v>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50"/>
      <c r="V2" s="1"/>
    </row>
    <row r="3" spans="2:22" ht="17.25" customHeight="1" x14ac:dyDescent="0.25">
      <c r="B3" s="44"/>
      <c r="C3" s="45"/>
      <c r="D3" s="51" t="s">
        <v>1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3"/>
      <c r="V3" s="3"/>
    </row>
    <row r="4" spans="2:22" ht="17.25" customHeight="1" x14ac:dyDescent="0.25">
      <c r="B4" s="46"/>
      <c r="C4" s="47"/>
      <c r="D4" s="51" t="s">
        <v>2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3"/>
      <c r="V4" s="3"/>
    </row>
    <row r="5" spans="2:22" ht="15.75" customHeight="1" thickBot="1" x14ac:dyDescent="0.4"/>
    <row r="6" spans="2:22" ht="57" thickBot="1" x14ac:dyDescent="0.4">
      <c r="B6" s="54" t="s">
        <v>27</v>
      </c>
      <c r="C6" s="55"/>
      <c r="D6" s="55"/>
      <c r="E6" s="60" t="s">
        <v>3</v>
      </c>
      <c r="F6" s="61"/>
      <c r="G6" s="61"/>
      <c r="H6" s="64" t="s">
        <v>19</v>
      </c>
      <c r="I6" s="65"/>
      <c r="J6" s="65"/>
      <c r="K6" s="65"/>
      <c r="L6" s="65"/>
      <c r="M6" s="66"/>
      <c r="N6" s="16" t="s">
        <v>4</v>
      </c>
      <c r="O6" s="67" t="s">
        <v>24</v>
      </c>
      <c r="P6" s="68"/>
      <c r="Q6" s="68"/>
      <c r="R6" s="68"/>
      <c r="S6" s="68"/>
      <c r="T6" s="68"/>
      <c r="U6" s="69"/>
    </row>
    <row r="7" spans="2:22" ht="150.75" thickBot="1" x14ac:dyDescent="0.4">
      <c r="B7" s="56"/>
      <c r="C7" s="57"/>
      <c r="D7" s="57"/>
      <c r="E7" s="62"/>
      <c r="F7" s="63"/>
      <c r="G7" s="63"/>
      <c r="H7" s="38" t="s">
        <v>45</v>
      </c>
      <c r="I7" s="38" t="s">
        <v>46</v>
      </c>
      <c r="J7" s="38" t="s">
        <v>47</v>
      </c>
      <c r="K7" s="38" t="s">
        <v>48</v>
      </c>
      <c r="L7" s="38" t="s">
        <v>49</v>
      </c>
      <c r="M7" s="38" t="s">
        <v>50</v>
      </c>
      <c r="N7" s="39" t="s">
        <v>31</v>
      </c>
      <c r="O7" s="70"/>
      <c r="P7" s="70"/>
      <c r="Q7" s="70"/>
      <c r="R7" s="70"/>
      <c r="S7" s="70"/>
      <c r="T7" s="70"/>
      <c r="U7" s="71"/>
    </row>
    <row r="8" spans="2:22" ht="75.75" thickBot="1" x14ac:dyDescent="0.4">
      <c r="B8" s="58"/>
      <c r="C8" s="59"/>
      <c r="D8" s="59"/>
      <c r="E8" s="17" t="s">
        <v>39</v>
      </c>
      <c r="F8" s="17" t="s">
        <v>41</v>
      </c>
      <c r="G8" s="17" t="s">
        <v>40</v>
      </c>
      <c r="H8" s="40" t="s">
        <v>44</v>
      </c>
      <c r="I8" s="40" t="s">
        <v>33</v>
      </c>
      <c r="J8" s="40" t="s">
        <v>36</v>
      </c>
      <c r="K8" s="40" t="s">
        <v>34</v>
      </c>
      <c r="L8" s="40" t="s">
        <v>33</v>
      </c>
      <c r="M8" s="40" t="s">
        <v>37</v>
      </c>
      <c r="N8" s="40" t="s">
        <v>32</v>
      </c>
      <c r="O8" s="72"/>
      <c r="P8" s="72"/>
      <c r="Q8" s="72"/>
      <c r="R8" s="72"/>
      <c r="S8" s="72"/>
      <c r="T8" s="72"/>
      <c r="U8" s="73"/>
    </row>
    <row r="9" spans="2:22" ht="32.25" thickBot="1" x14ac:dyDescent="0.4">
      <c r="B9" s="19" t="s">
        <v>5</v>
      </c>
      <c r="C9" s="18" t="s">
        <v>6</v>
      </c>
      <c r="D9" s="18" t="s">
        <v>7</v>
      </c>
      <c r="E9" s="74" t="s">
        <v>8</v>
      </c>
      <c r="F9" s="75"/>
      <c r="G9" s="76"/>
      <c r="H9" s="74" t="s">
        <v>9</v>
      </c>
      <c r="I9" s="75"/>
      <c r="J9" s="75"/>
      <c r="K9" s="75"/>
      <c r="L9" s="75"/>
      <c r="M9" s="75"/>
      <c r="N9" s="76"/>
      <c r="O9" s="30" t="s">
        <v>10</v>
      </c>
      <c r="P9" s="30" t="s">
        <v>11</v>
      </c>
      <c r="Q9" s="30" t="s">
        <v>12</v>
      </c>
      <c r="R9" s="30" t="s">
        <v>13</v>
      </c>
      <c r="S9" s="30" t="s">
        <v>14</v>
      </c>
      <c r="T9" s="30" t="s">
        <v>15</v>
      </c>
      <c r="U9" s="30" t="s">
        <v>16</v>
      </c>
    </row>
    <row r="10" spans="2:22" ht="37.5" customHeight="1" thickBot="1" x14ac:dyDescent="0.4">
      <c r="B10" s="20">
        <v>1</v>
      </c>
      <c r="C10" s="31" t="s">
        <v>25</v>
      </c>
      <c r="D10" s="21">
        <v>1</v>
      </c>
      <c r="E10" s="36">
        <v>36295000</v>
      </c>
      <c r="F10" s="36">
        <v>112000000</v>
      </c>
      <c r="G10" s="36">
        <v>122000000</v>
      </c>
      <c r="H10" s="18"/>
      <c r="I10" s="36">
        <f>16954000*I20</f>
        <v>17894577.354342252</v>
      </c>
      <c r="J10" s="18"/>
      <c r="K10" s="18"/>
      <c r="L10" s="36">
        <f>19983186*L20</f>
        <v>25832317.096490443</v>
      </c>
      <c r="M10" s="36">
        <f>17278800*M20</f>
        <v>23706704.544155475</v>
      </c>
      <c r="N10" s="36">
        <f>14900000*N20</f>
        <v>19716078.647556048</v>
      </c>
      <c r="O10" s="23">
        <f>COUNT(E10:N10)</f>
        <v>7</v>
      </c>
      <c r="P10" s="24">
        <f>IFERROR(ROUND(AVERAGE(E10:N10),0),0)</f>
        <v>51063525</v>
      </c>
      <c r="Q10" s="25">
        <f>P10*D10</f>
        <v>51063525</v>
      </c>
      <c r="R10" s="26">
        <f>IFERROR(STDEVP(E10:N10),0)</f>
        <v>42141255.252831429</v>
      </c>
      <c r="S10" s="27">
        <f>IFERROR(R10/P10*100,0)</f>
        <v>82.527117453860527</v>
      </c>
      <c r="T10" s="28">
        <f>100-S10</f>
        <v>17.472882546139473</v>
      </c>
      <c r="U10" s="29" t="str">
        <f>IF(T10&gt;70,"ALTO","BAJO")</f>
        <v>BAJO</v>
      </c>
    </row>
    <row r="11" spans="2:22" ht="37.5" customHeight="1" thickBot="1" x14ac:dyDescent="0.4">
      <c r="B11" s="20">
        <v>2</v>
      </c>
      <c r="C11" s="31" t="s">
        <v>26</v>
      </c>
      <c r="D11" s="22">
        <v>1</v>
      </c>
      <c r="E11" s="36">
        <v>40460000</v>
      </c>
      <c r="F11" s="36">
        <v>195000000</v>
      </c>
      <c r="G11" s="36">
        <v>208000000</v>
      </c>
      <c r="H11" s="36">
        <f>27370000*H20</f>
        <v>27370000</v>
      </c>
      <c r="I11" s="18"/>
      <c r="J11" s="36">
        <f>30000000*J20</f>
        <v>39414340.448823206</v>
      </c>
      <c r="K11" s="36">
        <f>26900000*K20</f>
        <v>35028372.513562389</v>
      </c>
      <c r="L11" s="36">
        <f>27742886*L20</f>
        <v>35863301.693923347</v>
      </c>
      <c r="M11" s="18"/>
      <c r="N11" s="18"/>
      <c r="O11" s="23">
        <f>COUNT(E11:N11)</f>
        <v>7</v>
      </c>
      <c r="P11" s="24">
        <f>IFERROR(ROUND(AVERAGE(E11:N11),0),0)</f>
        <v>83019431</v>
      </c>
      <c r="Q11" s="25">
        <f>P11*D11</f>
        <v>83019431</v>
      </c>
      <c r="R11" s="26">
        <f>IFERROR(STDEVP(E11:N11),0)</f>
        <v>75115340.782931432</v>
      </c>
      <c r="S11" s="27">
        <f>IFERROR(R11/P11*100,0)</f>
        <v>90.479228631344668</v>
      </c>
      <c r="T11" s="28">
        <f t="shared" ref="T11" si="0">100-S11</f>
        <v>9.5207713686553319</v>
      </c>
      <c r="U11" s="29" t="str">
        <f t="shared" ref="U11" si="1">IF(T11&gt;70,"ALTO","BAJO")</f>
        <v>BAJO</v>
      </c>
    </row>
    <row r="12" spans="2:22" s="4" customFormat="1" ht="57" customHeight="1" thickBot="1" x14ac:dyDescent="0.4">
      <c r="B12" s="77" t="s">
        <v>18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9" t="s">
        <v>17</v>
      </c>
      <c r="P12" s="80"/>
      <c r="Q12" s="6">
        <f>SUM(Q10:Q11)</f>
        <v>134082956</v>
      </c>
      <c r="R12" s="81"/>
      <c r="S12" s="82"/>
      <c r="T12" s="82"/>
      <c r="U12" s="83"/>
    </row>
    <row r="13" spans="2:22" s="4" customFormat="1" ht="19.5" customHeight="1" x14ac:dyDescent="0.35">
      <c r="B13" s="2"/>
      <c r="C13" s="41" t="s">
        <v>43</v>
      </c>
      <c r="D13" s="41"/>
      <c r="E13" s="41"/>
      <c r="F13" s="41"/>
      <c r="G13" s="41"/>
      <c r="H13" s="35"/>
      <c r="I13" s="35"/>
      <c r="J13" s="35"/>
      <c r="K13" s="35"/>
      <c r="L13" s="35"/>
      <c r="M13" s="35"/>
      <c r="N13" s="5"/>
      <c r="O13" s="5"/>
      <c r="P13" s="5"/>
      <c r="Q13" s="5"/>
      <c r="R13" s="5"/>
      <c r="S13" s="5"/>
      <c r="T13" s="5"/>
      <c r="U13" s="5"/>
    </row>
    <row r="14" spans="2:22" x14ac:dyDescent="0.35">
      <c r="C14" s="10" t="s">
        <v>21</v>
      </c>
    </row>
    <row r="15" spans="2:22" x14ac:dyDescent="0.35">
      <c r="H15" s="8" t="s">
        <v>42</v>
      </c>
      <c r="I15" s="7" t="s">
        <v>29</v>
      </c>
      <c r="J15" s="7" t="s">
        <v>35</v>
      </c>
      <c r="K15" s="7" t="s">
        <v>35</v>
      </c>
      <c r="L15" s="7" t="s">
        <v>28</v>
      </c>
      <c r="M15" s="7" t="s">
        <v>38</v>
      </c>
      <c r="N15" s="7" t="s">
        <v>30</v>
      </c>
    </row>
    <row r="16" spans="2:22" x14ac:dyDescent="0.35">
      <c r="C16" s="14" t="s">
        <v>22</v>
      </c>
      <c r="H16" s="12">
        <v>144.02000000000001</v>
      </c>
      <c r="I16" s="33">
        <v>136.44999999999999</v>
      </c>
      <c r="J16" s="34">
        <v>109.62</v>
      </c>
      <c r="K16" s="34">
        <v>110.6</v>
      </c>
      <c r="L16" s="32">
        <v>111.41</v>
      </c>
      <c r="M16" s="11">
        <v>104.97</v>
      </c>
      <c r="N16" s="11">
        <v>108.84</v>
      </c>
    </row>
    <row r="17" spans="3:14" x14ac:dyDescent="0.35">
      <c r="C17" s="15" t="s">
        <v>23</v>
      </c>
      <c r="H17" s="8" t="s">
        <v>42</v>
      </c>
      <c r="I17" s="8" t="s">
        <v>42</v>
      </c>
      <c r="J17" s="8" t="s">
        <v>42</v>
      </c>
      <c r="K17" s="8" t="s">
        <v>42</v>
      </c>
      <c r="L17" s="8" t="s">
        <v>42</v>
      </c>
      <c r="M17" s="8" t="s">
        <v>42</v>
      </c>
      <c r="N17" s="8" t="s">
        <v>42</v>
      </c>
    </row>
    <row r="18" spans="3:14" x14ac:dyDescent="0.35">
      <c r="H18" s="12">
        <v>144.02000000000001</v>
      </c>
      <c r="I18" s="12">
        <v>144.02000000000001</v>
      </c>
      <c r="J18" s="12">
        <v>144.02000000000001</v>
      </c>
      <c r="K18" s="12">
        <v>144.02000000000001</v>
      </c>
      <c r="L18" s="12">
        <v>144.02000000000001</v>
      </c>
      <c r="M18" s="12">
        <v>144.02000000000001</v>
      </c>
      <c r="N18" s="12">
        <v>144.02000000000001</v>
      </c>
    </row>
    <row r="19" spans="3:14" x14ac:dyDescent="0.35">
      <c r="H19" s="9" t="s">
        <v>20</v>
      </c>
      <c r="I19" s="9" t="s">
        <v>20</v>
      </c>
      <c r="J19" s="9" t="s">
        <v>20</v>
      </c>
      <c r="K19" s="9" t="s">
        <v>20</v>
      </c>
      <c r="L19" s="9" t="s">
        <v>20</v>
      </c>
      <c r="M19" s="9" t="s">
        <v>20</v>
      </c>
      <c r="N19" s="9" t="s">
        <v>20</v>
      </c>
    </row>
    <row r="20" spans="3:14" x14ac:dyDescent="0.35">
      <c r="H20" s="13">
        <f t="shared" ref="H20:N20" si="2">H18/H16</f>
        <v>1</v>
      </c>
      <c r="I20" s="13">
        <f t="shared" si="2"/>
        <v>1.0554781971418103</v>
      </c>
      <c r="J20" s="13">
        <f t="shared" si="2"/>
        <v>1.313811348294107</v>
      </c>
      <c r="K20" s="13">
        <f t="shared" si="2"/>
        <v>1.3021699819168175</v>
      </c>
      <c r="L20" s="13">
        <f t="shared" si="2"/>
        <v>1.2927026299255004</v>
      </c>
      <c r="M20" s="13">
        <f t="shared" si="2"/>
        <v>1.3720110507764125</v>
      </c>
      <c r="N20" s="13">
        <f t="shared" si="2"/>
        <v>1.3232267548695333</v>
      </c>
    </row>
  </sheetData>
  <mergeCells count="15">
    <mergeCell ref="C13:G13"/>
    <mergeCell ref="B2:C4"/>
    <mergeCell ref="D2:U2"/>
    <mergeCell ref="D3:N3"/>
    <mergeCell ref="O3:U3"/>
    <mergeCell ref="D4:U4"/>
    <mergeCell ref="B6:D8"/>
    <mergeCell ref="E6:G7"/>
    <mergeCell ref="H6:M6"/>
    <mergeCell ref="O6:U8"/>
    <mergeCell ref="E9:G9"/>
    <mergeCell ref="H9:N9"/>
    <mergeCell ref="B12:N12"/>
    <mergeCell ref="O12:P12"/>
    <mergeCell ref="R12:U12"/>
  </mergeCells>
  <conditionalFormatting sqref="U10:U11">
    <cfRule type="containsText" dxfId="5" priority="1" operator="containsText" text="BAJO">
      <formula>NOT(ISERROR(SEARCH("BAJO",U10)))</formula>
    </cfRule>
    <cfRule type="containsText" dxfId="4" priority="2" operator="containsText" text="ALTO">
      <formula>NOT(ISERROR(SEARCH("ALTO",U10)))</formula>
    </cfRule>
    <cfRule type="cellIs" dxfId="3" priority="3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7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25AFF-02DD-4BB8-ACEE-69EB30CBE34A}">
  <sheetPr>
    <tabColor theme="9" tint="-0.249977111117893"/>
    <pageSetUpPr fitToPage="1"/>
  </sheetPr>
  <dimension ref="B2:V20"/>
  <sheetViews>
    <sheetView showGridLines="0" tabSelected="1" topLeftCell="A6" zoomScale="70" zoomScaleNormal="70" zoomScaleSheetLayoutView="70" zoomScalePageLayoutView="85" workbookViewId="0">
      <pane xSplit="4" topLeftCell="E1" activePane="topRight" state="frozen"/>
      <selection pane="topRight" activeCell="B6" sqref="B6:D8"/>
    </sheetView>
  </sheetViews>
  <sheetFormatPr baseColWidth="10" defaultColWidth="11.42578125" defaultRowHeight="21" x14ac:dyDescent="0.35"/>
  <cols>
    <col min="1" max="1" width="4.28515625" style="2" customWidth="1"/>
    <col min="2" max="2" width="7.28515625" style="2" customWidth="1"/>
    <col min="3" max="3" width="61.28515625" style="2" customWidth="1"/>
    <col min="4" max="4" width="13.28515625" style="2" bestFit="1" customWidth="1"/>
    <col min="5" max="6" width="22.7109375" style="2" customWidth="1"/>
    <col min="7" max="11" width="22.28515625" style="2" customWidth="1"/>
    <col min="12" max="13" width="22.140625" style="2" customWidth="1"/>
    <col min="14" max="14" width="23.42578125" style="2" bestFit="1" customWidth="1"/>
    <col min="15" max="15" width="18.42578125" style="2" customWidth="1"/>
    <col min="16" max="16" width="19.5703125" style="2" customWidth="1"/>
    <col min="17" max="17" width="26.28515625" style="2" customWidth="1"/>
    <col min="18" max="18" width="21.28515625" style="2" customWidth="1"/>
    <col min="19" max="19" width="21.5703125" style="2" customWidth="1"/>
    <col min="20" max="20" width="28.28515625" style="2" customWidth="1"/>
    <col min="21" max="21" width="30.28515625" style="2" customWidth="1"/>
    <col min="22" max="22" width="20.28515625" style="4" customWidth="1"/>
    <col min="23" max="16384" width="11.42578125" style="2"/>
  </cols>
  <sheetData>
    <row r="2" spans="2:22" ht="39.75" customHeight="1" x14ac:dyDescent="0.25">
      <c r="B2" s="42"/>
      <c r="C2" s="43"/>
      <c r="D2" s="48" t="s">
        <v>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50"/>
      <c r="V2" s="1"/>
    </row>
    <row r="3" spans="2:22" ht="17.25" customHeight="1" x14ac:dyDescent="0.25">
      <c r="B3" s="44"/>
      <c r="C3" s="45"/>
      <c r="D3" s="51" t="s">
        <v>1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3"/>
      <c r="V3" s="3"/>
    </row>
    <row r="4" spans="2:22" ht="17.25" customHeight="1" x14ac:dyDescent="0.25">
      <c r="B4" s="46"/>
      <c r="C4" s="47"/>
      <c r="D4" s="51" t="s">
        <v>2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3"/>
      <c r="V4" s="3"/>
    </row>
    <row r="5" spans="2:22" ht="15.75" customHeight="1" thickBot="1" x14ac:dyDescent="0.4"/>
    <row r="6" spans="2:22" ht="57" thickBot="1" x14ac:dyDescent="0.4">
      <c r="B6" s="54" t="s">
        <v>27</v>
      </c>
      <c r="C6" s="55"/>
      <c r="D6" s="55"/>
      <c r="E6" s="60" t="s">
        <v>3</v>
      </c>
      <c r="F6" s="61"/>
      <c r="G6" s="61"/>
      <c r="H6" s="64" t="s">
        <v>19</v>
      </c>
      <c r="I6" s="65"/>
      <c r="J6" s="65"/>
      <c r="K6" s="65"/>
      <c r="L6" s="65"/>
      <c r="M6" s="66"/>
      <c r="N6" s="16" t="s">
        <v>4</v>
      </c>
      <c r="O6" s="67" t="s">
        <v>24</v>
      </c>
      <c r="P6" s="68"/>
      <c r="Q6" s="68"/>
      <c r="R6" s="68"/>
      <c r="S6" s="68"/>
      <c r="T6" s="68"/>
      <c r="U6" s="69"/>
    </row>
    <row r="7" spans="2:22" ht="150.75" thickBot="1" x14ac:dyDescent="0.4">
      <c r="B7" s="56"/>
      <c r="C7" s="57"/>
      <c r="D7" s="57"/>
      <c r="E7" s="62"/>
      <c r="F7" s="63"/>
      <c r="G7" s="63"/>
      <c r="H7" s="38" t="s">
        <v>45</v>
      </c>
      <c r="I7" s="38" t="s">
        <v>46</v>
      </c>
      <c r="J7" s="38" t="s">
        <v>47</v>
      </c>
      <c r="K7" s="38" t="s">
        <v>48</v>
      </c>
      <c r="L7" s="38" t="s">
        <v>49</v>
      </c>
      <c r="M7" s="38" t="s">
        <v>50</v>
      </c>
      <c r="N7" s="39" t="s">
        <v>31</v>
      </c>
      <c r="O7" s="70"/>
      <c r="P7" s="70"/>
      <c r="Q7" s="70"/>
      <c r="R7" s="70"/>
      <c r="S7" s="70"/>
      <c r="T7" s="70"/>
      <c r="U7" s="71"/>
    </row>
    <row r="8" spans="2:22" ht="75.75" thickBot="1" x14ac:dyDescent="0.4">
      <c r="B8" s="58"/>
      <c r="C8" s="59"/>
      <c r="D8" s="59"/>
      <c r="E8" s="17" t="s">
        <v>39</v>
      </c>
      <c r="F8" s="17" t="s">
        <v>41</v>
      </c>
      <c r="G8" s="17" t="s">
        <v>40</v>
      </c>
      <c r="H8" s="40" t="s">
        <v>44</v>
      </c>
      <c r="I8" s="40" t="s">
        <v>33</v>
      </c>
      <c r="J8" s="40" t="s">
        <v>36</v>
      </c>
      <c r="K8" s="40" t="s">
        <v>34</v>
      </c>
      <c r="L8" s="40" t="s">
        <v>33</v>
      </c>
      <c r="M8" s="40" t="s">
        <v>37</v>
      </c>
      <c r="N8" s="40" t="s">
        <v>32</v>
      </c>
      <c r="O8" s="72"/>
      <c r="P8" s="72"/>
      <c r="Q8" s="72"/>
      <c r="R8" s="72"/>
      <c r="S8" s="72"/>
      <c r="T8" s="72"/>
      <c r="U8" s="73"/>
    </row>
    <row r="9" spans="2:22" ht="32.25" thickBot="1" x14ac:dyDescent="0.4">
      <c r="B9" s="19" t="s">
        <v>5</v>
      </c>
      <c r="C9" s="18" t="s">
        <v>6</v>
      </c>
      <c r="D9" s="18" t="s">
        <v>7</v>
      </c>
      <c r="E9" s="74" t="s">
        <v>8</v>
      </c>
      <c r="F9" s="75"/>
      <c r="G9" s="76"/>
      <c r="H9" s="74" t="s">
        <v>9</v>
      </c>
      <c r="I9" s="75"/>
      <c r="J9" s="75"/>
      <c r="K9" s="75"/>
      <c r="L9" s="75"/>
      <c r="M9" s="75"/>
      <c r="N9" s="76"/>
      <c r="O9" s="30" t="s">
        <v>10</v>
      </c>
      <c r="P9" s="30" t="s">
        <v>11</v>
      </c>
      <c r="Q9" s="30" t="s">
        <v>12</v>
      </c>
      <c r="R9" s="30" t="s">
        <v>13</v>
      </c>
      <c r="S9" s="30" t="s">
        <v>14</v>
      </c>
      <c r="T9" s="30" t="s">
        <v>15</v>
      </c>
      <c r="U9" s="30" t="s">
        <v>16</v>
      </c>
    </row>
    <row r="10" spans="2:22" ht="37.5" customHeight="1" thickBot="1" x14ac:dyDescent="0.4">
      <c r="B10" s="20">
        <v>1</v>
      </c>
      <c r="C10" s="31" t="s">
        <v>25</v>
      </c>
      <c r="D10" s="21">
        <v>1</v>
      </c>
      <c r="E10" s="37"/>
      <c r="F10" s="37"/>
      <c r="G10" s="37"/>
      <c r="H10" s="18"/>
      <c r="I10" s="36">
        <f>16954000*I20</f>
        <v>17894577.354342252</v>
      </c>
      <c r="J10" s="18"/>
      <c r="K10" s="18"/>
      <c r="L10" s="36">
        <f>19983186*L20</f>
        <v>25832317.096490443</v>
      </c>
      <c r="M10" s="36">
        <f>17278800*M20</f>
        <v>23706704.544155475</v>
      </c>
      <c r="N10" s="36">
        <f>14900000*N20</f>
        <v>19716078.647556048</v>
      </c>
      <c r="O10" s="23">
        <f>COUNT(E10:N10)</f>
        <v>4</v>
      </c>
      <c r="P10" s="24">
        <f>IFERROR(ROUND(AVERAGE(E10:N10),0),0)</f>
        <v>21787419</v>
      </c>
      <c r="Q10" s="25">
        <f>P10*D10</f>
        <v>21787419</v>
      </c>
      <c r="R10" s="26">
        <f>IFERROR(STDEVP(E10:N10),0)</f>
        <v>3142034.5536302188</v>
      </c>
      <c r="S10" s="27">
        <f>IFERROR(R10/P10*100,0)</f>
        <v>14.421325231915807</v>
      </c>
      <c r="T10" s="28">
        <f>100-S10</f>
        <v>85.578674768084198</v>
      </c>
      <c r="U10" s="29" t="str">
        <f>IF(T10&gt;70,"ALTO","BAJO")</f>
        <v>ALTO</v>
      </c>
    </row>
    <row r="11" spans="2:22" ht="37.5" customHeight="1" thickBot="1" x14ac:dyDescent="0.4">
      <c r="B11" s="20">
        <v>2</v>
      </c>
      <c r="C11" s="31" t="s">
        <v>26</v>
      </c>
      <c r="D11" s="22">
        <v>1</v>
      </c>
      <c r="E11" s="36">
        <v>40460000</v>
      </c>
      <c r="F11" s="37"/>
      <c r="G11" s="37"/>
      <c r="H11" s="36">
        <f>27370000*H20</f>
        <v>27370000</v>
      </c>
      <c r="I11" s="18"/>
      <c r="J11" s="36">
        <f>30000000*J20</f>
        <v>39414340.448823206</v>
      </c>
      <c r="K11" s="36">
        <f>26900000*K20</f>
        <v>35028372.513562389</v>
      </c>
      <c r="L11" s="36">
        <f>27742886*L20</f>
        <v>35863301.693923347</v>
      </c>
      <c r="M11" s="18"/>
      <c r="N11" s="18"/>
      <c r="O11" s="23">
        <f>COUNT(E11:N11)</f>
        <v>5</v>
      </c>
      <c r="P11" s="24">
        <f>IFERROR(ROUND(AVERAGE(E11:N11),0),0)</f>
        <v>35627203</v>
      </c>
      <c r="Q11" s="25">
        <f>P11*D11</f>
        <v>35627203</v>
      </c>
      <c r="R11" s="26">
        <f>IFERROR(STDEVP(E11:N11),0)</f>
        <v>4610728.3335164301</v>
      </c>
      <c r="S11" s="27">
        <f>IFERROR(R11/P11*100,0)</f>
        <v>12.94159503207824</v>
      </c>
      <c r="T11" s="28">
        <f t="shared" ref="T11" si="0">100-S11</f>
        <v>87.05840496792176</v>
      </c>
      <c r="U11" s="29" t="str">
        <f t="shared" ref="U11" si="1">IF(T11&gt;70,"ALTO","BAJO")</f>
        <v>ALTO</v>
      </c>
    </row>
    <row r="12" spans="2:22" s="4" customFormat="1" ht="57" customHeight="1" thickBot="1" x14ac:dyDescent="0.4">
      <c r="B12" s="77" t="s">
        <v>18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9" t="s">
        <v>17</v>
      </c>
      <c r="P12" s="80"/>
      <c r="Q12" s="6">
        <f>SUM(Q10:Q11)</f>
        <v>57414622</v>
      </c>
      <c r="R12" s="81"/>
      <c r="S12" s="82"/>
      <c r="T12" s="82"/>
      <c r="U12" s="83"/>
    </row>
    <row r="13" spans="2:22" s="4" customFormat="1" ht="19.5" customHeight="1" x14ac:dyDescent="0.35">
      <c r="B13" s="2"/>
      <c r="C13" s="41" t="s">
        <v>43</v>
      </c>
      <c r="D13" s="41"/>
      <c r="E13" s="41"/>
      <c r="F13" s="41"/>
      <c r="G13" s="41"/>
      <c r="H13" s="35"/>
      <c r="I13" s="35"/>
      <c r="J13" s="35"/>
      <c r="K13" s="35"/>
      <c r="L13" s="35"/>
      <c r="M13" s="35"/>
      <c r="N13" s="5"/>
      <c r="O13" s="5"/>
      <c r="P13" s="5"/>
      <c r="Q13" s="5"/>
      <c r="R13" s="5"/>
      <c r="S13" s="5"/>
      <c r="T13" s="5"/>
      <c r="U13" s="5"/>
    </row>
    <row r="14" spans="2:22" x14ac:dyDescent="0.35">
      <c r="C14" s="10" t="s">
        <v>21</v>
      </c>
    </row>
    <row r="15" spans="2:22" x14ac:dyDescent="0.35">
      <c r="H15" s="8" t="s">
        <v>42</v>
      </c>
      <c r="I15" s="7" t="s">
        <v>29</v>
      </c>
      <c r="J15" s="7" t="s">
        <v>35</v>
      </c>
      <c r="K15" s="7" t="s">
        <v>35</v>
      </c>
      <c r="L15" s="7" t="s">
        <v>28</v>
      </c>
      <c r="M15" s="7" t="s">
        <v>38</v>
      </c>
      <c r="N15" s="7" t="s">
        <v>30</v>
      </c>
    </row>
    <row r="16" spans="2:22" x14ac:dyDescent="0.35">
      <c r="C16" s="14" t="s">
        <v>22</v>
      </c>
      <c r="H16" s="12">
        <v>144.02000000000001</v>
      </c>
      <c r="I16" s="33">
        <v>136.44999999999999</v>
      </c>
      <c r="J16" s="34">
        <v>109.62</v>
      </c>
      <c r="K16" s="34">
        <v>110.6</v>
      </c>
      <c r="L16" s="32">
        <v>111.41</v>
      </c>
      <c r="M16" s="11">
        <v>104.97</v>
      </c>
      <c r="N16" s="11">
        <v>108.84</v>
      </c>
    </row>
    <row r="17" spans="3:14" x14ac:dyDescent="0.35">
      <c r="C17" s="15" t="s">
        <v>23</v>
      </c>
      <c r="H17" s="8" t="s">
        <v>42</v>
      </c>
      <c r="I17" s="8" t="s">
        <v>42</v>
      </c>
      <c r="J17" s="8" t="s">
        <v>42</v>
      </c>
      <c r="K17" s="8" t="s">
        <v>42</v>
      </c>
      <c r="L17" s="8" t="s">
        <v>42</v>
      </c>
      <c r="M17" s="8" t="s">
        <v>42</v>
      </c>
      <c r="N17" s="8" t="s">
        <v>42</v>
      </c>
    </row>
    <row r="18" spans="3:14" x14ac:dyDescent="0.35">
      <c r="H18" s="12">
        <v>144.02000000000001</v>
      </c>
      <c r="I18" s="12">
        <v>144.02000000000001</v>
      </c>
      <c r="J18" s="12">
        <v>144.02000000000001</v>
      </c>
      <c r="K18" s="12">
        <v>144.02000000000001</v>
      </c>
      <c r="L18" s="12">
        <v>144.02000000000001</v>
      </c>
      <c r="M18" s="12">
        <v>144.02000000000001</v>
      </c>
      <c r="N18" s="12">
        <v>144.02000000000001</v>
      </c>
    </row>
    <row r="19" spans="3:14" x14ac:dyDescent="0.35">
      <c r="H19" s="9" t="s">
        <v>20</v>
      </c>
      <c r="I19" s="9" t="s">
        <v>20</v>
      </c>
      <c r="J19" s="9" t="s">
        <v>20</v>
      </c>
      <c r="K19" s="9" t="s">
        <v>20</v>
      </c>
      <c r="L19" s="9" t="s">
        <v>20</v>
      </c>
      <c r="M19" s="9" t="s">
        <v>20</v>
      </c>
      <c r="N19" s="9" t="s">
        <v>20</v>
      </c>
    </row>
    <row r="20" spans="3:14" x14ac:dyDescent="0.35">
      <c r="H20" s="13">
        <f t="shared" ref="H20:N20" si="2">H18/H16</f>
        <v>1</v>
      </c>
      <c r="I20" s="13">
        <f t="shared" si="2"/>
        <v>1.0554781971418103</v>
      </c>
      <c r="J20" s="13">
        <f t="shared" si="2"/>
        <v>1.313811348294107</v>
      </c>
      <c r="K20" s="13">
        <f t="shared" si="2"/>
        <v>1.3021699819168175</v>
      </c>
      <c r="L20" s="13">
        <f t="shared" si="2"/>
        <v>1.2927026299255004</v>
      </c>
      <c r="M20" s="13">
        <f t="shared" si="2"/>
        <v>1.3720110507764125</v>
      </c>
      <c r="N20" s="13">
        <f t="shared" si="2"/>
        <v>1.3232267548695333</v>
      </c>
    </row>
  </sheetData>
  <mergeCells count="15">
    <mergeCell ref="C13:G13"/>
    <mergeCell ref="B2:C4"/>
    <mergeCell ref="D2:U2"/>
    <mergeCell ref="D3:N3"/>
    <mergeCell ref="O3:U3"/>
    <mergeCell ref="D4:U4"/>
    <mergeCell ref="B6:D8"/>
    <mergeCell ref="E6:G7"/>
    <mergeCell ref="H6:M6"/>
    <mergeCell ref="O6:U8"/>
    <mergeCell ref="E9:G9"/>
    <mergeCell ref="H9:N9"/>
    <mergeCell ref="B12:N12"/>
    <mergeCell ref="O12:P12"/>
    <mergeCell ref="R12:U12"/>
  </mergeCells>
  <conditionalFormatting sqref="U10:U11">
    <cfRule type="containsText" dxfId="2" priority="1" operator="containsText" text="BAJO">
      <formula>NOT(ISERROR(SEARCH("BAJO",U10)))</formula>
    </cfRule>
    <cfRule type="containsText" dxfId="1" priority="2" operator="containsText" text="ALTO">
      <formula>NOT(ISERROR(SEARCH("ALTO",U10)))</formula>
    </cfRule>
    <cfRule type="cellIs" dxfId="0" priority="3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7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91D2D3EC874814C97F6EC94FEADFA17" ma:contentTypeVersion="8" ma:contentTypeDescription="Crear nuevo documento." ma:contentTypeScope="" ma:versionID="e805f988f6288bcadf4329219ec934ea">
  <xsd:schema xmlns:xsd="http://www.w3.org/2001/XMLSchema" xmlns:xs="http://www.w3.org/2001/XMLSchema" xmlns:p="http://schemas.microsoft.com/office/2006/metadata/properties" xmlns:ns3="66244956-1003-470e-8573-c48315227e9c" xmlns:ns4="dbadde1c-6f00-4fbd-bc51-404f901f4a13" targetNamespace="http://schemas.microsoft.com/office/2006/metadata/properties" ma:root="true" ma:fieldsID="0515b7d6df066ba7d8f9ae883130c151" ns3:_="" ns4:_="">
    <xsd:import namespace="66244956-1003-470e-8573-c48315227e9c"/>
    <xsd:import namespace="dbadde1c-6f00-4fbd-bc51-404f901f4a1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244956-1003-470e-8573-c48315227e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adde1c-6f00-4fbd-bc51-404f901f4a1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6244956-1003-470e-8573-c48315227e9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51CB0E-FAF5-431F-B25F-6C663D0813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244956-1003-470e-8573-c48315227e9c"/>
    <ds:schemaRef ds:uri="dbadde1c-6f00-4fbd-bc51-404f901f4a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C3E849-12D4-4F4B-AE88-A69959B12036}">
  <ds:schemaRefs>
    <ds:schemaRef ds:uri="http://schemas.microsoft.com/office/2006/metadata/properties"/>
    <ds:schemaRef ds:uri="http://schemas.microsoft.com/office/infopath/2007/PartnerControls"/>
    <ds:schemaRef ds:uri="66244956-1003-470e-8573-c48315227e9c"/>
  </ds:schemaRefs>
</ds:datastoreItem>
</file>

<file path=customXml/itemProps3.xml><?xml version="1.0" encoding="utf-8"?>
<ds:datastoreItem xmlns:ds="http://schemas.openxmlformats.org/officeDocument/2006/customXml" ds:itemID="{8036C6C2-3A01-45B4-94F4-1B058E05BE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TAB. INICIAL</vt:lpstr>
      <vt:lpstr>DEPURADA</vt:lpstr>
      <vt:lpstr>DEPURADA!Área_de_impresión</vt:lpstr>
      <vt:lpstr>'TAB. INICIAL'!Área_de_impresión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Salamanca Gomez</dc:creator>
  <cp:keywords/>
  <dc:description/>
  <cp:lastModifiedBy>Darwin Galvis</cp:lastModifiedBy>
  <cp:revision/>
  <cp:lastPrinted>2024-07-30T09:26:21Z</cp:lastPrinted>
  <dcterms:created xsi:type="dcterms:W3CDTF">2023-02-06T13:58:59Z</dcterms:created>
  <dcterms:modified xsi:type="dcterms:W3CDTF">2024-10-21T20:26:11Z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0x010100E91D2D3EC874814C97F6EC94FEADFA17</vt:lpwstr>
  </property>
  <property fmtid="{D5CDD505-2E9C-101B-9397-08002B2CF9AE}" pid="3" name="WorkbookGuid">
    <vt:lpwstr>41c71061-2f47-4742-a831-8061746e8b7d</vt:lpwstr>
  </property>
</Properties>
</file>