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FABIAN_QUIRIFE\Downloads\"/>
    </mc:Choice>
  </mc:AlternateContent>
  <bookViews>
    <workbookView xWindow="0" yWindow="0" windowWidth="28800" windowHeight="12330" firstSheet="3" activeTab="3"/>
  </bookViews>
  <sheets>
    <sheet name="1. ESTUDIO DE MERCADO I" sheetId="4" state="hidden" r:id="rId1"/>
    <sheet name="2. ESTUDIO DE MERCADO CANASTA" sheetId="5" state="hidden" r:id="rId2"/>
    <sheet name="3. ESTUDIO DE MERCADO II" sheetId="6" state="hidden" r:id="rId3"/>
    <sheet name="Estructura de Costos 2024" sheetId="8" r:id="rId4"/>
  </sheets>
  <definedNames>
    <definedName name="_xlnm._FilterDatabase" localSheetId="0" hidden="1">'1. ESTUDIO DE MERCADO I'!$A$3:$FZ$64</definedName>
    <definedName name="_xlnm._FilterDatabase" localSheetId="1" hidden="1">'2. ESTUDIO DE MERCADO CANASTA'!$A$3:$JT$105</definedName>
    <definedName name="_xlnm._FilterDatabase" localSheetId="2" hidden="1">'3. ESTUDIO DE MERCADO II'!$A$3:$BL$3</definedName>
    <definedName name="_xlnm._FilterDatabase" localSheetId="3" hidden="1">'Estructura de Costos 2024'!$A$9:$K$183</definedName>
    <definedName name="_xlnm.Print_Area" localSheetId="1">'2. ESTUDIO DE MERCADO CANASTA'!$A$1:$JT$104</definedName>
    <definedName name="Excel_BuiltIn__FilterDatabase" localSheetId="0">'1. ESTUDIO DE MERCADO I'!#REF!</definedName>
    <definedName name="Excel_BuiltIn__FilterDatabase" localSheetId="1">'2. ESTUDIO DE MERCADO CANASTA'!$A$7:$F$9</definedName>
    <definedName name="Excel_BuiltIn__FilterDatabase" localSheetId="2">'3. ESTUDIO DE MERCADO II'!#REF!</definedName>
    <definedName name="Excel_BuiltIn_Print_Titles" localSheetId="0">'1. ESTUDIO DE MERCADO I'!#REF!</definedName>
    <definedName name="Excel_BuiltIn_Print_Titles" localSheetId="1">'2. ESTUDIO DE MERCADO CANASTA'!#REF!</definedName>
    <definedName name="Excel_BuiltIn_Print_Titles" localSheetId="2">'3. ESTUDIO DE MERCADO II'!#REF!</definedName>
    <definedName name="_xlnm.Print_Titles" localSheetId="0">'1. ESTUDIO DE MERCADO I'!$3:$3</definedName>
    <definedName name="_xlnm.Print_Titles" localSheetId="1">'2. ESTUDIO DE MERCADO CANASTA'!$3:$3</definedName>
    <definedName name="_xlnm.Print_Titles" localSheetId="2">'3. ESTUDIO DE MERCADO II'!$3:$3</definedName>
    <definedName name="_xlnm.Print_Titles" localSheetId="3">'Estructura de Costos 2024'!$9:$9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82" i="8" l="1"/>
  <c r="J182" i="8" s="1"/>
  <c r="I178" i="8"/>
  <c r="J178" i="8" s="1"/>
  <c r="I174" i="8"/>
  <c r="J174" i="8" s="1"/>
  <c r="I170" i="8"/>
  <c r="J170" i="8" s="1"/>
  <c r="I169" i="8"/>
  <c r="J169" i="8" s="1"/>
  <c r="I168" i="8"/>
  <c r="J168" i="8" s="1"/>
  <c r="I167" i="8"/>
  <c r="J167" i="8" s="1"/>
  <c r="I166" i="8"/>
  <c r="J166" i="8" s="1"/>
  <c r="I165" i="8"/>
  <c r="J165" i="8" s="1"/>
  <c r="I164" i="8"/>
  <c r="J164" i="8" s="1"/>
  <c r="I163" i="8"/>
  <c r="J163" i="8" s="1"/>
  <c r="I162" i="8"/>
  <c r="J162" i="8" s="1"/>
  <c r="I161" i="8"/>
  <c r="J161" i="8" s="1"/>
  <c r="I160" i="8"/>
  <c r="J160" i="8" s="1"/>
  <c r="I159" i="8"/>
  <c r="J159" i="8" s="1"/>
  <c r="I158" i="8"/>
  <c r="J158" i="8" s="1"/>
  <c r="I157" i="8"/>
  <c r="J157" i="8" s="1"/>
  <c r="I156" i="8"/>
  <c r="J156" i="8" s="1"/>
  <c r="I155" i="8"/>
  <c r="J155" i="8" s="1"/>
  <c r="I154" i="8"/>
  <c r="J154" i="8" s="1"/>
  <c r="I153" i="8"/>
  <c r="J153" i="8" s="1"/>
  <c r="I152" i="8"/>
  <c r="J152" i="8" s="1"/>
  <c r="I151" i="8"/>
  <c r="J151" i="8" s="1"/>
  <c r="I150" i="8"/>
  <c r="J150" i="8" s="1"/>
  <c r="I149" i="8"/>
  <c r="J149" i="8" s="1"/>
  <c r="I148" i="8"/>
  <c r="J148" i="8" s="1"/>
  <c r="I147" i="8"/>
  <c r="J147" i="8" s="1"/>
  <c r="I146" i="8"/>
  <c r="J146" i="8" s="1"/>
  <c r="I145" i="8"/>
  <c r="J145" i="8" s="1"/>
  <c r="I144" i="8"/>
  <c r="J144" i="8" s="1"/>
  <c r="I143" i="8"/>
  <c r="J143" i="8" s="1"/>
  <c r="I142" i="8"/>
  <c r="J142" i="8" s="1"/>
  <c r="I141" i="8"/>
  <c r="J141" i="8" s="1"/>
  <c r="I140" i="8"/>
  <c r="J140" i="8" s="1"/>
  <c r="I139" i="8"/>
  <c r="J139" i="8" s="1"/>
  <c r="I138" i="8"/>
  <c r="J138" i="8" s="1"/>
  <c r="I137" i="8"/>
  <c r="J137" i="8" s="1"/>
  <c r="I136" i="8"/>
  <c r="J136" i="8" s="1"/>
  <c r="I135" i="8"/>
  <c r="J135" i="8" s="1"/>
  <c r="I134" i="8"/>
  <c r="J134" i="8" s="1"/>
  <c r="I133" i="8"/>
  <c r="J133" i="8" s="1"/>
  <c r="I132" i="8"/>
  <c r="J132" i="8" s="1"/>
  <c r="I131" i="8"/>
  <c r="J131" i="8" s="1"/>
  <c r="I130" i="8"/>
  <c r="J130" i="8" s="1"/>
  <c r="I129" i="8"/>
  <c r="J129" i="8" s="1"/>
  <c r="I128" i="8"/>
  <c r="J128" i="8" s="1"/>
  <c r="I127" i="8"/>
  <c r="J127" i="8" s="1"/>
  <c r="I126" i="8"/>
  <c r="J126" i="8" s="1"/>
  <c r="I125" i="8"/>
  <c r="J125" i="8" s="1"/>
  <c r="I124" i="8"/>
  <c r="J124" i="8" s="1"/>
  <c r="I123" i="8"/>
  <c r="J123" i="8" s="1"/>
  <c r="I122" i="8"/>
  <c r="J122" i="8" s="1"/>
  <c r="I121" i="8"/>
  <c r="J121" i="8" s="1"/>
  <c r="I120" i="8"/>
  <c r="J120" i="8" s="1"/>
  <c r="I119" i="8"/>
  <c r="J119" i="8" s="1"/>
  <c r="I118" i="8"/>
  <c r="J118" i="8" s="1"/>
  <c r="I117" i="8"/>
  <c r="J117" i="8" s="1"/>
  <c r="I116" i="8"/>
  <c r="J116" i="8" s="1"/>
  <c r="I115" i="8"/>
  <c r="J115" i="8" s="1"/>
  <c r="I114" i="8"/>
  <c r="J114" i="8" s="1"/>
  <c r="I113" i="8"/>
  <c r="J113" i="8" s="1"/>
  <c r="I112" i="8"/>
  <c r="J112" i="8" s="1"/>
  <c r="I111" i="8"/>
  <c r="J111" i="8" s="1"/>
  <c r="I110" i="8"/>
  <c r="J110" i="8" s="1"/>
  <c r="I109" i="8"/>
  <c r="J109" i="8" s="1"/>
  <c r="I108" i="8"/>
  <c r="J108" i="8" s="1"/>
  <c r="I107" i="8"/>
  <c r="J107" i="8" s="1"/>
  <c r="I106" i="8"/>
  <c r="J106" i="8" s="1"/>
  <c r="I105" i="8"/>
  <c r="J105" i="8" s="1"/>
  <c r="I104" i="8"/>
  <c r="J104" i="8" s="1"/>
  <c r="I103" i="8"/>
  <c r="J103" i="8" s="1"/>
  <c r="I102" i="8"/>
  <c r="J102" i="8" s="1"/>
  <c r="I101" i="8"/>
  <c r="J101" i="8" s="1"/>
  <c r="I100" i="8"/>
  <c r="J100" i="8" s="1"/>
  <c r="I99" i="8"/>
  <c r="J99" i="8" s="1"/>
  <c r="I98" i="8"/>
  <c r="J98" i="8" s="1"/>
  <c r="I97" i="8"/>
  <c r="J97" i="8" s="1"/>
  <c r="I96" i="8"/>
  <c r="J96" i="8" s="1"/>
  <c r="I95" i="8"/>
  <c r="J95" i="8" s="1"/>
  <c r="I94" i="8"/>
  <c r="J94" i="8" s="1"/>
  <c r="I93" i="8"/>
  <c r="J93" i="8" s="1"/>
  <c r="I92" i="8"/>
  <c r="J92" i="8" s="1"/>
  <c r="I91" i="8"/>
  <c r="J91" i="8" s="1"/>
  <c r="I90" i="8"/>
  <c r="J90" i="8" s="1"/>
  <c r="I89" i="8"/>
  <c r="J89" i="8" s="1"/>
  <c r="I88" i="8"/>
  <c r="J88" i="8" s="1"/>
  <c r="I87" i="8"/>
  <c r="J87" i="8" s="1"/>
  <c r="I86" i="8"/>
  <c r="J86" i="8" s="1"/>
  <c r="I85" i="8"/>
  <c r="J85" i="8" s="1"/>
  <c r="I84" i="8"/>
  <c r="J84" i="8" s="1"/>
  <c r="I83" i="8"/>
  <c r="J83" i="8" s="1"/>
  <c r="I82" i="8"/>
  <c r="J82" i="8" s="1"/>
  <c r="I81" i="8"/>
  <c r="J81" i="8" s="1"/>
  <c r="I80" i="8"/>
  <c r="J80" i="8" s="1"/>
  <c r="I79" i="8"/>
  <c r="J79" i="8" s="1"/>
  <c r="I78" i="8"/>
  <c r="J78" i="8" s="1"/>
  <c r="I77" i="8"/>
  <c r="J77" i="8" s="1"/>
  <c r="I76" i="8"/>
  <c r="J76" i="8" s="1"/>
  <c r="I75" i="8"/>
  <c r="J75" i="8" s="1"/>
  <c r="I74" i="8"/>
  <c r="J74" i="8" s="1"/>
  <c r="I73" i="8"/>
  <c r="J73" i="8" s="1"/>
  <c r="I72" i="8"/>
  <c r="J72" i="8" s="1"/>
  <c r="I71" i="8"/>
  <c r="J71" i="8" s="1"/>
  <c r="I70" i="8"/>
  <c r="J70" i="8" s="1"/>
  <c r="I69" i="8"/>
  <c r="J69" i="8" s="1"/>
  <c r="I68" i="8"/>
  <c r="J68" i="8" s="1"/>
  <c r="I67" i="8"/>
  <c r="J67" i="8" s="1"/>
  <c r="I66" i="8"/>
  <c r="J66" i="8" s="1"/>
  <c r="I65" i="8"/>
  <c r="J65" i="8" s="1"/>
  <c r="I64" i="8"/>
  <c r="J64" i="8" s="1"/>
  <c r="I63" i="8"/>
  <c r="J63" i="8" s="1"/>
  <c r="I62" i="8"/>
  <c r="J62" i="8" s="1"/>
  <c r="I61" i="8"/>
  <c r="J61" i="8" s="1"/>
  <c r="I60" i="8"/>
  <c r="J60" i="8" s="1"/>
  <c r="I59" i="8"/>
  <c r="J59" i="8" s="1"/>
  <c r="I58" i="8"/>
  <c r="J58" i="8" s="1"/>
  <c r="I57" i="8"/>
  <c r="J57" i="8" s="1"/>
  <c r="I56" i="8"/>
  <c r="J56" i="8" s="1"/>
  <c r="I55" i="8"/>
  <c r="J55" i="8" s="1"/>
  <c r="I54" i="8"/>
  <c r="J54" i="8" s="1"/>
  <c r="I53" i="8"/>
  <c r="J53" i="8" s="1"/>
  <c r="I52" i="8"/>
  <c r="J52" i="8" s="1"/>
  <c r="I51" i="8"/>
  <c r="J51" i="8" s="1"/>
  <c r="I50" i="8"/>
  <c r="J50" i="8" s="1"/>
  <c r="I49" i="8"/>
  <c r="J49" i="8" s="1"/>
  <c r="I48" i="8"/>
  <c r="J48" i="8" s="1"/>
  <c r="I47" i="8"/>
  <c r="J47" i="8" s="1"/>
  <c r="I46" i="8"/>
  <c r="J46" i="8" s="1"/>
  <c r="I45" i="8"/>
  <c r="J45" i="8" s="1"/>
  <c r="I44" i="8"/>
  <c r="J44" i="8" s="1"/>
  <c r="I43" i="8"/>
  <c r="J43" i="8" s="1"/>
  <c r="I42" i="8"/>
  <c r="J42" i="8" s="1"/>
  <c r="I41" i="8"/>
  <c r="J41" i="8" s="1"/>
  <c r="I40" i="8"/>
  <c r="J40" i="8" s="1"/>
  <c r="I39" i="8"/>
  <c r="J39" i="8" s="1"/>
  <c r="I38" i="8"/>
  <c r="J38" i="8" s="1"/>
  <c r="I37" i="8"/>
  <c r="J37" i="8" s="1"/>
  <c r="I36" i="8"/>
  <c r="J36" i="8" s="1"/>
  <c r="I35" i="8"/>
  <c r="J35" i="8" s="1"/>
  <c r="I34" i="8"/>
  <c r="J34" i="8" s="1"/>
  <c r="I33" i="8"/>
  <c r="J33" i="8" s="1"/>
  <c r="I32" i="8"/>
  <c r="J32" i="8" s="1"/>
  <c r="I31" i="8"/>
  <c r="J31" i="8" s="1"/>
  <c r="I30" i="8"/>
  <c r="J30" i="8" s="1"/>
  <c r="I29" i="8"/>
  <c r="J29" i="8" s="1"/>
  <c r="I28" i="8"/>
  <c r="J28" i="8" s="1"/>
  <c r="I27" i="8"/>
  <c r="J27" i="8" s="1"/>
  <c r="I26" i="8"/>
  <c r="J26" i="8" s="1"/>
  <c r="I25" i="8"/>
  <c r="J25" i="8" s="1"/>
  <c r="I24" i="8"/>
  <c r="J24" i="8" s="1"/>
  <c r="I23" i="8"/>
  <c r="J23" i="8" s="1"/>
  <c r="I22" i="8"/>
  <c r="J22" i="8" s="1"/>
  <c r="I21" i="8"/>
  <c r="J21" i="8" s="1"/>
  <c r="I20" i="8"/>
  <c r="J20" i="8" s="1"/>
  <c r="I19" i="8"/>
  <c r="J19" i="8" s="1"/>
  <c r="I18" i="8"/>
  <c r="J18" i="8" s="1"/>
  <c r="I17" i="8"/>
  <c r="J17" i="8" s="1"/>
  <c r="I16" i="8"/>
  <c r="J16" i="8" s="1"/>
  <c r="I15" i="8"/>
  <c r="J15" i="8" s="1"/>
  <c r="I14" i="8"/>
  <c r="J14" i="8" s="1"/>
  <c r="I13" i="8"/>
  <c r="J13" i="8" s="1"/>
  <c r="I12" i="8"/>
  <c r="J12" i="8" s="1"/>
  <c r="I11" i="8"/>
  <c r="J11" i="8" s="1"/>
  <c r="I10" i="8"/>
  <c r="J10" i="8" s="1"/>
  <c r="K179" i="8" l="1"/>
  <c r="K175" i="8"/>
  <c r="K183" i="8"/>
  <c r="K171" i="8"/>
  <c r="J171" i="8"/>
  <c r="K4" i="6" l="1"/>
  <c r="L4" i="6" s="1"/>
  <c r="M4" i="6" s="1"/>
  <c r="N4" i="6"/>
  <c r="O4" i="6" s="1"/>
  <c r="W4" i="6"/>
  <c r="K5" i="6"/>
  <c r="T5" i="6"/>
  <c r="U5" i="6" s="1"/>
  <c r="V5" i="6" s="1"/>
  <c r="AC5" i="6"/>
  <c r="AD5" i="6" s="1"/>
  <c r="K6" i="6"/>
  <c r="L6" i="6"/>
  <c r="M6" i="6" s="1"/>
  <c r="AF6" i="6"/>
  <c r="AG6" i="6"/>
  <c r="AI6" i="6"/>
  <c r="N7" i="6"/>
  <c r="O7" i="6" s="1"/>
  <c r="W7" i="6"/>
  <c r="X7" i="6" s="1"/>
  <c r="Y7" i="6" s="1"/>
  <c r="AL7" i="6"/>
  <c r="AM7" i="6"/>
  <c r="K8" i="6"/>
  <c r="L8" i="6" s="1"/>
  <c r="M8" i="6" s="1"/>
  <c r="N8" i="6"/>
  <c r="O8" i="6"/>
  <c r="P8" i="6" s="1"/>
  <c r="T8" i="6"/>
  <c r="W8" i="6"/>
  <c r="X8" i="6" s="1"/>
  <c r="Y8" i="6" s="1"/>
  <c r="N9" i="6"/>
  <c r="O9" i="6" s="1"/>
  <c r="P9" i="6" s="1"/>
  <c r="T9" i="6"/>
  <c r="U9" i="6" s="1"/>
  <c r="V9" i="6" s="1"/>
  <c r="W9" i="6"/>
  <c r="X9" i="6"/>
  <c r="K10" i="6"/>
  <c r="L10" i="6"/>
  <c r="N10" i="6"/>
  <c r="T10" i="6"/>
  <c r="U10" i="6" s="1"/>
  <c r="V10" i="6" s="1"/>
  <c r="W10" i="6"/>
  <c r="X10" i="6" s="1"/>
  <c r="Y10" i="6" s="1"/>
  <c r="N11" i="6"/>
  <c r="O11" i="6"/>
  <c r="P11" i="6"/>
  <c r="T11" i="6"/>
  <c r="K12" i="6"/>
  <c r="L12" i="6" s="1"/>
  <c r="M12" i="6" s="1"/>
  <c r="W12" i="6"/>
  <c r="H13" i="6"/>
  <c r="I13" i="6" s="1"/>
  <c r="Q13" i="6"/>
  <c r="R13" i="6"/>
  <c r="H14" i="6"/>
  <c r="Z14" i="6"/>
  <c r="AA14" i="6"/>
  <c r="AB14" i="6" s="1"/>
  <c r="AO14" i="6"/>
  <c r="AP14" i="6" s="1"/>
  <c r="AQ14" i="6" s="1"/>
  <c r="BB15" i="6"/>
  <c r="BC15" i="6" s="1"/>
  <c r="BE15" i="6"/>
  <c r="BF15" i="6" s="1"/>
  <c r="BG15" i="6"/>
  <c r="BH15" i="6" s="1"/>
  <c r="W16" i="6"/>
  <c r="X16" i="6" s="1"/>
  <c r="AX16" i="6"/>
  <c r="AY16" i="6" s="1"/>
  <c r="AR17" i="6"/>
  <c r="AS17" i="6" s="1"/>
  <c r="AV17" i="6"/>
  <c r="AW17" i="6"/>
  <c r="AH6" i="6" l="1"/>
  <c r="S13" i="6"/>
  <c r="J13" i="6"/>
  <c r="AN7" i="6"/>
  <c r="M10" i="6"/>
  <c r="P7" i="6"/>
  <c r="BJ13" i="6"/>
  <c r="BK7" i="6"/>
  <c r="BL7" i="6" s="1"/>
  <c r="AT17" i="6"/>
  <c r="BJ17" i="6" s="1"/>
  <c r="BI15" i="6"/>
  <c r="BJ15" i="6" s="1"/>
  <c r="AE5" i="6"/>
  <c r="Y9" i="6"/>
  <c r="BK9" i="6" s="1"/>
  <c r="BL9" i="6" s="1"/>
  <c r="Y16" i="6"/>
  <c r="I14" i="6"/>
  <c r="J14" i="6" s="1"/>
  <c r="U11" i="6"/>
  <c r="V11" i="6" s="1"/>
  <c r="BJ9" i="6"/>
  <c r="BJ7" i="6"/>
  <c r="AZ16" i="6"/>
  <c r="BK16" i="6" s="1"/>
  <c r="BL16" i="6" s="1"/>
  <c r="X12" i="6"/>
  <c r="Y12" i="6" s="1"/>
  <c r="BK12" i="6" s="1"/>
  <c r="BL12" i="6" s="1"/>
  <c r="O10" i="6"/>
  <c r="P10" i="6" s="1"/>
  <c r="U8" i="6"/>
  <c r="V8" i="6" s="1"/>
  <c r="BJ8" i="6" s="1"/>
  <c r="AJ6" i="6"/>
  <c r="AK6" i="6" s="1"/>
  <c r="X4" i="6"/>
  <c r="Y4" i="6" s="1"/>
  <c r="L5" i="6"/>
  <c r="M5" i="6" s="1"/>
  <c r="P4" i="6"/>
  <c r="BK13" i="6"/>
  <c r="BL13" i="6" s="1"/>
  <c r="BJ16" i="6" l="1"/>
  <c r="BK15" i="6"/>
  <c r="BL15" i="6" s="1"/>
  <c r="BK17" i="6"/>
  <c r="BL17" i="6" s="1"/>
  <c r="BK11" i="6"/>
  <c r="BL11" i="6" s="1"/>
  <c r="BJ11" i="6"/>
  <c r="BJ14" i="6"/>
  <c r="BK14" i="6"/>
  <c r="BL14" i="6" s="1"/>
  <c r="BK4" i="6"/>
  <c r="BL4" i="6" s="1"/>
  <c r="BJ4" i="6"/>
  <c r="BJ10" i="6"/>
  <c r="BK10" i="6"/>
  <c r="BL10" i="6" s="1"/>
  <c r="BK5" i="6"/>
  <c r="BL5" i="6" s="1"/>
  <c r="BJ5" i="6"/>
  <c r="BJ6" i="6"/>
  <c r="BK6" i="6"/>
  <c r="BL6" i="6" s="1"/>
  <c r="BJ12" i="6"/>
  <c r="BK8" i="6"/>
  <c r="BL8" i="6" s="1"/>
  <c r="BL18" i="6" l="1"/>
  <c r="IL104" i="5" l="1"/>
  <c r="II104" i="5"/>
  <c r="IJ104" i="5" s="1"/>
  <c r="IG104" i="5"/>
  <c r="IH104" i="5" s="1"/>
  <c r="EO103" i="5"/>
  <c r="EP103" i="5" s="1"/>
  <c r="EL103" i="5"/>
  <c r="EM103" i="5" s="1"/>
  <c r="EF103" i="5"/>
  <c r="EG103" i="5" s="1"/>
  <c r="EC103" i="5"/>
  <c r="ED103" i="5" s="1"/>
  <c r="BI103" i="5"/>
  <c r="BJ103" i="5" s="1"/>
  <c r="EO102" i="5"/>
  <c r="EP102" i="5" s="1"/>
  <c r="EL102" i="5"/>
  <c r="EM102" i="5" s="1"/>
  <c r="EF102" i="5"/>
  <c r="EG102" i="5" s="1"/>
  <c r="EC102" i="5"/>
  <c r="ED102" i="5" s="1"/>
  <c r="BI102" i="5"/>
  <c r="BJ102" i="5" s="1"/>
  <c r="GY101" i="5"/>
  <c r="GZ101" i="5" s="1"/>
  <c r="HA101" i="5" s="1"/>
  <c r="EO101" i="5"/>
  <c r="EP101" i="5" s="1"/>
  <c r="EL101" i="5"/>
  <c r="EM101" i="5" s="1"/>
  <c r="EC101" i="5"/>
  <c r="ED101" i="5" s="1"/>
  <c r="BI101" i="5"/>
  <c r="BJ101" i="5" s="1"/>
  <c r="EB100" i="5"/>
  <c r="EC100" i="5" s="1"/>
  <c r="ED100" i="5" s="1"/>
  <c r="CS100" i="5"/>
  <c r="CT100" i="5" s="1"/>
  <c r="CD100" i="5"/>
  <c r="CE100" i="5" s="1"/>
  <c r="EL99" i="5"/>
  <c r="EM99" i="5" s="1"/>
  <c r="EB99" i="5"/>
  <c r="CD99" i="5"/>
  <c r="CE99" i="5" s="1"/>
  <c r="FA98" i="5"/>
  <c r="FB98" i="5" s="1"/>
  <c r="CA98" i="5"/>
  <c r="CB98" i="5" s="1"/>
  <c r="FA97" i="5"/>
  <c r="FB97" i="5" s="1"/>
  <c r="CA97" i="5"/>
  <c r="CB97" i="5" s="1"/>
  <c r="HX96" i="5"/>
  <c r="HY96" i="5" s="1"/>
  <c r="BF96" i="5"/>
  <c r="BG96" i="5" s="1"/>
  <c r="AT96" i="5"/>
  <c r="AU96" i="5" s="1"/>
  <c r="ID95" i="5"/>
  <c r="IE95" i="5" s="1"/>
  <c r="FD95" i="5"/>
  <c r="FE95" i="5" s="1"/>
  <c r="IS94" i="5"/>
  <c r="IT94" i="5" s="1"/>
  <c r="HX94" i="5"/>
  <c r="HY94" i="5" s="1"/>
  <c r="JB93" i="5"/>
  <c r="JC93" i="5" s="1"/>
  <c r="IS93" i="5"/>
  <c r="IT93" i="5" s="1"/>
  <c r="HX93" i="5"/>
  <c r="HY93" i="5" s="1"/>
  <c r="FA93" i="5"/>
  <c r="FB93" i="5" s="1"/>
  <c r="FA92" i="5"/>
  <c r="FB92" i="5" s="1"/>
  <c r="EX92" i="5"/>
  <c r="EY92" i="5" s="1"/>
  <c r="JR92" i="5" s="1"/>
  <c r="FA91" i="5"/>
  <c r="FB91" i="5" s="1"/>
  <c r="EX91" i="5"/>
  <c r="EY91" i="5" s="1"/>
  <c r="FA90" i="5"/>
  <c r="FB90" i="5" s="1"/>
  <c r="EX90" i="5"/>
  <c r="EY90" i="5" s="1"/>
  <c r="HX89" i="5"/>
  <c r="HY89" i="5" s="1"/>
  <c r="FA89" i="5"/>
  <c r="FB89" i="5" s="1"/>
  <c r="EX89" i="5"/>
  <c r="EY89" i="5" s="1"/>
  <c r="CA89" i="5"/>
  <c r="CB89" i="5" s="1"/>
  <c r="JB88" i="5"/>
  <c r="JC88" i="5" s="1"/>
  <c r="HX88" i="5"/>
  <c r="HY88" i="5" s="1"/>
  <c r="HC88" i="5"/>
  <c r="HD88" i="5" s="1"/>
  <c r="GJ87" i="5"/>
  <c r="JT86" i="5"/>
  <c r="HF86" i="5"/>
  <c r="HG86" i="5" s="1"/>
  <c r="DT86" i="5"/>
  <c r="DU86" i="5" s="1"/>
  <c r="DQ86" i="5"/>
  <c r="DR86" i="5" s="1"/>
  <c r="JT85" i="5"/>
  <c r="HF85" i="5"/>
  <c r="HG85" i="5" s="1"/>
  <c r="DT85" i="5"/>
  <c r="DU85" i="5" s="1"/>
  <c r="DQ85" i="5"/>
  <c r="DR85" i="5" s="1"/>
  <c r="JT84" i="5"/>
  <c r="HF84" i="5"/>
  <c r="HG84" i="5" s="1"/>
  <c r="DT84" i="5"/>
  <c r="DU84" i="5" s="1"/>
  <c r="DQ84" i="5"/>
  <c r="DR84" i="5" s="1"/>
  <c r="JT83" i="5"/>
  <c r="HF83" i="5"/>
  <c r="HG83" i="5" s="1"/>
  <c r="DT83" i="5"/>
  <c r="DU83" i="5" s="1"/>
  <c r="DQ83" i="5"/>
  <c r="DR83" i="5" s="1"/>
  <c r="JT82" i="5"/>
  <c r="HF82" i="5"/>
  <c r="HG82" i="5" s="1"/>
  <c r="DT82" i="5"/>
  <c r="DU82" i="5" s="1"/>
  <c r="DQ82" i="5"/>
  <c r="DR82" i="5" s="1"/>
  <c r="JT81" i="5"/>
  <c r="HF81" i="5"/>
  <c r="HG81" i="5" s="1"/>
  <c r="DT81" i="5"/>
  <c r="DU81" i="5" s="1"/>
  <c r="DQ81" i="5"/>
  <c r="DR81" i="5" s="1"/>
  <c r="JN80" i="5"/>
  <c r="JO80" i="5" s="1"/>
  <c r="HX80" i="5"/>
  <c r="HY80" i="5" s="1"/>
  <c r="GK80" i="5"/>
  <c r="GL80" i="5" s="1"/>
  <c r="CA80" i="5"/>
  <c r="CB80" i="5" s="1"/>
  <c r="GS79" i="5"/>
  <c r="GT79" i="5" s="1"/>
  <c r="CA79" i="5"/>
  <c r="CB79" i="5" s="1"/>
  <c r="HK78" i="5"/>
  <c r="HL78" i="5" s="1"/>
  <c r="HM78" i="5" s="1"/>
  <c r="HH78" i="5"/>
  <c r="HI78" i="5" s="1"/>
  <c r="HJ78" i="5" s="1"/>
  <c r="GS78" i="5"/>
  <c r="EX78" i="5"/>
  <c r="EY78" i="5" s="1"/>
  <c r="HK77" i="5"/>
  <c r="HL77" i="5" s="1"/>
  <c r="HM77" i="5" s="1"/>
  <c r="HH77" i="5"/>
  <c r="HI77" i="5" s="1"/>
  <c r="HJ77" i="5" s="1"/>
  <c r="GS77" i="5"/>
  <c r="GT77" i="5" s="1"/>
  <c r="HK76" i="5"/>
  <c r="HL76" i="5" s="1"/>
  <c r="HM76" i="5" s="1"/>
  <c r="HH76" i="5"/>
  <c r="HI76" i="5" s="1"/>
  <c r="HJ76" i="5" s="1"/>
  <c r="GS76" i="5"/>
  <c r="GT76" i="5" s="1"/>
  <c r="GU76" i="5" s="1"/>
  <c r="HK75" i="5"/>
  <c r="HL75" i="5" s="1"/>
  <c r="HM75" i="5" s="1"/>
  <c r="GS75" i="5"/>
  <c r="GT75" i="5" s="1"/>
  <c r="GU75" i="5" s="1"/>
  <c r="GP75" i="5"/>
  <c r="GQ75" i="5" s="1"/>
  <c r="GS74" i="5"/>
  <c r="FA74" i="5"/>
  <c r="FB74" i="5" s="1"/>
  <c r="EX74" i="5"/>
  <c r="EY74" i="5" s="1"/>
  <c r="GS73" i="5"/>
  <c r="GT73" i="5" s="1"/>
  <c r="FA73" i="5"/>
  <c r="FB73" i="5" s="1"/>
  <c r="EX73" i="5"/>
  <c r="EY73" i="5" s="1"/>
  <c r="GS72" i="5"/>
  <c r="FA72" i="5"/>
  <c r="FB72" i="5" s="1"/>
  <c r="EX72" i="5"/>
  <c r="EY72" i="5" s="1"/>
  <c r="GS71" i="5"/>
  <c r="GT71" i="5" s="1"/>
  <c r="FA71" i="5"/>
  <c r="FB71" i="5" s="1"/>
  <c r="EX71" i="5"/>
  <c r="EY71" i="5" s="1"/>
  <c r="GS70" i="5"/>
  <c r="GT70" i="5" s="1"/>
  <c r="FA70" i="5"/>
  <c r="FB70" i="5" s="1"/>
  <c r="EX70" i="5"/>
  <c r="EY70" i="5" s="1"/>
  <c r="V70" i="5"/>
  <c r="W70" i="5" s="1"/>
  <c r="GS69" i="5"/>
  <c r="GT69" i="5" s="1"/>
  <c r="GU69" i="5" s="1"/>
  <c r="FA69" i="5"/>
  <c r="FB69" i="5" s="1"/>
  <c r="EX69" i="5"/>
  <c r="EY69" i="5" s="1"/>
  <c r="GS68" i="5"/>
  <c r="GT68" i="5" s="1"/>
  <c r="GU68" i="5" s="1"/>
  <c r="FA68" i="5"/>
  <c r="FB68" i="5" s="1"/>
  <c r="EX68" i="5"/>
  <c r="EY68" i="5" s="1"/>
  <c r="GS67" i="5"/>
  <c r="GT67" i="5" s="1"/>
  <c r="GU67" i="5" s="1"/>
  <c r="FA67" i="5"/>
  <c r="FB67" i="5" s="1"/>
  <c r="EX67" i="5"/>
  <c r="EY67" i="5" s="1"/>
  <c r="GS66" i="5"/>
  <c r="GT66" i="5" s="1"/>
  <c r="GU66" i="5" s="1"/>
  <c r="FA66" i="5"/>
  <c r="FB66" i="5" s="1"/>
  <c r="EX66" i="5"/>
  <c r="EY66" i="5" s="1"/>
  <c r="AT66" i="5"/>
  <c r="AU66" i="5" s="1"/>
  <c r="HX65" i="5"/>
  <c r="HY65" i="5" s="1"/>
  <c r="GS65" i="5"/>
  <c r="GT65" i="5" s="1"/>
  <c r="GU65" i="5" s="1"/>
  <c r="HX64" i="5"/>
  <c r="HY64" i="5" s="1"/>
  <c r="GS64" i="5"/>
  <c r="GT64" i="5" s="1"/>
  <c r="FA64" i="5"/>
  <c r="FB64" i="5" s="1"/>
  <c r="CA64" i="5"/>
  <c r="CB64" i="5" s="1"/>
  <c r="HX63" i="5"/>
  <c r="HY63" i="5" s="1"/>
  <c r="GM63" i="5"/>
  <c r="GN63" i="5" s="1"/>
  <c r="GO63" i="5" s="1"/>
  <c r="FA63" i="5"/>
  <c r="FB63" i="5" s="1"/>
  <c r="CA63" i="5"/>
  <c r="CB63" i="5" s="1"/>
  <c r="AT63" i="5"/>
  <c r="AU63" i="5" s="1"/>
  <c r="HX62" i="5"/>
  <c r="HY62" i="5" s="1"/>
  <c r="GM62" i="5"/>
  <c r="GN62" i="5" s="1"/>
  <c r="GO62" i="5" s="1"/>
  <c r="GK62" i="5"/>
  <c r="GL62" i="5" s="1"/>
  <c r="FA62" i="5"/>
  <c r="FB62" i="5" s="1"/>
  <c r="CA62" i="5"/>
  <c r="CB62" i="5" s="1"/>
  <c r="HX61" i="5"/>
  <c r="HY61" i="5" s="1"/>
  <c r="GS61" i="5"/>
  <c r="GT61" i="5" s="1"/>
  <c r="GU61" i="5" s="1"/>
  <c r="FA61" i="5"/>
  <c r="FB61" i="5" s="1"/>
  <c r="AT61" i="5"/>
  <c r="AU61" i="5" s="1"/>
  <c r="GS60" i="5"/>
  <c r="GT60" i="5" s="1"/>
  <c r="GU60" i="5" s="1"/>
  <c r="FA60" i="5"/>
  <c r="FB60" i="5" s="1"/>
  <c r="CA60" i="5"/>
  <c r="CB60" i="5" s="1"/>
  <c r="GS59" i="5"/>
  <c r="GT59" i="5" s="1"/>
  <c r="GU59" i="5" s="1"/>
  <c r="FA59" i="5"/>
  <c r="FB59" i="5" s="1"/>
  <c r="CA59" i="5"/>
  <c r="CB59" i="5" s="1"/>
  <c r="AT59" i="5"/>
  <c r="AU59" i="5" s="1"/>
  <c r="JK58" i="5"/>
  <c r="JL58" i="5" s="1"/>
  <c r="GS58" i="5"/>
  <c r="GT58" i="5" s="1"/>
  <c r="GU58" i="5" s="1"/>
  <c r="GW57" i="5"/>
  <c r="GX57" i="5" s="1"/>
  <c r="GS57" i="5"/>
  <c r="GT57" i="5" s="1"/>
  <c r="FA57" i="5"/>
  <c r="FB57" i="5" s="1"/>
  <c r="ER57" i="5"/>
  <c r="ES57" i="5" s="1"/>
  <c r="GW56" i="5"/>
  <c r="GX56" i="5" s="1"/>
  <c r="GS56" i="5"/>
  <c r="GT56" i="5" s="1"/>
  <c r="GU56" i="5" s="1"/>
  <c r="GH56" i="5"/>
  <c r="GI56" i="5" s="1"/>
  <c r="FA56" i="5"/>
  <c r="FB56" i="5" s="1"/>
  <c r="EU56" i="5"/>
  <c r="EV56" i="5" s="1"/>
  <c r="ER56" i="5"/>
  <c r="ES56" i="5" s="1"/>
  <c r="JB55" i="5"/>
  <c r="JC55" i="5" s="1"/>
  <c r="FA55" i="5"/>
  <c r="FB55" i="5" s="1"/>
  <c r="FA54" i="5"/>
  <c r="FB54" i="5" s="1"/>
  <c r="CA54" i="5"/>
  <c r="CB54" i="5" s="1"/>
  <c r="AT54" i="5"/>
  <c r="AU54" i="5" s="1"/>
  <c r="JB53" i="5"/>
  <c r="JC53" i="5" s="1"/>
  <c r="HX53" i="5"/>
  <c r="HY53" i="5" s="1"/>
  <c r="GS53" i="5"/>
  <c r="GT53" i="5" s="1"/>
  <c r="GU53" i="5" s="1"/>
  <c r="CA53" i="5"/>
  <c r="CB53" i="5" s="1"/>
  <c r="GS52" i="5"/>
  <c r="GT52" i="5" s="1"/>
  <c r="FA52" i="5"/>
  <c r="FB52" i="5" s="1"/>
  <c r="AT52" i="5"/>
  <c r="AU52" i="5" s="1"/>
  <c r="GS51" i="5"/>
  <c r="GT51" i="5" s="1"/>
  <c r="FA51" i="5"/>
  <c r="FB51" i="5" s="1"/>
  <c r="AT51" i="5"/>
  <c r="AU51" i="5" s="1"/>
  <c r="FA50" i="5"/>
  <c r="FB50" i="5" s="1"/>
  <c r="M50" i="5"/>
  <c r="N50" i="5" s="1"/>
  <c r="HX49" i="5"/>
  <c r="HY49" i="5" s="1"/>
  <c r="GT49" i="5"/>
  <c r="GU49" i="5" s="1"/>
  <c r="GT48" i="5"/>
  <c r="GU48" i="5" s="1"/>
  <c r="JR48" i="5" s="1"/>
  <c r="GS47" i="5"/>
  <c r="GT47" i="5" s="1"/>
  <c r="GU47" i="5" s="1"/>
  <c r="FA47" i="5"/>
  <c r="FB47" i="5" s="1"/>
  <c r="AT47" i="5"/>
  <c r="AU47" i="5" s="1"/>
  <c r="GV46" i="5"/>
  <c r="GW46" i="5" s="1"/>
  <c r="GX46" i="5" s="1"/>
  <c r="GG46" i="5"/>
  <c r="GH46" i="5" s="1"/>
  <c r="ET46" i="5"/>
  <c r="HX45" i="5"/>
  <c r="HY45" i="5" s="1"/>
  <c r="FA45" i="5"/>
  <c r="FB45" i="5" s="1"/>
  <c r="JB44" i="5"/>
  <c r="JC44" i="5" s="1"/>
  <c r="HU44" i="5"/>
  <c r="HV44" i="5" s="1"/>
  <c r="FA44" i="5"/>
  <c r="FB44" i="5" s="1"/>
  <c r="IA43" i="5"/>
  <c r="IB43" i="5" s="1"/>
  <c r="HX43" i="5"/>
  <c r="HY43" i="5" s="1"/>
  <c r="IA42" i="5"/>
  <c r="IB42" i="5" s="1"/>
  <c r="HX42" i="5"/>
  <c r="HY42" i="5" s="1"/>
  <c r="IA41" i="5"/>
  <c r="IB41" i="5" s="1"/>
  <c r="HX41" i="5"/>
  <c r="HY41" i="5" s="1"/>
  <c r="FW40" i="5"/>
  <c r="JS40" i="5" s="1"/>
  <c r="JT40" i="5" s="1"/>
  <c r="IP39" i="5"/>
  <c r="IQ39" i="5" s="1"/>
  <c r="IM39" i="5"/>
  <c r="IN39" i="5" s="1"/>
  <c r="IJ39" i="5"/>
  <c r="IK39" i="5" s="1"/>
  <c r="JH38" i="5"/>
  <c r="JI38" i="5" s="1"/>
  <c r="JS38" i="5" s="1"/>
  <c r="JT38" i="5" s="1"/>
  <c r="FX37" i="5"/>
  <c r="FY37" i="5" s="1"/>
  <c r="FZ37" i="5" s="1"/>
  <c r="CM37" i="5"/>
  <c r="CN37" i="5" s="1"/>
  <c r="CJ37" i="5"/>
  <c r="CK37" i="5" s="1"/>
  <c r="CP36" i="5"/>
  <c r="CQ36" i="5" s="1"/>
  <c r="CM36" i="5"/>
  <c r="CN36" i="5" s="1"/>
  <c r="CJ36" i="5"/>
  <c r="CK36" i="5" s="1"/>
  <c r="CM35" i="5"/>
  <c r="CN35" i="5" s="1"/>
  <c r="CJ35" i="5"/>
  <c r="CK35" i="5" s="1"/>
  <c r="BX35" i="5"/>
  <c r="BY35" i="5" s="1"/>
  <c r="HA34" i="5"/>
  <c r="CM34" i="5"/>
  <c r="CN34" i="5" s="1"/>
  <c r="CJ34" i="5"/>
  <c r="CK34" i="5" s="1"/>
  <c r="BX34" i="5"/>
  <c r="BY34" i="5" s="1"/>
  <c r="CP33" i="5"/>
  <c r="CQ33" i="5" s="1"/>
  <c r="BX33" i="5"/>
  <c r="BY33" i="5" s="1"/>
  <c r="JR33" i="5" s="1"/>
  <c r="CP32" i="5"/>
  <c r="CQ32" i="5" s="1"/>
  <c r="BX32" i="5"/>
  <c r="BY32" i="5" s="1"/>
  <c r="FX31" i="5"/>
  <c r="FY31" i="5" s="1"/>
  <c r="FZ31" i="5" s="1"/>
  <c r="CP31" i="5"/>
  <c r="CQ31" i="5" s="1"/>
  <c r="BX31" i="5"/>
  <c r="BY31" i="5" s="1"/>
  <c r="GY30" i="5"/>
  <c r="GZ30" i="5" s="1"/>
  <c r="HA30" i="5" s="1"/>
  <c r="CP30" i="5"/>
  <c r="CQ30" i="5" s="1"/>
  <c r="CM30" i="5"/>
  <c r="CN30" i="5" s="1"/>
  <c r="CJ30" i="5"/>
  <c r="CK30" i="5" s="1"/>
  <c r="JD29" i="5"/>
  <c r="JE29" i="5" s="1"/>
  <c r="JF29" i="5" s="1"/>
  <c r="CM29" i="5"/>
  <c r="CN29" i="5" s="1"/>
  <c r="BU29" i="5"/>
  <c r="BV29" i="5" s="1"/>
  <c r="CM28" i="5"/>
  <c r="CN28" i="5" s="1"/>
  <c r="CJ28" i="5"/>
  <c r="CK28" i="5" s="1"/>
  <c r="BX28" i="5"/>
  <c r="BY28" i="5" s="1"/>
  <c r="BX27" i="5"/>
  <c r="BY27" i="5" s="1"/>
  <c r="BU27" i="5"/>
  <c r="BV27" i="5" s="1"/>
  <c r="CY26" i="5"/>
  <c r="CZ26" i="5" s="1"/>
  <c r="CV26" i="5"/>
  <c r="CW26" i="5" s="1"/>
  <c r="J26" i="5"/>
  <c r="K26" i="5" s="1"/>
  <c r="FM25" i="5"/>
  <c r="FL25" i="5"/>
  <c r="CV25" i="5"/>
  <c r="CW25" i="5" s="1"/>
  <c r="J25" i="5"/>
  <c r="K25" i="5" s="1"/>
  <c r="IU24" i="5"/>
  <c r="IV24" i="5" s="1"/>
  <c r="CY24" i="5"/>
  <c r="CZ24" i="5" s="1"/>
  <c r="J24" i="5"/>
  <c r="K24" i="5" s="1"/>
  <c r="FL23" i="5"/>
  <c r="FM23" i="5" s="1"/>
  <c r="CV23" i="5"/>
  <c r="CW23" i="5" s="1"/>
  <c r="DN22" i="5"/>
  <c r="DO22" i="5" s="1"/>
  <c r="DK22" i="5"/>
  <c r="DL22" i="5" s="1"/>
  <c r="CY22" i="5"/>
  <c r="CZ22" i="5" s="1"/>
  <c r="FL21" i="5"/>
  <c r="FM21" i="5" s="1"/>
  <c r="CV21" i="5"/>
  <c r="CW21" i="5" s="1"/>
  <c r="J21" i="5"/>
  <c r="K21" i="5" s="1"/>
  <c r="FL20" i="5"/>
  <c r="CY20" i="5"/>
  <c r="CZ20" i="5" s="1"/>
  <c r="CV20" i="5"/>
  <c r="CW20" i="5" s="1"/>
  <c r="J20" i="5"/>
  <c r="K20" i="5" s="1"/>
  <c r="JB19" i="5"/>
  <c r="JC19" i="5" s="1"/>
  <c r="DW19" i="5"/>
  <c r="DX19" i="5" s="1"/>
  <c r="BC19" i="5"/>
  <c r="BD19" i="5" s="1"/>
  <c r="AW19" i="5"/>
  <c r="AX19" i="5" s="1"/>
  <c r="DB18" i="5"/>
  <c r="DC18" i="5" s="1"/>
  <c r="AW18" i="5"/>
  <c r="AX18" i="5" s="1"/>
  <c r="Q18" i="5"/>
  <c r="JB17" i="5"/>
  <c r="JC17" i="5" s="1"/>
  <c r="FK17" i="5"/>
  <c r="DE16" i="5"/>
  <c r="DF16" i="5" s="1"/>
  <c r="DB16" i="5"/>
  <c r="DC16" i="5" s="1"/>
  <c r="BC16" i="5"/>
  <c r="BD16" i="5" s="1"/>
  <c r="DH15" i="5"/>
  <c r="DI15" i="5" s="1"/>
  <c r="DE15" i="5"/>
  <c r="DF15" i="5" s="1"/>
  <c r="BC15" i="5"/>
  <c r="BD15" i="5" s="1"/>
  <c r="HR14" i="5"/>
  <c r="HS14" i="5" s="1"/>
  <c r="DE14" i="5"/>
  <c r="DF14" i="5" s="1"/>
  <c r="BC14" i="5"/>
  <c r="BD14" i="5" s="1"/>
  <c r="JB13" i="5"/>
  <c r="JC13" i="5" s="1"/>
  <c r="GB13" i="5"/>
  <c r="GC13" i="5" s="1"/>
  <c r="EI13" i="5"/>
  <c r="EJ13" i="5" s="1"/>
  <c r="GE12" i="5"/>
  <c r="GF12" i="5" s="1"/>
  <c r="AZ12" i="5"/>
  <c r="BA12" i="5" s="1"/>
  <c r="GE11" i="5"/>
  <c r="GF11" i="5" s="1"/>
  <c r="AZ11" i="5"/>
  <c r="BA11" i="5" s="1"/>
  <c r="IY10" i="5"/>
  <c r="IZ10" i="5" s="1"/>
  <c r="HO10" i="5"/>
  <c r="HP10" i="5" s="1"/>
  <c r="FF10" i="5"/>
  <c r="Y10" i="5"/>
  <c r="Z10" i="5" s="1"/>
  <c r="IY9" i="5"/>
  <c r="IZ9" i="5" s="1"/>
  <c r="HO9" i="5"/>
  <c r="HP9" i="5" s="1"/>
  <c r="CG9" i="5"/>
  <c r="CH9" i="5" s="1"/>
  <c r="S9" i="5"/>
  <c r="T9" i="5" s="1"/>
  <c r="DZ8" i="5"/>
  <c r="EA8" i="5" s="1"/>
  <c r="CG8" i="5"/>
  <c r="CH8" i="5" s="1"/>
  <c r="AH8" i="5"/>
  <c r="AI8" i="5" s="1"/>
  <c r="AE8" i="5"/>
  <c r="AF8" i="5" s="1"/>
  <c r="AK7" i="5"/>
  <c r="AL7" i="5" s="1"/>
  <c r="BR6" i="5"/>
  <c r="BS6" i="5" s="1"/>
  <c r="BO6" i="5"/>
  <c r="BP6" i="5" s="1"/>
  <c r="BM6" i="5"/>
  <c r="AQ5" i="5"/>
  <c r="AR5" i="5" s="1"/>
  <c r="AN5" i="5"/>
  <c r="AO5" i="5" s="1"/>
  <c r="AB5" i="5"/>
  <c r="AC5" i="5" s="1"/>
  <c r="BO4" i="5"/>
  <c r="BP4" i="5" s="1"/>
  <c r="AQ4" i="5"/>
  <c r="AR4" i="5" s="1"/>
  <c r="AN4" i="5"/>
  <c r="AO4" i="5" s="1"/>
  <c r="AB4" i="5"/>
  <c r="AC4" i="5" s="1"/>
  <c r="JR12" i="5" l="1"/>
  <c r="GT72" i="5"/>
  <c r="GU72" i="5" s="1"/>
  <c r="GT74" i="5"/>
  <c r="GU74" i="5" s="1"/>
  <c r="JR27" i="5"/>
  <c r="GU57" i="5"/>
  <c r="JS57" i="5" s="1"/>
  <c r="JT57" i="5" s="1"/>
  <c r="GU71" i="5"/>
  <c r="JR71" i="5" s="1"/>
  <c r="JR86" i="5"/>
  <c r="GU70" i="5"/>
  <c r="JS70" i="5" s="1"/>
  <c r="JT70" i="5" s="1"/>
  <c r="JS69" i="5"/>
  <c r="JT69" i="5" s="1"/>
  <c r="JS100" i="5"/>
  <c r="JT100" i="5" s="1"/>
  <c r="JS17" i="5"/>
  <c r="JT17" i="5" s="1"/>
  <c r="JS12" i="5"/>
  <c r="JT12" i="5" s="1"/>
  <c r="GU73" i="5"/>
  <c r="JS73" i="5" s="1"/>
  <c r="JT73" i="5" s="1"/>
  <c r="JR32" i="5"/>
  <c r="JR97" i="5"/>
  <c r="JS53" i="5"/>
  <c r="JT53" i="5" s="1"/>
  <c r="JR85" i="5"/>
  <c r="IK104" i="5"/>
  <c r="JR100" i="5"/>
  <c r="JS59" i="5"/>
  <c r="JT59" i="5" s="1"/>
  <c r="JS98" i="5"/>
  <c r="JT98" i="5" s="1"/>
  <c r="JS91" i="5"/>
  <c r="JT91" i="5" s="1"/>
  <c r="JR91" i="5"/>
  <c r="JS68" i="5"/>
  <c r="JT68" i="5" s="1"/>
  <c r="JS66" i="5"/>
  <c r="JT66" i="5" s="1"/>
  <c r="JR49" i="5"/>
  <c r="JS49" i="5"/>
  <c r="JT49" i="5" s="1"/>
  <c r="JR7" i="5"/>
  <c r="JS7" i="5"/>
  <c r="JT7" i="5" s="1"/>
  <c r="JR39" i="5"/>
  <c r="JS39" i="5"/>
  <c r="JT39" i="5" s="1"/>
  <c r="JR73" i="5"/>
  <c r="GI46" i="5"/>
  <c r="GU64" i="5"/>
  <c r="JS64" i="5" s="1"/>
  <c r="JT64" i="5" s="1"/>
  <c r="JS8" i="5"/>
  <c r="JT8" i="5" s="1"/>
  <c r="JR68" i="5"/>
  <c r="JS63" i="5"/>
  <c r="JT63" i="5" s="1"/>
  <c r="JS62" i="5"/>
  <c r="JT62" i="5" s="1"/>
  <c r="GU77" i="5"/>
  <c r="JS77" i="5" s="1"/>
  <c r="JT77" i="5" s="1"/>
  <c r="JS101" i="5"/>
  <c r="JT101" i="5" s="1"/>
  <c r="JR29" i="5"/>
  <c r="JS32" i="5"/>
  <c r="JT32" i="5" s="1"/>
  <c r="JS97" i="5"/>
  <c r="JT97" i="5" s="1"/>
  <c r="JR70" i="5"/>
  <c r="JS102" i="5"/>
  <c r="JT102" i="5" s="1"/>
  <c r="JR59" i="5"/>
  <c r="JR17" i="5"/>
  <c r="JR60" i="5"/>
  <c r="JR65" i="5"/>
  <c r="JR4" i="5"/>
  <c r="JS11" i="5"/>
  <c r="JT11" i="5" s="1"/>
  <c r="JS33" i="5"/>
  <c r="JT33" i="5" s="1"/>
  <c r="JR66" i="5"/>
  <c r="GR75" i="5"/>
  <c r="JS75" i="5" s="1"/>
  <c r="JT75" i="5" s="1"/>
  <c r="GU79" i="5"/>
  <c r="JR79" i="5" s="1"/>
  <c r="JS9" i="5"/>
  <c r="JT9" i="5" s="1"/>
  <c r="JS45" i="5"/>
  <c r="JT45" i="5" s="1"/>
  <c r="JS61" i="5"/>
  <c r="JT61" i="5" s="1"/>
  <c r="JR67" i="5"/>
  <c r="JS71" i="5"/>
  <c r="JT71" i="5" s="1"/>
  <c r="JS48" i="5"/>
  <c r="JT48" i="5" s="1"/>
  <c r="JR69" i="5"/>
  <c r="JS28" i="5"/>
  <c r="JT28" i="5" s="1"/>
  <c r="JR82" i="5"/>
  <c r="JR34" i="5"/>
  <c r="JS34" i="5"/>
  <c r="JT34" i="5" s="1"/>
  <c r="JS13" i="5"/>
  <c r="JT13" i="5" s="1"/>
  <c r="JR13" i="5"/>
  <c r="JS35" i="5"/>
  <c r="JT35" i="5" s="1"/>
  <c r="JR35" i="5"/>
  <c r="JS22" i="5"/>
  <c r="JT22" i="5" s="1"/>
  <c r="JR22" i="5"/>
  <c r="JR8" i="5"/>
  <c r="JR9" i="5"/>
  <c r="JS30" i="5"/>
  <c r="JT30" i="5" s="1"/>
  <c r="JR30" i="5"/>
  <c r="JS94" i="5"/>
  <c r="JT94" i="5" s="1"/>
  <c r="JR94" i="5"/>
  <c r="JS56" i="5"/>
  <c r="JT56" i="5" s="1"/>
  <c r="JS47" i="5"/>
  <c r="JT47" i="5" s="1"/>
  <c r="JR47" i="5"/>
  <c r="JR56" i="5"/>
  <c r="JS88" i="5"/>
  <c r="JT88" i="5" s="1"/>
  <c r="JR88" i="5"/>
  <c r="GU51" i="5"/>
  <c r="JS51" i="5" s="1"/>
  <c r="JT51" i="5" s="1"/>
  <c r="JS90" i="5"/>
  <c r="JT90" i="5" s="1"/>
  <c r="JR90" i="5"/>
  <c r="JR11" i="5"/>
  <c r="JS36" i="5"/>
  <c r="JT36" i="5" s="1"/>
  <c r="JR36" i="5"/>
  <c r="JR84" i="5"/>
  <c r="JS43" i="5"/>
  <c r="JT43" i="5" s="1"/>
  <c r="JR43" i="5"/>
  <c r="JS55" i="5"/>
  <c r="JT55" i="5" s="1"/>
  <c r="JR55" i="5"/>
  <c r="ED99" i="5"/>
  <c r="JR99" i="5" s="1"/>
  <c r="EC99" i="5"/>
  <c r="JR101" i="5"/>
  <c r="JS54" i="5"/>
  <c r="JT54" i="5" s="1"/>
  <c r="JS80" i="5"/>
  <c r="JT80" i="5" s="1"/>
  <c r="JR80" i="5"/>
  <c r="JS6" i="5"/>
  <c r="JT6" i="5" s="1"/>
  <c r="JR6" i="5"/>
  <c r="JS103" i="5"/>
  <c r="JT103" i="5" s="1"/>
  <c r="JR103" i="5"/>
  <c r="JS67" i="5"/>
  <c r="JT67" i="5" s="1"/>
  <c r="JS29" i="5"/>
  <c r="JT29" i="5" s="1"/>
  <c r="JS44" i="5"/>
  <c r="JT44" i="5" s="1"/>
  <c r="JR44" i="5"/>
  <c r="JS5" i="5"/>
  <c r="JT5" i="5" s="1"/>
  <c r="JR5" i="5"/>
  <c r="JS14" i="5"/>
  <c r="JT14" i="5" s="1"/>
  <c r="JR14" i="5"/>
  <c r="JS16" i="5"/>
  <c r="JT16" i="5" s="1"/>
  <c r="JS18" i="5"/>
  <c r="JT18" i="5" s="1"/>
  <c r="JR18" i="5"/>
  <c r="JS27" i="5"/>
  <c r="JT27" i="5" s="1"/>
  <c r="JR28" i="5"/>
  <c r="JR38" i="5"/>
  <c r="JS41" i="5"/>
  <c r="JT41" i="5" s="1"/>
  <c r="JR41" i="5"/>
  <c r="JS58" i="5"/>
  <c r="JT58" i="5" s="1"/>
  <c r="JR58" i="5"/>
  <c r="JS65" i="5"/>
  <c r="JT65" i="5" s="1"/>
  <c r="JS93" i="5"/>
  <c r="JT93" i="5" s="1"/>
  <c r="JR93" i="5"/>
  <c r="JS26" i="5"/>
  <c r="JT26" i="5" s="1"/>
  <c r="JS19" i="5"/>
  <c r="JT19" i="5" s="1"/>
  <c r="JR19" i="5"/>
  <c r="IW24" i="5"/>
  <c r="JR24" i="5" s="1"/>
  <c r="FN23" i="5"/>
  <c r="JR23" i="5" s="1"/>
  <c r="FN25" i="5"/>
  <c r="JR25" i="5" s="1"/>
  <c r="JS50" i="5"/>
  <c r="JT50" i="5" s="1"/>
  <c r="JR50" i="5"/>
  <c r="JR61" i="5"/>
  <c r="JS76" i="5"/>
  <c r="JT76" i="5" s="1"/>
  <c r="JR76" i="5"/>
  <c r="JR81" i="5"/>
  <c r="JS89" i="5"/>
  <c r="JT89" i="5" s="1"/>
  <c r="GU52" i="5"/>
  <c r="JR52" i="5" s="1"/>
  <c r="GT78" i="5"/>
  <c r="GU78" i="5" s="1"/>
  <c r="JR83" i="5"/>
  <c r="JS95" i="5"/>
  <c r="JT95" i="5" s="1"/>
  <c r="JR95" i="5"/>
  <c r="JS96" i="5"/>
  <c r="JT96" i="5" s="1"/>
  <c r="JR96" i="5"/>
  <c r="JS4" i="5"/>
  <c r="JT4" i="5" s="1"/>
  <c r="JS31" i="5"/>
  <c r="JT31" i="5" s="1"/>
  <c r="JR31" i="5"/>
  <c r="JS37" i="5"/>
  <c r="JT37" i="5" s="1"/>
  <c r="JR37" i="5"/>
  <c r="JS42" i="5"/>
  <c r="JT42" i="5" s="1"/>
  <c r="JR42" i="5"/>
  <c r="JS15" i="5"/>
  <c r="JT15" i="5" s="1"/>
  <c r="JR15" i="5"/>
  <c r="JS60" i="5"/>
  <c r="JT60" i="5" s="1"/>
  <c r="JR63" i="5"/>
  <c r="JS92" i="5"/>
  <c r="JT92" i="5" s="1"/>
  <c r="JR45" i="5"/>
  <c r="GK87" i="5"/>
  <c r="GL87" i="5" s="1"/>
  <c r="JR102" i="5"/>
  <c r="IM104" i="5"/>
  <c r="IN104" i="5" s="1"/>
  <c r="FM20" i="5"/>
  <c r="FN20" i="5" s="1"/>
  <c r="JR62" i="5"/>
  <c r="FG10" i="5"/>
  <c r="FH10" i="5" s="1"/>
  <c r="FN21" i="5"/>
  <c r="JS21" i="5" s="1"/>
  <c r="JT21" i="5" s="1"/>
  <c r="JR40" i="5"/>
  <c r="EU46" i="5"/>
  <c r="EV46" i="5" s="1"/>
  <c r="JR54" i="5"/>
  <c r="JR89" i="5"/>
  <c r="JR16" i="5"/>
  <c r="JR26" i="5"/>
  <c r="JR98" i="5"/>
  <c r="JR53" i="5"/>
  <c r="JR57" i="5" l="1"/>
  <c r="JS74" i="5"/>
  <c r="JT74" i="5" s="1"/>
  <c r="JR74" i="5"/>
  <c r="JS72" i="5"/>
  <c r="JT72" i="5" s="1"/>
  <c r="JR72" i="5"/>
  <c r="JR51" i="5"/>
  <c r="JR64" i="5"/>
  <c r="JS79" i="5"/>
  <c r="JT79" i="5" s="1"/>
  <c r="JS25" i="5"/>
  <c r="JT25" i="5" s="1"/>
  <c r="JR75" i="5"/>
  <c r="JR77" i="5"/>
  <c r="JS99" i="5"/>
  <c r="JT99" i="5" s="1"/>
  <c r="JS52" i="5"/>
  <c r="JT52" i="5" s="1"/>
  <c r="JR21" i="5"/>
  <c r="JR20" i="5"/>
  <c r="JS20" i="5"/>
  <c r="JT20" i="5" s="1"/>
  <c r="JS78" i="5"/>
  <c r="JT78" i="5" s="1"/>
  <c r="JR78" i="5"/>
  <c r="JS10" i="5"/>
  <c r="JT10" i="5" s="1"/>
  <c r="JR10" i="5"/>
  <c r="JR104" i="5"/>
  <c r="JS104" i="5"/>
  <c r="JT104" i="5" s="1"/>
  <c r="JS87" i="5"/>
  <c r="JT87" i="5" s="1"/>
  <c r="JR87" i="5"/>
  <c r="JS46" i="5"/>
  <c r="JT46" i="5" s="1"/>
  <c r="JR46" i="5"/>
  <c r="JS23" i="5"/>
  <c r="JT23" i="5" s="1"/>
  <c r="JS24" i="5"/>
  <c r="JT24" i="5" s="1"/>
  <c r="JT105" i="5" l="1"/>
  <c r="FT63" i="4" l="1"/>
  <c r="DM63" i="4"/>
  <c r="DN63" i="4" s="1"/>
  <c r="DM62" i="4"/>
  <c r="DN62" i="4" s="1"/>
  <c r="BV62" i="4"/>
  <c r="BM62" i="4"/>
  <c r="CH61" i="4"/>
  <c r="BY61" i="4"/>
  <c r="DM60" i="4"/>
  <c r="DN60" i="4" s="1"/>
  <c r="CE60" i="4"/>
  <c r="BS60" i="4"/>
  <c r="BD59" i="4"/>
  <c r="AR59" i="4"/>
  <c r="BD58" i="4"/>
  <c r="BA58" i="4"/>
  <c r="AR58" i="4"/>
  <c r="FT57" i="4"/>
  <c r="BV57" i="4"/>
  <c r="BY56" i="4"/>
  <c r="BS56" i="4"/>
  <c r="BA55" i="4"/>
  <c r="AX55" i="4"/>
  <c r="AR55" i="4"/>
  <c r="BD54" i="4"/>
  <c r="BA54" i="4"/>
  <c r="AX54" i="4"/>
  <c r="BQ53" i="4"/>
  <c r="BR53" i="4" s="1"/>
  <c r="AU53" i="4"/>
  <c r="DU52" i="4"/>
  <c r="DC52" i="4"/>
  <c r="CZ52" i="4"/>
  <c r="Z52" i="4"/>
  <c r="ES51" i="4"/>
  <c r="EP51" i="4"/>
  <c r="DU51" i="4"/>
  <c r="FB50" i="4"/>
  <c r="CB50" i="4"/>
  <c r="FB49" i="4"/>
  <c r="CB49" i="4"/>
  <c r="L48" i="4"/>
  <c r="M48" i="4" s="1"/>
  <c r="I48" i="4"/>
  <c r="J48" i="4" s="1"/>
  <c r="O47" i="4"/>
  <c r="P47" i="4" s="1"/>
  <c r="I47" i="4"/>
  <c r="J47" i="4" s="1"/>
  <c r="L46" i="4"/>
  <c r="M46" i="4" s="1"/>
  <c r="I46" i="4"/>
  <c r="J46" i="4" s="1"/>
  <c r="CK45" i="4"/>
  <c r="CH45" i="4"/>
  <c r="FO44" i="4"/>
  <c r="FP44" i="4" s="1"/>
  <c r="FL44" i="4"/>
  <c r="FM44" i="4" s="1"/>
  <c r="FI44" i="4"/>
  <c r="FJ44" i="4" s="1"/>
  <c r="CK43" i="4"/>
  <c r="CH43" i="4"/>
  <c r="BY43" i="4"/>
  <c r="FQ42" i="4"/>
  <c r="EY42" i="4"/>
  <c r="AP42" i="4"/>
  <c r="AQ42" i="4" s="1"/>
  <c r="EV41" i="4"/>
  <c r="ED41" i="4"/>
  <c r="AP41" i="4"/>
  <c r="AQ41" i="4" s="1"/>
  <c r="CH40" i="4"/>
  <c r="AP40" i="4"/>
  <c r="AQ40" i="4" s="1"/>
  <c r="DX39" i="4"/>
  <c r="CQ39" i="4"/>
  <c r="AJ39" i="4"/>
  <c r="AK39" i="4" s="1"/>
  <c r="EJ38" i="4"/>
  <c r="EK38" i="4" s="1"/>
  <c r="EL38" i="4" s="1"/>
  <c r="DI38" i="4"/>
  <c r="DJ38" i="4" s="1"/>
  <c r="DK38" i="4" s="1"/>
  <c r="BJ38" i="4"/>
  <c r="BK38" i="4" s="1"/>
  <c r="BL38" i="4" s="1"/>
  <c r="EJ37" i="4"/>
  <c r="EK37" i="4" s="1"/>
  <c r="EL37" i="4" s="1"/>
  <c r="DI37" i="4"/>
  <c r="DJ37" i="4" s="1"/>
  <c r="DK37" i="4" s="1"/>
  <c r="CH37" i="4"/>
  <c r="BJ37" i="4"/>
  <c r="BK37" i="4" s="1"/>
  <c r="BL37" i="4" s="1"/>
  <c r="EJ36" i="4"/>
  <c r="EK36" i="4" s="1"/>
  <c r="EL36" i="4" s="1"/>
  <c r="DI36" i="4"/>
  <c r="DJ36" i="4" s="1"/>
  <c r="DK36" i="4" s="1"/>
  <c r="BJ36" i="4"/>
  <c r="BK36" i="4" s="1"/>
  <c r="BL36" i="4" s="1"/>
  <c r="EN35" i="4"/>
  <c r="EO35" i="4" s="1"/>
  <c r="EJ35" i="4"/>
  <c r="EK35" i="4" s="1"/>
  <c r="EL35" i="4" s="1"/>
  <c r="DI35" i="4"/>
  <c r="DJ35" i="4" s="1"/>
  <c r="DK35" i="4" s="1"/>
  <c r="BJ35" i="4"/>
  <c r="BK35" i="4" s="1"/>
  <c r="BL35" i="4" s="1"/>
  <c r="EJ34" i="4"/>
  <c r="EK34" i="4" s="1"/>
  <c r="EL34" i="4" s="1"/>
  <c r="DI34" i="4"/>
  <c r="DJ34" i="4" s="1"/>
  <c r="DK34" i="4" s="1"/>
  <c r="BK34" i="4"/>
  <c r="BL34" i="4" s="1"/>
  <c r="EJ33" i="4"/>
  <c r="EK33" i="4" s="1"/>
  <c r="EL33" i="4" s="1"/>
  <c r="DI33" i="4"/>
  <c r="DJ33" i="4" s="1"/>
  <c r="DK33" i="4" s="1"/>
  <c r="BK33" i="4"/>
  <c r="BL33" i="4" s="1"/>
  <c r="EJ32" i="4"/>
  <c r="EK32" i="4" s="1"/>
  <c r="EL32" i="4" s="1"/>
  <c r="DI32" i="4"/>
  <c r="DJ32" i="4" s="1"/>
  <c r="DK32" i="4" s="1"/>
  <c r="BK32" i="4"/>
  <c r="BL32" i="4" s="1"/>
  <c r="EJ31" i="4"/>
  <c r="EK31" i="4" s="1"/>
  <c r="EL31" i="4" s="1"/>
  <c r="DI31" i="4"/>
  <c r="DJ31" i="4" s="1"/>
  <c r="DK31" i="4" s="1"/>
  <c r="BK31" i="4"/>
  <c r="BL31" i="4" s="1"/>
  <c r="EJ30" i="4"/>
  <c r="EK30" i="4" s="1"/>
  <c r="EL30" i="4" s="1"/>
  <c r="DI30" i="4"/>
  <c r="DJ30" i="4" s="1"/>
  <c r="DK30" i="4" s="1"/>
  <c r="BK30" i="4"/>
  <c r="BL30" i="4" s="1"/>
  <c r="EJ29" i="4"/>
  <c r="EK29" i="4" s="1"/>
  <c r="EL29" i="4" s="1"/>
  <c r="DI29" i="4"/>
  <c r="DJ29" i="4" s="1"/>
  <c r="DK29" i="4" s="1"/>
  <c r="BK29" i="4"/>
  <c r="BL29" i="4" s="1"/>
  <c r="EJ28" i="4"/>
  <c r="EK28" i="4" s="1"/>
  <c r="EL28" i="4" s="1"/>
  <c r="DI28" i="4"/>
  <c r="DJ28" i="4" s="1"/>
  <c r="DK28" i="4" s="1"/>
  <c r="BK28" i="4"/>
  <c r="BL28" i="4" s="1"/>
  <c r="EJ27" i="4"/>
  <c r="EK27" i="4" s="1"/>
  <c r="EL27" i="4" s="1"/>
  <c r="DI27" i="4"/>
  <c r="DJ27" i="4" s="1"/>
  <c r="DK27" i="4" s="1"/>
  <c r="BK27" i="4"/>
  <c r="BL27" i="4" s="1"/>
  <c r="EJ26" i="4"/>
  <c r="EK26" i="4" s="1"/>
  <c r="EL26" i="4" s="1"/>
  <c r="DI26" i="4"/>
  <c r="DJ26" i="4" s="1"/>
  <c r="DK26" i="4" s="1"/>
  <c r="BJ26" i="4"/>
  <c r="BK26" i="4" s="1"/>
  <c r="BL26" i="4" s="1"/>
  <c r="EJ25" i="4"/>
  <c r="EK25" i="4" s="1"/>
  <c r="EL25" i="4" s="1"/>
  <c r="DI25" i="4"/>
  <c r="DJ25" i="4" s="1"/>
  <c r="DK25" i="4" s="1"/>
  <c r="BJ25" i="4"/>
  <c r="BK25" i="4" s="1"/>
  <c r="BL25" i="4" s="1"/>
  <c r="EG24" i="4"/>
  <c r="FE23" i="4"/>
  <c r="CO23" i="4"/>
  <c r="CP23" i="4" s="1"/>
  <c r="DP22" i="4"/>
  <c r="DQ22" i="4" s="1"/>
  <c r="CU22" i="4"/>
  <c r="CV22" i="4" s="1"/>
  <c r="BH22" i="4"/>
  <c r="BI22" i="4" s="1"/>
  <c r="DP21" i="4"/>
  <c r="DQ21" i="4" s="1"/>
  <c r="CU21" i="4"/>
  <c r="CV21" i="4" s="1"/>
  <c r="EA20" i="4"/>
  <c r="DP20" i="4"/>
  <c r="DQ20" i="4" s="1"/>
  <c r="CU20" i="4"/>
  <c r="CV20" i="4" s="1"/>
  <c r="EA19" i="4"/>
  <c r="DP19" i="4"/>
  <c r="DQ19" i="4" s="1"/>
  <c r="CU19" i="4"/>
  <c r="CV19" i="4" s="1"/>
  <c r="EA18" i="4"/>
  <c r="DP18" i="4"/>
  <c r="DQ18" i="4" s="1"/>
  <c r="CU18" i="4"/>
  <c r="CV18" i="4" s="1"/>
  <c r="BQ17" i="4"/>
  <c r="BR17" i="4" s="1"/>
  <c r="R16" i="4"/>
  <c r="S16" i="4" s="1"/>
  <c r="L16" i="4"/>
  <c r="M16" i="4" s="1"/>
  <c r="R15" i="4"/>
  <c r="S15" i="4" s="1"/>
  <c r="L15" i="4"/>
  <c r="M15" i="4" s="1"/>
  <c r="L14" i="4"/>
  <c r="M14" i="4" s="1"/>
  <c r="I14" i="4"/>
  <c r="J14" i="4" s="1"/>
  <c r="ED13" i="4"/>
  <c r="DF13" i="4"/>
  <c r="BM13" i="4"/>
  <c r="DF12" i="4"/>
  <c r="BM12" i="4"/>
  <c r="AL12" i="4"/>
  <c r="DC11" i="4"/>
  <c r="CZ11" i="4"/>
  <c r="BM11" i="4"/>
  <c r="AD10" i="4"/>
  <c r="AE10" i="4" s="1"/>
  <c r="U10" i="4"/>
  <c r="V10" i="4" s="1"/>
  <c r="ED9" i="4"/>
  <c r="AD9" i="4"/>
  <c r="AE9" i="4" s="1"/>
  <c r="W9" i="4"/>
  <c r="U9" i="4"/>
  <c r="V9" i="4" s="1"/>
  <c r="AL8" i="4"/>
  <c r="AF8" i="4"/>
  <c r="Z8" i="4"/>
  <c r="U8" i="4"/>
  <c r="V8" i="4" s="1"/>
  <c r="AL7" i="4"/>
  <c r="Z7" i="4"/>
  <c r="W7" i="4"/>
  <c r="U7" i="4"/>
  <c r="V7" i="4" s="1"/>
  <c r="CH6" i="4"/>
  <c r="BM6" i="4"/>
  <c r="U6" i="4"/>
  <c r="V6" i="4" s="1"/>
  <c r="CW5" i="4"/>
  <c r="W5" i="4"/>
  <c r="U5" i="4"/>
  <c r="V5" i="4" s="1"/>
  <c r="CW4" i="4"/>
  <c r="W4" i="4"/>
  <c r="U4" i="4"/>
  <c r="V4" i="4" s="1"/>
  <c r="X4" i="4" l="1"/>
  <c r="Y4" i="4" s="1"/>
  <c r="CX4" i="4"/>
  <c r="CY4" i="4" s="1"/>
  <c r="X5" i="4"/>
  <c r="Y5" i="4" s="1"/>
  <c r="CX5" i="4"/>
  <c r="CY5" i="4" s="1"/>
  <c r="BN6" i="4"/>
  <c r="BO6" i="4" s="1"/>
  <c r="CI6" i="4"/>
  <c r="CJ6" i="4" s="1"/>
  <c r="X7" i="4"/>
  <c r="Y7" i="4" s="1"/>
  <c r="AA7" i="4"/>
  <c r="AB7" i="4" s="1"/>
  <c r="AM7" i="4"/>
  <c r="AN7" i="4" s="1"/>
  <c r="AA8" i="4"/>
  <c r="AB8" i="4" s="1"/>
  <c r="AG8" i="4"/>
  <c r="AH8" i="4" s="1"/>
  <c r="AM8" i="4"/>
  <c r="AN8" i="4" s="1"/>
  <c r="X9" i="4"/>
  <c r="Y9" i="4" s="1"/>
  <c r="EE9" i="4"/>
  <c r="EF9" i="4" s="1"/>
  <c r="FX10" i="4"/>
  <c r="FY10" i="4" s="1"/>
  <c r="FW10" i="4"/>
  <c r="BN11" i="4"/>
  <c r="BO11" i="4" s="1"/>
  <c r="DA11" i="4"/>
  <c r="DB11" i="4" s="1"/>
  <c r="DD11" i="4"/>
  <c r="DE11" i="4" s="1"/>
  <c r="AM12" i="4"/>
  <c r="AN12" i="4" s="1"/>
  <c r="BN12" i="4"/>
  <c r="BO12" i="4" s="1"/>
  <c r="DG12" i="4"/>
  <c r="DH12" i="4" s="1"/>
  <c r="BN13" i="4"/>
  <c r="BO13" i="4" s="1"/>
  <c r="DG13" i="4"/>
  <c r="DH13" i="4" s="1"/>
  <c r="EE13" i="4"/>
  <c r="EF13" i="4" s="1"/>
  <c r="FX14" i="4"/>
  <c r="FY14" i="4" s="1"/>
  <c r="FW14" i="4"/>
  <c r="FX15" i="4"/>
  <c r="FY15" i="4" s="1"/>
  <c r="FW15" i="4"/>
  <c r="FX16" i="4"/>
  <c r="FY16" i="4" s="1"/>
  <c r="FW16" i="4"/>
  <c r="FX17" i="4"/>
  <c r="FY17" i="4" s="1"/>
  <c r="FW17" i="4"/>
  <c r="EB18" i="4"/>
  <c r="EC18" i="4" s="1"/>
  <c r="EB19" i="4"/>
  <c r="EC19" i="4" s="1"/>
  <c r="EB20" i="4"/>
  <c r="EC20" i="4" s="1"/>
  <c r="FX21" i="4"/>
  <c r="FY21" i="4" s="1"/>
  <c r="FW21" i="4"/>
  <c r="FX22" i="4"/>
  <c r="FY22" i="4" s="1"/>
  <c r="FW22" i="4"/>
  <c r="FF23" i="4"/>
  <c r="FG23" i="4" s="1"/>
  <c r="EH24" i="4"/>
  <c r="EI24" i="4" s="1"/>
  <c r="FX25" i="4"/>
  <c r="FY25" i="4" s="1"/>
  <c r="FW25" i="4"/>
  <c r="FX26" i="4"/>
  <c r="FY26" i="4" s="1"/>
  <c r="FW26" i="4"/>
  <c r="FX27" i="4"/>
  <c r="FY27" i="4" s="1"/>
  <c r="FW27" i="4"/>
  <c r="FX28" i="4"/>
  <c r="FY28" i="4" s="1"/>
  <c r="FW28" i="4"/>
  <c r="FX29" i="4"/>
  <c r="FY29" i="4" s="1"/>
  <c r="FW29" i="4"/>
  <c r="FX30" i="4"/>
  <c r="FY30" i="4" s="1"/>
  <c r="FW30" i="4"/>
  <c r="FX31" i="4"/>
  <c r="FY31" i="4" s="1"/>
  <c r="FW31" i="4"/>
  <c r="FX32" i="4"/>
  <c r="FY32" i="4" s="1"/>
  <c r="FW32" i="4"/>
  <c r="FX33" i="4"/>
  <c r="FY33" i="4" s="1"/>
  <c r="FW33" i="4"/>
  <c r="FX34" i="4"/>
  <c r="FY34" i="4" s="1"/>
  <c r="FW34" i="4"/>
  <c r="FX35" i="4"/>
  <c r="FY35" i="4" s="1"/>
  <c r="FW35" i="4"/>
  <c r="FX36" i="4"/>
  <c r="FY36" i="4" s="1"/>
  <c r="FW36" i="4"/>
  <c r="CI37" i="4"/>
  <c r="CJ37" i="4" s="1"/>
  <c r="FX38" i="4"/>
  <c r="FY38" i="4" s="1"/>
  <c r="FW38" i="4"/>
  <c r="CR39" i="4"/>
  <c r="CS39" i="4" s="1"/>
  <c r="DY39" i="4"/>
  <c r="DZ39" i="4" s="1"/>
  <c r="CI40" i="4"/>
  <c r="CJ40" i="4" s="1"/>
  <c r="EE41" i="4"/>
  <c r="EF41" i="4" s="1"/>
  <c r="EW41" i="4"/>
  <c r="EX41" i="4" s="1"/>
  <c r="EZ42" i="4"/>
  <c r="FA42" i="4" s="1"/>
  <c r="FR42" i="4"/>
  <c r="FS42" i="4" s="1"/>
  <c r="BZ43" i="4"/>
  <c r="CA43" i="4" s="1"/>
  <c r="CI43" i="4"/>
  <c r="CJ43" i="4" s="1"/>
  <c r="CL43" i="4"/>
  <c r="CM43" i="4" s="1"/>
  <c r="FX44" i="4"/>
  <c r="FY44" i="4" s="1"/>
  <c r="FW44" i="4"/>
  <c r="CI45" i="4"/>
  <c r="CJ45" i="4" s="1"/>
  <c r="CL45" i="4"/>
  <c r="CM45" i="4" s="1"/>
  <c r="FX46" i="4"/>
  <c r="FY46" i="4" s="1"/>
  <c r="FW46" i="4"/>
  <c r="FX47" i="4"/>
  <c r="FY47" i="4" s="1"/>
  <c r="FW47" i="4"/>
  <c r="FX48" i="4"/>
  <c r="FY48" i="4" s="1"/>
  <c r="FW48" i="4"/>
  <c r="CC49" i="4"/>
  <c r="CD49" i="4" s="1"/>
  <c r="FC49" i="4"/>
  <c r="FD49" i="4" s="1"/>
  <c r="CC50" i="4"/>
  <c r="CD50" i="4" s="1"/>
  <c r="FC50" i="4"/>
  <c r="FD50" i="4" s="1"/>
  <c r="DV51" i="4"/>
  <c r="DW51" i="4" s="1"/>
  <c r="EQ51" i="4"/>
  <c r="ER51" i="4" s="1"/>
  <c r="ET51" i="4"/>
  <c r="EU51" i="4" s="1"/>
  <c r="AA52" i="4"/>
  <c r="AB52" i="4" s="1"/>
  <c r="DA52" i="4"/>
  <c r="DB52" i="4" s="1"/>
  <c r="DD52" i="4"/>
  <c r="DE52" i="4" s="1"/>
  <c r="DV52" i="4"/>
  <c r="DW52" i="4" s="1"/>
  <c r="AV53" i="4"/>
  <c r="AW53" i="4" s="1"/>
  <c r="AY54" i="4"/>
  <c r="AZ54" i="4" s="1"/>
  <c r="BB54" i="4"/>
  <c r="BC54" i="4" s="1"/>
  <c r="BE54" i="4"/>
  <c r="BF54" i="4" s="1"/>
  <c r="AS55" i="4"/>
  <c r="AT55" i="4" s="1"/>
  <c r="AY55" i="4"/>
  <c r="AZ55" i="4" s="1"/>
  <c r="BB55" i="4"/>
  <c r="BC55" i="4" s="1"/>
  <c r="BT56" i="4"/>
  <c r="BU56" i="4" s="1"/>
  <c r="BZ56" i="4"/>
  <c r="CA56" i="4" s="1"/>
  <c r="BW57" i="4"/>
  <c r="BX57" i="4" s="1"/>
  <c r="FU57" i="4"/>
  <c r="FV57" i="4" s="1"/>
  <c r="AS58" i="4"/>
  <c r="AT58" i="4" s="1"/>
  <c r="BB58" i="4"/>
  <c r="BC58" i="4" s="1"/>
  <c r="BE58" i="4"/>
  <c r="BF58" i="4" s="1"/>
  <c r="AS59" i="4"/>
  <c r="AT59" i="4" s="1"/>
  <c r="BE59" i="4"/>
  <c r="BF59" i="4" s="1"/>
  <c r="BT60" i="4"/>
  <c r="BU60" i="4" s="1"/>
  <c r="CF60" i="4"/>
  <c r="CG60" i="4" s="1"/>
  <c r="BZ61" i="4"/>
  <c r="CA61" i="4" s="1"/>
  <c r="CI61" i="4"/>
  <c r="CJ61" i="4" s="1"/>
  <c r="BN62" i="4"/>
  <c r="BO62" i="4" s="1"/>
  <c r="BW62" i="4"/>
  <c r="BX62" i="4" s="1"/>
  <c r="FU63" i="4"/>
  <c r="FV63" i="4" s="1"/>
  <c r="FX4" i="4" l="1"/>
  <c r="FY4" i="4" s="1"/>
  <c r="FW4" i="4"/>
  <c r="FX63" i="4"/>
  <c r="FY63" i="4" s="1"/>
  <c r="FW63" i="4"/>
  <c r="FX62" i="4"/>
  <c r="FY62" i="4" s="1"/>
  <c r="FW62" i="4"/>
  <c r="FX61" i="4"/>
  <c r="FY61" i="4" s="1"/>
  <c r="FW61" i="4"/>
  <c r="FX60" i="4"/>
  <c r="FY60" i="4" s="1"/>
  <c r="FW60" i="4"/>
  <c r="FX59" i="4"/>
  <c r="FY59" i="4" s="1"/>
  <c r="FW59" i="4"/>
  <c r="FX58" i="4"/>
  <c r="FY58" i="4" s="1"/>
  <c r="FW58" i="4"/>
  <c r="FX57" i="4"/>
  <c r="FY57" i="4" s="1"/>
  <c r="FW57" i="4"/>
  <c r="FX56" i="4"/>
  <c r="FY56" i="4" s="1"/>
  <c r="FW56" i="4"/>
  <c r="FX55" i="4"/>
  <c r="FY55" i="4" s="1"/>
  <c r="FW55" i="4"/>
  <c r="FX54" i="4"/>
  <c r="FY54" i="4" s="1"/>
  <c r="FW54" i="4"/>
  <c r="FX53" i="4"/>
  <c r="FY53" i="4" s="1"/>
  <c r="FW53" i="4"/>
  <c r="FX52" i="4"/>
  <c r="FY52" i="4" s="1"/>
  <c r="FW52" i="4"/>
  <c r="FX51" i="4"/>
  <c r="FY51" i="4" s="1"/>
  <c r="FW51" i="4"/>
  <c r="FX50" i="4"/>
  <c r="FY50" i="4" s="1"/>
  <c r="FW50" i="4"/>
  <c r="FX49" i="4"/>
  <c r="FY49" i="4" s="1"/>
  <c r="FW49" i="4"/>
  <c r="FX45" i="4"/>
  <c r="FY45" i="4" s="1"/>
  <c r="FW45" i="4"/>
  <c r="FX43" i="4"/>
  <c r="FY43" i="4" s="1"/>
  <c r="FW43" i="4"/>
  <c r="FX42" i="4"/>
  <c r="FY42" i="4" s="1"/>
  <c r="FW42" i="4"/>
  <c r="FX41" i="4"/>
  <c r="FY41" i="4" s="1"/>
  <c r="FW41" i="4"/>
  <c r="FX40" i="4"/>
  <c r="FY40" i="4" s="1"/>
  <c r="FW40" i="4"/>
  <c r="FX39" i="4"/>
  <c r="FY39" i="4" s="1"/>
  <c r="FW39" i="4"/>
  <c r="FX37" i="4"/>
  <c r="FY37" i="4" s="1"/>
  <c r="FW37" i="4"/>
  <c r="FX24" i="4"/>
  <c r="FY24" i="4" s="1"/>
  <c r="FW24" i="4"/>
  <c r="FX23" i="4"/>
  <c r="FY23" i="4" s="1"/>
  <c r="FW23" i="4"/>
  <c r="FX20" i="4"/>
  <c r="FY20" i="4" s="1"/>
  <c r="FW20" i="4"/>
  <c r="FX19" i="4"/>
  <c r="FY19" i="4" s="1"/>
  <c r="FW19" i="4"/>
  <c r="FX18" i="4"/>
  <c r="FY18" i="4" s="1"/>
  <c r="FW18" i="4"/>
  <c r="FX13" i="4"/>
  <c r="FY13" i="4" s="1"/>
  <c r="FW13" i="4"/>
  <c r="FX12" i="4"/>
  <c r="FY12" i="4" s="1"/>
  <c r="FW12" i="4"/>
  <c r="FX11" i="4"/>
  <c r="FY11" i="4" s="1"/>
  <c r="FW11" i="4"/>
  <c r="FX9" i="4"/>
  <c r="FY9" i="4" s="1"/>
  <c r="FW9" i="4"/>
  <c r="FX8" i="4"/>
  <c r="FY8" i="4" s="1"/>
  <c r="FW8" i="4"/>
  <c r="FX7" i="4"/>
  <c r="FY7" i="4" s="1"/>
  <c r="FW7" i="4"/>
  <c r="FX6" i="4"/>
  <c r="FY6" i="4" s="1"/>
  <c r="FW6" i="4"/>
  <c r="FX5" i="4"/>
  <c r="FY5" i="4" s="1"/>
  <c r="FW5" i="4"/>
  <c r="FY64" i="4" l="1"/>
</calcChain>
</file>

<file path=xl/comments1.xml><?xml version="1.0" encoding="utf-8"?>
<comments xmlns="http://schemas.openxmlformats.org/spreadsheetml/2006/main">
  <authors>
    <author>Leidy Yohanna Mosquera Grajales</author>
  </authors>
  <commentList>
    <comment ref="BF59" authorId="0" shapeId="0">
      <text>
        <r>
          <rPr>
            <b/>
            <sz val="9"/>
            <color indexed="81"/>
            <rFont val="Tahoma"/>
            <family val="2"/>
          </rPr>
          <t>Mic inhalambrico sv: $ 120,000 + base para micrófono $90,000
Total 210,000</t>
        </r>
        <r>
          <rPr>
            <sz val="9"/>
            <color indexed="81"/>
            <rFont val="Tahoma"/>
            <family val="2"/>
          </rPr>
          <t xml:space="preserve">
</t>
        </r>
      </text>
    </comment>
  </commentList>
</comments>
</file>

<file path=xl/comments2.xml><?xml version="1.0" encoding="utf-8"?>
<comments xmlns="http://schemas.openxmlformats.org/spreadsheetml/2006/main">
  <authors>
    <author>Ocampo Fajardo, Henry</author>
    <author>Leidy Yohanna Mosquera Grajales</author>
    <author>ALCALDIA USME</author>
    <author>LEIDY YOHANNA</author>
  </authors>
  <commentList>
    <comment ref="FH10" authorId="0" shapeId="0">
      <text>
        <r>
          <rPr>
            <b/>
            <sz val="9"/>
            <color indexed="81"/>
            <rFont val="Tahoma"/>
            <family val="2"/>
          </rPr>
          <t xml:space="preserve">
Precio por 100 unidades = $ 30,000.</t>
        </r>
      </text>
    </comment>
    <comment ref="HP10" authorId="0" shapeId="0">
      <text>
        <r>
          <rPr>
            <b/>
            <sz val="9"/>
            <color indexed="81"/>
            <rFont val="Tahoma"/>
            <family val="2"/>
          </rPr>
          <t xml:space="preserve">
Precio por 100 unidades</t>
        </r>
      </text>
    </comment>
    <comment ref="GD11" authorId="1" shapeId="0">
      <text>
        <r>
          <rPr>
            <sz val="10"/>
            <rFont val="Arial"/>
            <family val="2"/>
          </rPr>
          <t xml:space="preserve">Valor por hora $200.000
</t>
        </r>
      </text>
    </comment>
    <comment ref="GD12" authorId="1" shapeId="0">
      <text>
        <r>
          <rPr>
            <sz val="10"/>
            <rFont val="Arial"/>
            <family val="2"/>
          </rPr>
          <t xml:space="preserve">Valor por hora $ 140.000
</t>
        </r>
      </text>
    </comment>
    <comment ref="DD14" authorId="1" shapeId="0">
      <text>
        <r>
          <rPr>
            <b/>
            <sz val="9"/>
            <color indexed="81"/>
            <rFont val="Tahoma"/>
            <family val="2"/>
          </rPr>
          <t xml:space="preserve"> 001_Catalogo-transporte 0402023</t>
        </r>
        <r>
          <rPr>
            <sz val="9"/>
            <color indexed="81"/>
            <rFont val="Tahoma"/>
            <family val="2"/>
          </rPr>
          <t xml:space="preserve">
*CI-Z11-EM-N1-V11-DU
*Columna AH1182</t>
        </r>
        <r>
          <rPr>
            <b/>
            <sz val="9"/>
            <color indexed="81"/>
            <rFont val="Tahoma"/>
            <family val="2"/>
          </rPr>
          <t xml:space="preserve">
</t>
        </r>
      </text>
    </comment>
    <comment ref="DD15" authorId="1" shapeId="0">
      <text>
        <r>
          <rPr>
            <b/>
            <sz val="9"/>
            <color indexed="81"/>
            <rFont val="Tahoma"/>
            <family val="2"/>
          </rPr>
          <t xml:space="preserve"> 001_Catalogo-transporte 0402023</t>
        </r>
        <r>
          <rPr>
            <sz val="9"/>
            <color indexed="81"/>
            <rFont val="Tahoma"/>
            <family val="2"/>
          </rPr>
          <t xml:space="preserve">
*CI-Z11-EM-N1-V9-DU
*Columna AH1227</t>
        </r>
        <r>
          <rPr>
            <b/>
            <sz val="9"/>
            <color indexed="81"/>
            <rFont val="Tahoma"/>
            <family val="2"/>
          </rPr>
          <t xml:space="preserve">
</t>
        </r>
      </text>
    </comment>
    <comment ref="DG15" authorId="1" shapeId="0">
      <text>
        <r>
          <rPr>
            <sz val="9"/>
            <color indexed="81"/>
            <rFont val="Tahoma"/>
            <family val="2"/>
          </rPr>
          <t xml:space="preserve">
*CI-Z11-EM-N1-V9-DU
*AE1227</t>
        </r>
      </text>
    </comment>
    <comment ref="DA16" authorId="1" shapeId="0">
      <text>
        <r>
          <rPr>
            <sz val="10"/>
            <rFont val="Arial"/>
            <family val="2"/>
          </rPr>
          <t xml:space="preserve"> 001_Catalogo-transporte 0402023
*CI-Z11-EM-N1-V9-DU
*Columna AX1200
</t>
        </r>
      </text>
    </comment>
    <comment ref="DD16" authorId="1" shapeId="0">
      <text>
        <r>
          <rPr>
            <b/>
            <sz val="9"/>
            <color indexed="81"/>
            <rFont val="Tahoma"/>
            <family val="2"/>
          </rPr>
          <t xml:space="preserve"> 001_Catalogo-transporte 0402023</t>
        </r>
        <r>
          <rPr>
            <sz val="9"/>
            <color indexed="81"/>
            <rFont val="Tahoma"/>
            <family val="2"/>
          </rPr>
          <t xml:space="preserve">
*CI-Z11-EM-N1-V10-DU
*Columna AH1200
</t>
        </r>
        <r>
          <rPr>
            <b/>
            <sz val="9"/>
            <color indexed="81"/>
            <rFont val="Tahoma"/>
            <family val="2"/>
          </rPr>
          <t xml:space="preserve">
</t>
        </r>
      </text>
    </comment>
    <comment ref="DA18" authorId="1" shapeId="0">
      <text>
        <r>
          <rPr>
            <b/>
            <sz val="9"/>
            <color indexed="81"/>
            <rFont val="Tahoma"/>
            <family val="2"/>
          </rPr>
          <t xml:space="preserve"> 001_Catalogo-transporte 0402023</t>
        </r>
        <r>
          <rPr>
            <sz val="9"/>
            <color indexed="81"/>
            <rFont val="Tahoma"/>
            <family val="2"/>
          </rPr>
          <t xml:space="preserve">
*CI-Z11-EM-N1-V6-DU
*Columna AX1245</t>
        </r>
        <r>
          <rPr>
            <b/>
            <sz val="9"/>
            <color indexed="81"/>
            <rFont val="Tahoma"/>
            <family val="2"/>
          </rPr>
          <t xml:space="preserve">
</t>
        </r>
      </text>
    </comment>
    <comment ref="DB18" authorId="1" shapeId="0">
      <text>
        <r>
          <rPr>
            <b/>
            <sz val="9"/>
            <color indexed="81"/>
            <rFont val="Tahoma"/>
            <family val="2"/>
          </rPr>
          <t xml:space="preserve"> 001_Catalogo-transporte 0402023</t>
        </r>
        <r>
          <rPr>
            <sz val="9"/>
            <color indexed="81"/>
            <rFont val="Tahoma"/>
            <family val="2"/>
          </rPr>
          <t xml:space="preserve">
*CI-Z11-EM-N1-V6-DU
*Columna AX1245</t>
        </r>
        <r>
          <rPr>
            <b/>
            <sz val="9"/>
            <color indexed="81"/>
            <rFont val="Tahoma"/>
            <family val="2"/>
          </rPr>
          <t xml:space="preserve">
</t>
        </r>
      </text>
    </comment>
    <comment ref="DC18" authorId="1" shapeId="0">
      <text>
        <r>
          <rPr>
            <b/>
            <sz val="9"/>
            <color indexed="81"/>
            <rFont val="Tahoma"/>
            <family val="2"/>
          </rPr>
          <t xml:space="preserve"> 001_Catalogo-transporte 0402023</t>
        </r>
        <r>
          <rPr>
            <sz val="9"/>
            <color indexed="81"/>
            <rFont val="Tahoma"/>
            <family val="2"/>
          </rPr>
          <t xml:space="preserve">
*CI-Z11-EM-N1-V6-DU
*Columna AX1245</t>
        </r>
        <r>
          <rPr>
            <b/>
            <sz val="9"/>
            <color indexed="81"/>
            <rFont val="Tahoma"/>
            <family val="2"/>
          </rPr>
          <t xml:space="preserve">
</t>
        </r>
      </text>
    </comment>
    <comment ref="DM22" authorId="1" shapeId="0">
      <text>
        <r>
          <rPr>
            <sz val="9"/>
            <color indexed="81"/>
            <rFont val="Tahoma"/>
            <family val="2"/>
          </rPr>
          <t xml:space="preserve">ROLLO KRAFT 45CMS X 200MTS 60GRS
</t>
        </r>
      </text>
    </comment>
    <comment ref="GM62" authorId="1" shapeId="0">
      <text>
        <r>
          <rPr>
            <sz val="10"/>
            <rFont val="Arial"/>
            <family val="2"/>
          </rPr>
          <t xml:space="preserve">ALQUILER PLANTA ELECTRICA 90KVA
1 DIA STANDBY 8 HORAS-
</t>
        </r>
      </text>
    </comment>
    <comment ref="GM63" authorId="1" shapeId="0">
      <text>
        <r>
          <rPr>
            <sz val="10"/>
            <rFont val="Arial"/>
            <family val="2"/>
          </rPr>
          <t xml:space="preserve">ALQUILER PLANTA ELECTRICA 125KVA 
1 DIA STANDBY 8 HORAS-
</t>
        </r>
      </text>
    </comment>
    <comment ref="AS66" authorId="2" shapeId="0">
      <text>
        <r>
          <rPr>
            <b/>
            <sz val="9"/>
            <color indexed="81"/>
            <rFont val="Tahoma"/>
            <family val="2"/>
          </rPr>
          <t>EL IVA EN ALIMENTOS CORRESPONDE AL 8%, EL CUAL SE AJUSTA.</t>
        </r>
        <r>
          <rPr>
            <sz val="9"/>
            <color indexed="81"/>
            <rFont val="Tahoma"/>
            <family val="2"/>
          </rPr>
          <t xml:space="preserve">
</t>
        </r>
      </text>
    </comment>
    <comment ref="GJ87" authorId="1" shapeId="0">
      <text>
        <r>
          <rPr>
            <sz val="10"/>
            <rFont val="Arial"/>
            <family val="2"/>
          </rPr>
          <t xml:space="preserve">Valor de $620.000 de la cotización 0952023 y dividido por 6 horas.
</t>
        </r>
      </text>
    </comment>
    <comment ref="EB99" authorId="1" shapeId="0">
      <text>
        <r>
          <rPr>
            <b/>
            <sz val="9"/>
            <color indexed="81"/>
            <rFont val="Tahoma"/>
            <family val="2"/>
          </rPr>
          <t>Item: 
*1 -CAMISETA T-SHIRT MANGA CORTA. 
*4- LOGO ESTAMPADO TAMAÑO BOLSILLO EN PECHO IZQUIERDO A UNA SOLA TINTA / Minimo 12 prendas.
*5-LOGO ESTAMPADO TAMAÑO ESPALDA A UNA SOLA TINTA / Minimo 12 prendas</t>
        </r>
        <r>
          <rPr>
            <sz val="9"/>
            <color indexed="81"/>
            <rFont val="Tahoma"/>
            <family val="2"/>
          </rPr>
          <t xml:space="preserve">
</t>
        </r>
      </text>
    </comment>
    <comment ref="EB100" authorId="1" shapeId="0">
      <text>
        <r>
          <rPr>
            <b/>
            <sz val="9"/>
            <color indexed="81"/>
            <rFont val="Tahoma"/>
            <family val="2"/>
          </rPr>
          <t>Item: 
*2 -CAMISETA TIPO POLO MANGA CORTA SIN BOLSILLO 
*6 - LOGO BORDADO TAMAÑO BOLSILLO EN PECHO IZQUIERDO (SENCILLO) / Minimo 12 prendas
*7-LOGO BORDADO TAMAÑO ESPALDA (SENCILLO) / Minimo 12 prendas</t>
        </r>
        <r>
          <rPr>
            <sz val="9"/>
            <color indexed="81"/>
            <rFont val="Tahoma"/>
            <family val="2"/>
          </rPr>
          <t xml:space="preserve">
</t>
        </r>
      </text>
    </comment>
    <comment ref="IN104" authorId="3" shapeId="0">
      <text>
        <r>
          <rPr>
            <b/>
            <sz val="9"/>
            <color indexed="81"/>
            <rFont val="Tahoma"/>
            <family val="2"/>
          </rPr>
          <t xml:space="preserve">Se ajsuta el iva, ya que en la cotización viene mal fomulado el iva </t>
        </r>
        <r>
          <rPr>
            <sz val="9"/>
            <color indexed="81"/>
            <rFont val="Tahoma"/>
            <family val="2"/>
          </rPr>
          <t xml:space="preserve">
</t>
        </r>
      </text>
    </comment>
  </commentList>
</comments>
</file>

<file path=xl/sharedStrings.xml><?xml version="1.0" encoding="utf-8"?>
<sst xmlns="http://schemas.openxmlformats.org/spreadsheetml/2006/main" count="39091" uniqueCount="737">
  <si>
    <t>No.</t>
  </si>
  <si>
    <t>CATEGORÍA</t>
  </si>
  <si>
    <t>CÓDIGO UNSPSC</t>
  </si>
  <si>
    <t>ELEMENTO</t>
  </si>
  <si>
    <t>UNIDAD DE MEDIDA</t>
  </si>
  <si>
    <t>CANTIDAD REQUERIDA</t>
  </si>
  <si>
    <t>VALOR TOTAL</t>
  </si>
  <si>
    <t>UN</t>
  </si>
  <si>
    <t>OBJETO</t>
  </si>
  <si>
    <t>ALQUILER</t>
  </si>
  <si>
    <t>GRUPO</t>
  </si>
  <si>
    <t>TRANSPORTE</t>
  </si>
  <si>
    <t>LOGÍSTICA</t>
  </si>
  <si>
    <t>AMBULANCIA CON RECORRIDO A MUNICIPIO UBICADO A 100 KM. DE BOGOTÁ</t>
  </si>
  <si>
    <t>AMBULANCIA EN SITIO FIJO</t>
  </si>
  <si>
    <t>TRANSPORTE DE CARGA: CAMIONES (NPR)</t>
  </si>
  <si>
    <t>TRANSPORTE EN LA CIUDAD DE BOGOTÁ</t>
  </si>
  <si>
    <t>TRANSPORTE EN  BOGOTÁ</t>
  </si>
  <si>
    <t>TRANSPORTE EN  BOGOTÁ RURAL Y/O CIUDAD</t>
  </si>
  <si>
    <t>TRANSPORTE EN MUNICIPIOS ALEDAÑOS DE BOGOTÁ</t>
  </si>
  <si>
    <t>FILTRO CARETA</t>
  </si>
  <si>
    <t>TALLERISTAS</t>
  </si>
  <si>
    <t>PLAN DE DATOS</t>
  </si>
  <si>
    <t>PLAN DE CONTINGENCIA
(Baja Complejidad)</t>
  </si>
  <si>
    <t>PLAN DE CONTINGENCIA
(Media Complejidad)</t>
  </si>
  <si>
    <t>PLAN DE CONTINGENCIA
(Alta Complejidad)</t>
  </si>
  <si>
    <t>GRUPO MUSICAL</t>
  </si>
  <si>
    <t>GRUPO ARTÍSTICO</t>
  </si>
  <si>
    <t>AUDITORIO  O SALÓN SENCILLO</t>
  </si>
  <si>
    <t>SONIDO GRANDE</t>
  </si>
  <si>
    <t xml:space="preserve">MODEM </t>
  </si>
  <si>
    <t>PLANTA ELÉCTRICA 50 KVA</t>
  </si>
  <si>
    <t>PLANTA ELÉCTRICA 75 KVA</t>
  </si>
  <si>
    <t>PLANTA ELÉCTRICA 100 KVA</t>
  </si>
  <si>
    <t>PLANTA ELÉCTRICA 120 KVA</t>
  </si>
  <si>
    <t>VALLAS TIPO CONCIERTO</t>
  </si>
  <si>
    <t>PERSONAL LOGÍSTICO</t>
  </si>
  <si>
    <t>INTERPRETE DE SEÑAS</t>
  </si>
  <si>
    <t>PRESENTADOR(A) O MAESTRA(O) DE CEREMONIAS</t>
  </si>
  <si>
    <t>AUXILIAR DE ENFERMERÍA</t>
  </si>
  <si>
    <t>CATERING</t>
  </si>
  <si>
    <t>ESTACIÓN DE CAFÉ (100 PERSONAS)</t>
  </si>
  <si>
    <t>ESTACIÓN DE CAFÉ (300 PERSONAS)</t>
  </si>
  <si>
    <t>ESTACIÓN DE CAFÉ (500 PERSONAS)</t>
  </si>
  <si>
    <t>ANIMACIÓN GRANDE</t>
  </si>
  <si>
    <t>PRESENTACIÓN ARTÍSTICA TIPO CIRCO</t>
  </si>
  <si>
    <t>CUENTERO</t>
  </si>
  <si>
    <t>DJ SET</t>
  </si>
  <si>
    <t>DJ Locales</t>
  </si>
  <si>
    <t>12 Horas</t>
  </si>
  <si>
    <t>6 Horas</t>
  </si>
  <si>
    <t>1 Día</t>
  </si>
  <si>
    <t>1 Mes</t>
  </si>
  <si>
    <t>2 filtros</t>
  </si>
  <si>
    <t>Jornada</t>
  </si>
  <si>
    <t>Mes</t>
  </si>
  <si>
    <t>Evento</t>
  </si>
  <si>
    <t>Grupo x Hora</t>
  </si>
  <si>
    <t>Grupo</t>
  </si>
  <si>
    <t>Hora</t>
  </si>
  <si>
    <t>1 Jornada</t>
  </si>
  <si>
    <t>2 Horas</t>
  </si>
  <si>
    <t>3 Horas</t>
  </si>
  <si>
    <t>4 Horas</t>
  </si>
  <si>
    <t>5 Horas</t>
  </si>
  <si>
    <t>Presentación</t>
  </si>
  <si>
    <t>1 Hora</t>
  </si>
  <si>
    <t>TAPABOCAS</t>
  </si>
  <si>
    <t xml:space="preserve">GUANTES DE NITRILO </t>
  </si>
  <si>
    <t>ALCOHOL</t>
  </si>
  <si>
    <t>PINTURA VINILO</t>
  </si>
  <si>
    <t>PINTURA ESMALTE</t>
  </si>
  <si>
    <t>PINTURA EN CUÑETE</t>
  </si>
  <si>
    <t>PINTURA TRAFICO</t>
  </si>
  <si>
    <t>THINNER</t>
  </si>
  <si>
    <t>ALCOHOL INDUSTRIAL</t>
  </si>
  <si>
    <t>AEROSOL</t>
  </si>
  <si>
    <t>BROCHA GRUESA</t>
  </si>
  <si>
    <t>BROCHA DELGADA</t>
  </si>
  <si>
    <t>PINCEL GRUESO</t>
  </si>
  <si>
    <t>KIT PINCELES</t>
  </si>
  <si>
    <t>RODILLO GRANDE</t>
  </si>
  <si>
    <t>ESPATULA DELGADA</t>
  </si>
  <si>
    <t>ESPATULA GRUESA</t>
  </si>
  <si>
    <t>COMPRA</t>
  </si>
  <si>
    <t>Caja</t>
  </si>
  <si>
    <t>Unidad</t>
  </si>
  <si>
    <t>Galón</t>
  </si>
  <si>
    <t>Par</t>
  </si>
  <si>
    <t>Cuñete</t>
  </si>
  <si>
    <t>Kit x 12</t>
  </si>
  <si>
    <t>CARACTERISTICA TÉCNICA</t>
  </si>
  <si>
    <t>Tapabocas Desechable Hipoalérgico de papel Filtro Industrial - Tres (3) Capas Tipo Quirúrgico Azul x 50 unidades empaque plastico individual</t>
  </si>
  <si>
    <t>Caja de Guantes de Nitrilo x 100 unidades ajustables desechables, Calibre 3, antialérgico multiusos resistente a solventes. Caja x 100 unidades.</t>
  </si>
  <si>
    <t>Tapabocas Desechable Industrial elaborados en tela respirable no tejida y espuma de polipropileno refuerzo nasal en alambre forrado o platina de aluminio, con ajuste en caucho grueso cosido * 100 unidades</t>
  </si>
  <si>
    <t>Alcohol Antiseptico al 70% con ficha técnica y etiquetas de uso</t>
  </si>
  <si>
    <t>Guante Tipo ingeniero elaborado en vaqueta con refuerzo en dedos y palma. Caja x 1 Par</t>
  </si>
  <si>
    <t>Galón Vinilo Tipo 1 Vinilos colores básicos (amarillo blanco, azul y rojo) galón</t>
  </si>
  <si>
    <t>Galón Esmalte Tipo 1 color básicos (amarillo, azul, blanco y rojo) galón</t>
  </si>
  <si>
    <t>Cuñete plástico de 5 galones. Pintura formulada con terpolímero acrílico de última generación, diluible con agua, de acabado mate, Recomendada para proteger y decorar fachadas y muros en obras nuevas.</t>
  </si>
  <si>
    <t>Pintura Epóxica  (alto trafico) con catalizador de última generación, especial para proteger espacios internos y externos con requerimiento de lavado frecuente.</t>
  </si>
  <si>
    <t>Thinner extrafino El diluyente, disolvente o diluente, también conocido como adelgazador o rebajador de pinturas. con ficha técnica y etiquetas de uso</t>
  </si>
  <si>
    <t>Alcohol industrial. con ficha técnica y etiquetas de uso</t>
  </si>
  <si>
    <t>Spray o Aerosol de pintura de acabado mate o brillante para multisuperficies. Uso Interiores y Exteriores. Entre 350 y 450 ml.
Fabricado con resinas alquídicas modificadas de última generación y desarrollado para desafiar las más altas exigencias del mercado de las bellas artes y el graffiti. Adaptable así mismo a las exigencias en la decoración de interiores y exteriores. Diseñado y formulado con productos de excelente calidad, buscando en todo momento la estabilidad del color</t>
  </si>
  <si>
    <t>Bandeja para pintura (Paleta plástica) para mezclas de pintura con cavidades. Color blanco. Para rodillo de tamaño de 9"</t>
  </si>
  <si>
    <t>Brocha Gruesa 3" (7.6 cm), mango plástico y/o madera, refuerzo metálico.</t>
  </si>
  <si>
    <t>Brocha Gruesa 2" (7.4cm), mango plástico y/o madera, refuerzo metálico.</t>
  </si>
  <si>
    <t>Pincel Grueso en punta 12 mm, mango en madera barnizado 10" de largo, refuerzo metálico, cerda semidura.</t>
  </si>
  <si>
    <t>Set de pinceles sinteticos x 12 unidades</t>
  </si>
  <si>
    <t>CINTA DE DEMARCACIÓN</t>
  </si>
  <si>
    <t>Rollo de Cinta de Precaución, color amarillo de fondo con texto "PRECAUCIÓN - NO PASE" 70 mm (ANCHO). X 100 metros (LARGO). Material Plástico</t>
  </si>
  <si>
    <t>AFICHES</t>
  </si>
  <si>
    <t>Afiches de 1/2 pliego propalcote 90 gr 4x0 y 1x0, bond
Acabado brillante</t>
  </si>
  <si>
    <t>VOLANTES</t>
  </si>
  <si>
    <t>Volante 1/2 carta propalcote 90 gr 4x4, 4x1 y 4x0 con acabado relife. Impreso a Una (1) cara</t>
  </si>
  <si>
    <t>PASACALLE</t>
  </si>
  <si>
    <t>Producción de pasacalle baner para exteriores, lona impresa flexible, ojales reforzados metalicos en los 4 costados 6 mts x 1.10 mts, tintas 4 x 0 –de acuerdo al diseño que entregue la Alcaldía Local - incluye estructura o base autosostenible, así como la instalación y desintalación según necesidad en la ciudad  de Bogotá.</t>
  </si>
  <si>
    <t>Producción de pasacalle baner para exteriores, lona impresa flexible, ojales reforzados metalicos en los 4 costados 4 mts x 1.10 mts, tintas 4 x 0 –de acuerdo al diseño que entregue la Alcaldía Local - incluye estructura o base autosostenible, así como la instalación y desintalación según necesidad en la ciudad  de bogotá</t>
  </si>
  <si>
    <t>Rollo</t>
  </si>
  <si>
    <t>Millar</t>
  </si>
  <si>
    <t xml:space="preserve">Unidad </t>
  </si>
  <si>
    <t>MICRÓFONO DE SOLAPA</t>
  </si>
  <si>
    <t>Alquiler con accesorios incluidos. Por un Día</t>
  </si>
  <si>
    <t>MICRÓFONO INALÁMBRICO</t>
  </si>
  <si>
    <t>Alquier Micrófono inalambrico con sistema VHF y circuito de retroalimentación efectiva con sistema de supresión de ruido. Por un Día</t>
  </si>
  <si>
    <t>CARPA 12X12</t>
  </si>
  <si>
    <t>Alquiler Carpa estructural lona 100% impermeable; resistente a la intemperie tipo kiosco, Lona alta densidad, alto calibre con microfibras internas para mayor duración calibre 700 a 530 fibras de 12x12 mts con techo blanco con laterales, debe tener extintor multiproposito 20 libras. Por un Día Incluye Transporte</t>
  </si>
  <si>
    <t>CARPA 2X2</t>
  </si>
  <si>
    <t>Alquiler Carpa Estructural lona 100% impermeable; resistente a la intemperie de 2x2 mts, Lona alta densidad, alto calibre con microfibras internas para mayor duración calibre 700 a 530 fibrascon laterales. Por un Día Incluye Transporte</t>
  </si>
  <si>
    <t>TARIMA-CARPA 9x6</t>
  </si>
  <si>
    <t>Alquiler Tarima de 9x6 mts con carpa estructural, escalera a la altura requerida (1,5 mts) y faldones Estructura certificada, debe tener extintor multiproposito 20 libras. Por un Día, Incluye Transporte</t>
  </si>
  <si>
    <t>TARIMA-CARPA 2x6</t>
  </si>
  <si>
    <t>Alquiler Tarima de 2 x 6 mts con carpa estructural, escalera a la altura requerida (1,5 mts) y faldones. Estructura certificada, debe tener extintor multiproposito 20 libras. Por un Día  Incluye Transporte</t>
  </si>
  <si>
    <t>MESAS</t>
  </si>
  <si>
    <t>BAÑO PORTÁTIL BÁSICO</t>
  </si>
  <si>
    <t>BAÑO PORTÁTIL CON LAVAMANOS</t>
  </si>
  <si>
    <t>BAÑO PORTATIL PARA DISCAPACITADOS</t>
  </si>
  <si>
    <t>Alquiler de baño portátil para personas en condici{on de discapacidad para eventos masivos. Incluye suministro de papelhigiénico y transporte de las unidades. Por un Día. Incluye Transporte</t>
  </si>
  <si>
    <t>1 dia</t>
  </si>
  <si>
    <t>LOGISTICA</t>
  </si>
  <si>
    <t>MATERAS</t>
  </si>
  <si>
    <t>Matera en Concreto: Medidas: 80 cm Largo x 35 cm Ancho x 35 cm Alto, Acabado: Liso con borde, Estructura con malla semiacelerada, Impermeabilizada en su interior con Sika y con recubrimiento para unificación de color, Adecuadas para interior y exterior.</t>
  </si>
  <si>
    <t>Jardinera en barro de 36 cm x 36 cm x 36 cm</t>
  </si>
  <si>
    <t>ESPECIE VEGETAL</t>
  </si>
  <si>
    <t>TIERRA</t>
  </si>
  <si>
    <t>Tierra abonada x bulto de 5 kilos. Incluye Transporte</t>
  </si>
  <si>
    <t>Bulto x 5 Kilos</t>
  </si>
  <si>
    <t>ABONO</t>
  </si>
  <si>
    <t>Material de abono como cascarilla de arroz x bulto de 5 kilos. Incluye Transporte</t>
  </si>
  <si>
    <t>Bulto</t>
  </si>
  <si>
    <t>LISTON DE MADERA</t>
  </si>
  <si>
    <t>Liston Bastidor 5x3 cm 2.5 Mts. Cedro Blanco</t>
  </si>
  <si>
    <t>CERRAMIENTOS</t>
  </si>
  <si>
    <t xml:space="preserve">Cerramientos temporales tipo cerca baja (tela Polisombra Verde 80%) 4 mts de ancho x 10 mts de largo </t>
  </si>
  <si>
    <t>HIDROLAVADORA</t>
  </si>
  <si>
    <t>ESCOBA DURA</t>
  </si>
  <si>
    <t>ESCOBA SUAVE</t>
  </si>
  <si>
    <t>Escoba de cerda suave que incluya mango</t>
  </si>
  <si>
    <t xml:space="preserve">PALA RECTA </t>
  </si>
  <si>
    <t>PALA CURVA</t>
  </si>
  <si>
    <t>CHAQUETA CORTAVIENTOS</t>
  </si>
  <si>
    <t>Tipo: 	Chaqueta institucional tipo cortavientos
Tallas:	XS, S, M, L, XL (*)
Tela:	Tela antifluido resistente al agua
Color:	Negro y rojo vivo
Capota:	Capota en el mismo material.
Diseño:    Con Capota y cordones ajustables
Puños:     Elasticos cerrados Bicolor 
Cintura:    Elasticos Bicolor
Bolsillos: 2 Laterales con cremallera y uno interno
Estampados: Con Logo tipo institucional frontal y trasera en técnica DTG, impresión digital directa a la prenda.
Cremalleras americanas en nylon de optima calidad
Cuello Tipo Alpinista con franja que cubre el cierre frontal de la chaqueta
Marquilla que identifique la talla, el material de le de la prenda y las indicaciones de cuidado.</t>
  </si>
  <si>
    <t>GORRA INSTITUCIONAL</t>
  </si>
  <si>
    <t>Gorras de seis (6) paneles en tela dril esmerilado con cierre de hebilla metalica, botón superior forrado, en dril liviano y víscera rígida indeformqable 6 costuras en plástico de polietileno. encintado interior, tafilete absorbente en poliéster algodón 
Bordados 1 uno al frente  y 3 tres atras pequeños
otro en la parte de atrás según imagen institucional. Color Negro Conforme al diseño presentado</t>
  </si>
  <si>
    <t>TULA</t>
  </si>
  <si>
    <t>tula deportiva  impermeable negro 30 x 40 cm  16 lt  ajustable con tirantes de 2 pulgadas de grosor  estampado en técnica DTG con logo parceros por bogotá tamaño carta parte frontal superior y tres pequeños en parte inferior. según imagen institucional. Poliester - impermeable, Capacidad de 16 litros</t>
  </si>
  <si>
    <t>Una ambulancia medicalizada, de una Institución Médica Privada Reconocida, con el respectivo médico que acompañe toda la jornada (12 horas aprox), con ida y vuelta hasta el lugar seleccionado (Ubicado maximo a 100 km de Bogota). Incluye pago de peajes, combustible y otros gastos en que pueda incurrir. Copia de revisión de ultimo Mantenimiento</t>
  </si>
  <si>
    <t>Una ambulancia medicalizada, de una Institución Médica Privada Reconocida, con el respectivo médico que acompañe todo el evento, máximo durante seis (6) horas en la ciudad de Bogotá. Copia de revisión de ultimo Mantenimiento</t>
  </si>
  <si>
    <t>Alquiler de transporte y embalaje para elementos de gran volumen dentro de la ciudad de Bogotá. En perfectas condiciones técnicas con documentación completamente al día Modelo Mínimo 2018 (SOAT, Revisión Técnico-Mecánica, Tarjeta de Propiedad, Copia de revisión de ultimo Mantenimiento) para transporte dentro de la ciudad de Bogotá, Capacidad de carga de 5 Toneladas y 20 mts3 minimo. (Incluye ida y regreso al sitio de origen al finalizar el evento)</t>
  </si>
  <si>
    <t>Alquiler de buses con capacidad de 40 pasajeros en perfectas condiciones técnicas con documentación completamente al día Modelo Mínimo 2018 (SOAT, Revisión Técnico-Mecánica, Tarjeta de Propiedad, Copia de revisión de ultimo Mantenimiento) para transporte, con recorrido dentro de ciudad de Bogota (Incluye ida y regreso al sitio de origen al finalizar el evento)</t>
  </si>
  <si>
    <t>Alquiler de vans con capacidad para 19 pasajeros en perfectas condiciones técnicas con documentación completamente al día Modelo Mínimo 2018 (SOAT, Revisión Técnico-Mecánica, Tarjeta de Propiedad, Copia de revisión de ultimo Mantenimiento) para transporte dentro de la ciudad de Bogotá, (Incluye ida y regreso al sitio de origen al finalizar el evento)</t>
  </si>
  <si>
    <t>Alquiler de vans con capacidad para 25 pasajeros en perfectas condiciones técnicas con documentación completamente al día Modelo Mínimo 2018 (SOAT, Revisión Técnico-Mecánica, Tarjeta de Propiedad, Copia de revisión de ultimo Mantenimiento) para transporte dentro de la ciudad de Bogotá, (Incluye ida y regreso al sitio de origen al finalizar el evento)</t>
  </si>
  <si>
    <t>Alquiler de camioneta Pick up doble cabina 4x4 entre 2.450cc – 2.849cc en perfectas condiciones técnicas con documentación completamente al día Modelo Mínimo 2018 (SOAT, Revisión Técnico-Mecánica, Tarjeta de Propiedad, Copia de revisión de ultimo Mantenimiento) para transporte dentro de la ciudad de Bogotá, (Incluye ida y regreso al sitio de origen al finalizar el evento)</t>
  </si>
  <si>
    <t>Alquiler de buses con baño con capacidad de 40 pasajeros, en perfectas condiciones técnicas con documentación completamente al día Modelo Mínimo 2018 (SOAT, Revisión Técnico-Mecánica, Tarjeta de Propiedad, Copia de revisión de ultimo Mantenimiento) para transporte a un Municipio ubicado a 100 Km. de Bogotá (Melgar, Girardot, Villeta, etc.), con un punto de partida en la localidad (Incluye ida y regreso al sitio de origen al finalizar el evento y pago de peajes, combustible y otros gastos en que pueda incurrir)</t>
  </si>
  <si>
    <t>Filtros para Careta respirador doble para aplicación de plaguicidas. "Trabajos de Jardinería"</t>
  </si>
  <si>
    <t>Talleristas  de reconocida trayectoria en temáticas específicas de interés de cada uno de los proyectos.</t>
  </si>
  <si>
    <t xml:space="preserve">Contratación planes de datos que incluya llamadas ilimitadas y Datos entre 10bgt a 12 gbt, por la duración del contrato. </t>
  </si>
  <si>
    <t>Elaboración, Evaluación, Publicación y Autorización del Plan de Contingencia para el Evento Masivo de Baja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y/o tecnologo en atención pre hospitalaria,  enfermero y/o tecnico auxiliar de enfermeria, brigadista tramite ante bomberos, defensa civil  y demás aspectos requeridos a las normas nacionales y distritales en el asunto</t>
  </si>
  <si>
    <t>Elaboración, Evaluación, Publicación y Autorización del Plan de Contingencia para el Evento Masivo de Media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medicalizada,   paramédico y/o tecnologo en atención pre hospitalaria,  enfermero y/o tecnico auxiliar de enfermeria, brigadista,  jefe de emergencias, tramite ante bomberos, defensa civil y demás aspectos requeridos.a las normas nacionales y distritales en el asunto. Además los  permisos pertinentes.</t>
  </si>
  <si>
    <t>Elaboración, Evaluación, Publicación y Autorización del Plan de Contingencia para el Evento Masivo de Alta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medicalizada, paramédico y/o tecnologo en atención pre hospitalaria,  enfermero y/o tecnico auxiliar de enfermeria, medico general, brigadista,  jefe de emergencias y demás aspectos requeridos.a las normas nacionales y distritales en el asunto. Además los  permisos pertinentes.</t>
  </si>
  <si>
    <t>Orquesta Musical de mínimo 4 integrantes y/o músicos en vivo y por lo menos 4 instrumentos para eventos varios en la localidad. Diversidad de géneros musicales. (Incluido Transporte, Instrumentos) por Hora de Presentación</t>
  </si>
  <si>
    <t>Agrupación Teatral o artística de minimo 6 personas de carácter profesional que maneje diferentes técnicas con una puesta en escena entre 45 - 60 minutos.</t>
  </si>
  <si>
    <t>Alquiler por hora, incluyendo servicio de aseo, para el desarrollo de sesiones con capacidad para grupos entre cincuenta y ochenta  personas. Incluye mesas, sillas, video beam y sonido basico.</t>
  </si>
  <si>
    <t xml:space="preserve">Sonido line array 8000 px colgado del trus 25000 vatios se compone de: (2) consola de 40 canales digital, (1) rack de procesos para el frente y monitores digitales, (8) medios altos de 1780 vatios c/u de 136 db de presion sonora, (4) sub bajos de 2000 vatios c/u, (8) monitores de piso, (2) side fill a tres vias, (1) racks de amplificadores, (1) kit de microfonos de acuerdo a los requerimientos, (32) bases de microfonos, (1) central electrica para las conexiones del equipo, (1) unidad de cd profesional denom doble 1 usb </t>
  </si>
  <si>
    <t>Inalámbrico de internet de alta potencia 450 Mbps (alquiler) con servicio incluido de alta capacidad</t>
  </si>
  <si>
    <t>Alquiler de Planta Eléctrica de 50 KVA (transporte, parcial de corriente 10 metros, trifásica, tierra y neutro, operario), e insonorizada. (1 jornada)</t>
  </si>
  <si>
    <t>Alquiler de Planta Eléctrica de 75 a 90 KVA (transporte, parcial de corriente 10 metros, trifásica, tierra y neutro, operario) e insonorizada</t>
  </si>
  <si>
    <t>Alquiler de Planta Eléctrica de 100 a 125 KVA (transporte, parcial de corriente 10 metros, trifásica, tierra y neutro, operario), e insonorizada. (1 jornada)</t>
  </si>
  <si>
    <t>Alquiler de Planta Eléctrica de 120 KVA (transporte, parcial de corriente 10 metros, trifásica, tierra y neutro, operario), e insonorizada. (1 Jornada)</t>
  </si>
  <si>
    <t xml:space="preserve">Alquiler de Vallas Tipo Concierto con las siguientes dimensiones: Largo: 2,00mts  Ancho: 1,40 mts Diámetro de Tubo: 11/4 pulgadas.  Fabricadas en tubo de alta resistencia. Patas de 40 cm. por 20 cm. para perfecto sostenimiento. Por unidad. Incluye transporte ida y regreso e instalación </t>
  </si>
  <si>
    <t>Estudiantes universitarios o estudiantes bachilleres mayores de edad, con experiencia en trabajo logístico de mas de 24 meses, durante una (1) jornada de máximo ocho (8) horas</t>
  </si>
  <si>
    <t>Presentador o maestro de ceremonia con experiencia en presentación y manejo de eventos culturales populares. Jornada por 5-8 horas
Título en formación técnica o tecnológica o acreditación y aprobación del 50% o más de un plan de estudios de una carrera profesional.
36 meses de experiencia laboral en presentación y experiencia en por lo menos tres (3) eventos de carácter masivo para entidades públicas y/o proyectos sociales</t>
  </si>
  <si>
    <t xml:space="preserve">Auxiliar de enfermería, con kit de primeros auxilios. </t>
  </si>
  <si>
    <t>Servicio de Catering, que incluya servido en la mesa, menaje, manteles, cristalería, recipientes para servir por jornada. Para 100 personas</t>
  </si>
  <si>
    <t>Servicio de cafetería (tinto, aromática y agua): Operario + presentación mesa + vasos de cartón bebida caliente  4 oz. + mezclador + azúcar + crema para café). Duración del evento aprox. 5 horas. Transporte incluido, para 100 personas</t>
  </si>
  <si>
    <t>Servicio de cafetería (tinto, aromática y agua): Operario + presentación mesa + vasos de cartón bebida caliente  4 oz. + mezclador + azúcar + crema para café). Incluye galletas tipo avena o integrales. Duración del evento aprox. 5 horas. Transporte incluido, para 300 personas.</t>
  </si>
  <si>
    <t>Servicio de cafetería (tinto, aromática y agua): Operarios + presentación de mesas + vasos de cartón bebida caliente  4 oz. + mezclador + azúcar + crema para café). Incluye galletas tipo avena o integrales. Duración del evento aprox. 5 horas. Transporte incluido. Servicio de café para 500 personas, para 500 personas.</t>
  </si>
  <si>
    <t>Paquete recreación Especializada Grande con las siquientes estaciones: Taller de pintura, Pintucaritas, Globoflexia, Obra de títeres, Representacion de 3 tres personajes, 7 juegos de feria para diferentes edades, Sonido a espacio abierto, Recreación dirigida, Actividad musical recreativa "coreografias", Decoracion (la feria debe ir delimitada con banderines de colores), 300 niños. 4 Horas</t>
  </si>
  <si>
    <t>Agrupación Teatral o de Circo de carácter profesional de minimo 12 personas que maneje diferentes técnicas circenses con una puesta en escena en la que usen implementos como Zancos, Monociclos, Esferas, Clavas, Vestuario, Máscaras, Maquillaje, entre otros (entre 30 y 45 minutos)</t>
  </si>
  <si>
    <t>Presentación de funcion de narración oral ó cuentería para niños, jovenes y/o adultos. 1 Hora</t>
  </si>
  <si>
    <t>2 tornamesa technichs 1200 .Mezclador vestax ,rane o similares para dj de rap sobre tarima para el dj para que no pase golpes al equipo del dj , Mesa estable , Cuñas de corriente y cajas de paso para la conexión. (Jornada de 8 horas)</t>
  </si>
  <si>
    <t>Servicios de DJ Locales 
(Jornada de 8 horas)</t>
  </si>
  <si>
    <t xml:space="preserve">EQUIPO DE TRANSMISIÓN </t>
  </si>
  <si>
    <t>CARPA 12X6</t>
  </si>
  <si>
    <t>CARPA 12X24</t>
  </si>
  <si>
    <t>TARIMA-CARPA 12x6</t>
  </si>
  <si>
    <t>TARIMA-CARPA 12x12</t>
  </si>
  <si>
    <t>SILLAS CON BRAZOS</t>
  </si>
  <si>
    <t>TRAJES DE DANZA Y TEATRO</t>
  </si>
  <si>
    <t>SILLAS  SIN BRAZOS</t>
  </si>
  <si>
    <t>Servicio de alquiler de un equipo de transmisión que debe estar compuesto por 4 cámaras de video continuó salida HDMI 1920 x 1080, 1 switcher con mínimo 4 entradas de señal, 1 soporte móvil para cámara tipo grúa, dolly o estabilizador, Cableado mínimo hdmi de 20 mts o transmisores de señal inalámbrica, Mínimo 3 apuntadores para escenario,  1 Sistema de intercomunicación para camarógrafos, 1 Plataforma de emisión de streaming que permita la emisión de contenido de video, Pantalla para streamer (monitor), Consola de audio digital mínimo 16 canales, estructuras tipo truss (servicio de alquiler, el mismo incluye servicio de instalación y desarmado)</t>
  </si>
  <si>
    <t xml:space="preserve">Micrófono de Solapa, Con accesorios incluidos (alquiler) </t>
  </si>
  <si>
    <t>Micrófono de solapa con sistema VHF y circuito de retroalimentación efectiva con sistema de supresión de ruido. (alquiler)</t>
  </si>
  <si>
    <t>Alquiler Carpa estructural lona 100% impermeable; resistente a la intemperie tipo kiosco, Lona alta densidad, alto calibre con microfibras internas para mayor duración calibre 700 a 530 fibras de 12x12 mts con techo blanco con laterales. debe tener extintor multiproposito 20 libras. Incluye transporte, montaje y desmontaje</t>
  </si>
  <si>
    <t>Alquiler Carpa estructural lona 100% impermeable; resistente a la intemperie tipo kiosco de 12x6 mts, Lona alta densidad, alto calibre con microfibras internas para mayor duración calibre 700 a 530 fibras con techo blanco con laterales. debe tener extintor multiproposito 20 libras. Incluye transporte, montaje y desmontaje</t>
  </si>
  <si>
    <t>Alquiler de Carpa Modular Tipo Hangar de 12X24 mts con laterales, Lona alta densidad, alto calibre con microfibras internas para mayor duración calibre 700 a 530 fibras, incluyendo soportes estructurales, armado, instalación y adecuación con laterales, así como el desarmado y transporte de la misma (por jornada en un sitio fijo) debe tener extintor multiproposito 20 libras.</t>
  </si>
  <si>
    <t>Alquiler Tarima de 12 x 6 mts con carpa estructural, escalera a la altura requerida (1,5 mts) y faldones. Estructura certificada, debe tener extintor multiproposito 20 libras. Incluye transporte, montaje y desmontaje</t>
  </si>
  <si>
    <t>Alquiler Techo Estructura en Trus 12x12 mts, escalera a la altura requerida (1,5 mts) y faldones. Lona alta densidad, alto calibre con microfibras internas para mayor duración calibre 700 a 530 fibras, Tarima de 25 tablones, Scaffold para sistema PA de 9 mts de Alto y estructura certificada. debe tener extintor multiproposito 20 libras. Incluye transporte, montaje y desmontaje</t>
  </si>
  <si>
    <t>Alquiler de sillas plásticas con brazos para adultos</t>
  </si>
  <si>
    <t>Alquiler de mesas plásticas 4 puestos para adultos</t>
  </si>
  <si>
    <t>Alquiler Mesas de 90X60 cm para la exhibición de productos de los beneficiarios</t>
  </si>
  <si>
    <t xml:space="preserve">Alquiler de baño portátil por jornada en eventos masivos. Incluye suministro de papel higiénico, bateria, limpieza, disposición para uso, transporte ida y regreso de las unidades, instalación y des instalación. </t>
  </si>
  <si>
    <t xml:space="preserve">Alquiler de baño portátil con opción de lavamanos para eventos masivos. Incluye suministro de papel higiénico, bateria, limpieza, disposición para uso, transporte ida y regreso de las unidades, instalación y des instalación. </t>
  </si>
  <si>
    <t>Alquiler trajes para danza y teatro con accesorios incluidos para una jornada.  Tallas varias adultos y niños (Alquiler por traje x Día)</t>
  </si>
  <si>
    <t>Alquiles de sillas plásticas sin brazos, (alquiler, incluye disposición en el sitio del evento y transportes)</t>
  </si>
  <si>
    <t>COMPONENTE 2. MESA DE INDIGENAS</t>
  </si>
  <si>
    <t>UNIDAD</t>
  </si>
  <si>
    <t>GUANTES VAQUETA REFORZADO</t>
  </si>
  <si>
    <t>Rodillo anti goteo para fachadas 12" mango plástico.</t>
  </si>
  <si>
    <t>unidad</t>
  </si>
  <si>
    <t xml:space="preserve">Tijeras para podar ramas </t>
  </si>
  <si>
    <t>TIJERAS DE PODAR</t>
  </si>
  <si>
    <t>Pala Metálica de Jardinería con cabo</t>
  </si>
  <si>
    <t>Pala Redonda No. 2 con cabo</t>
  </si>
  <si>
    <t>Un sólido: Un pastel de pollo o un pastel gloria, jugo o avena en caja, fruta (manzana, pera, durazno, banano, mandarina, o ciruela) y dulce de chocolate. Que cumpla con las normas de Bioseguridad - Empacado</t>
  </si>
  <si>
    <t>MARCADOR PERMANENTE</t>
  </si>
  <si>
    <t>MARCADOR BORRABLE</t>
  </si>
  <si>
    <t>PAPEL KRAFT</t>
  </si>
  <si>
    <t>Caja de marcadores punta gruesa - Colores Surtidos</t>
  </si>
  <si>
    <t>Caja x 10 y/o 12</t>
  </si>
  <si>
    <t>Caja de marcadores borrables punta gruesa - Colores Surtidos</t>
  </si>
  <si>
    <t>Caja x 10</t>
  </si>
  <si>
    <t>Rollo papel kratf 60 gramos, 200 a 230 METROS</t>
  </si>
  <si>
    <t>CINTA TRANSPARENTE 2"</t>
  </si>
  <si>
    <t xml:space="preserve">Cinta Ancha 2" Transparente </t>
  </si>
  <si>
    <t>VINILO 100 ml</t>
  </si>
  <si>
    <t>VINILO</t>
  </si>
  <si>
    <t>Vinilos colores básicos (amarillo, azul y rojo) frasco de 100 ml</t>
  </si>
  <si>
    <t>Frasco</t>
  </si>
  <si>
    <t>Vinilos colores básicos (amarillo, azul y rojo) galón</t>
  </si>
  <si>
    <t>Bisturí metalico resistente.</t>
  </si>
  <si>
    <t>BISTURÍ GRANDE</t>
  </si>
  <si>
    <t>CARETA RESPIRADOR</t>
  </si>
  <si>
    <t>Careta respirador doble filtro para aplicación de plaguicidas "Trabajos de Jardinería"</t>
  </si>
  <si>
    <t>GAFAS DE SEGURIDAD</t>
  </si>
  <si>
    <t>Gafas de seguridad transparentes antiempañantes, filtro UV con cordón de sujeción al cuello</t>
  </si>
  <si>
    <t>AZADÓN</t>
  </si>
  <si>
    <t>Azadones de 2,5 Libras con cabo</t>
  </si>
  <si>
    <t xml:space="preserve">Machete Niquelado de 20" </t>
  </si>
  <si>
    <t>MACHETE</t>
  </si>
  <si>
    <t>Paladraga de marca reconocida</t>
  </si>
  <si>
    <t>PALADRAGA</t>
  </si>
  <si>
    <t>REFRIGERIO TIPO 1</t>
  </si>
  <si>
    <t>REFRIGERIO TIPO 2</t>
  </si>
  <si>
    <t>REFRIGERIO TIPO 3</t>
  </si>
  <si>
    <t>REFRIGERIO TIPO 4</t>
  </si>
  <si>
    <t>DESAYUNO TIPO 1</t>
  </si>
  <si>
    <t>DESAYUNO TIPO 2</t>
  </si>
  <si>
    <t>ALMUERZO TIPO 1</t>
  </si>
  <si>
    <t>ALMUERZO TIPO 2</t>
  </si>
  <si>
    <t>ALMUERZO TIPO 3</t>
  </si>
  <si>
    <t>AGUA EN BOTELLA CON GAS</t>
  </si>
  <si>
    <t>Un sólido: un sándwich de jamón y queso, jugo o avena en caja, fruta (manzana, pera, durazno, banano, mandarina, o ciruela) y dulce de chocolate. Que cumpla con las normas de Bioseguridad - Empacado</t>
  </si>
  <si>
    <t>Un sándwich de 300 grs de pollo o  atún, pan especial, queso, tomate, lechuga (empacado en papel vinipel), jugo o avena en caja de 200 ml, fruta de temporada y golosina. Todo empacado en bolsa de papel. Que cumpla con las normas de Bioseguridad - Empacado</t>
  </si>
  <si>
    <t>Un crepe de jamón y queso con sour cream o crepe mixto de carne y pollo, bebida en caja de 200 ml, fruta de temporada, postre, cubiertos y servilleta. Empaque caja plástica transparente. Que cumpla con las normas de Bioseguridad - Empacado</t>
  </si>
  <si>
    <t>Jugo de fruta natural, caldo de costilla o huevos al gusto, pan, café en leche o chocolate. (Consumo calórico normal diario) Que cumpla con las normas de Bioseguridad - Empacado</t>
  </si>
  <si>
    <t>Jugo de fruta natural, cereal en leche o yogurt y fruta. (Consumo calórico normal diario) Que cumpla con las normas de Bioseguridad - Empacado</t>
  </si>
  <si>
    <t>Sopa o porción de fruta, plato fuerte compuesto por proteína, verdura, carbohidrato, postre y bebida de sobremesa. (Consumo calórico normal diario) Que cumpla con las normas de Bioseguridad - Empacado</t>
  </si>
  <si>
    <t>Presa de pollo o hamburguesa, papas a la francesa, jugo de caja o botella plastica y golosina (Consumo calórico normal) Que cumpla con las normas de Bioseguridad - Empacado</t>
  </si>
  <si>
    <t>Una entrada, plato fuerte (gourmet), postre y un liquido. Almuerzo Caliente Servido a la mesa, incluye menaje.</t>
  </si>
  <si>
    <t>Agua en botella plastica con gas de 600 ml</t>
  </si>
  <si>
    <t>AGUA EN BOTELLA SIN GAS</t>
  </si>
  <si>
    <t>AGUA EN BOTELLA</t>
  </si>
  <si>
    <t>JUGO O AVENA</t>
  </si>
  <si>
    <t xml:space="preserve"> Agua en botella plastica  sin gas de 330 ml</t>
  </si>
  <si>
    <t>Agua en botella plastica  sin gas de 1000 ml</t>
  </si>
  <si>
    <t>Presentación caja Tetrapak (200 ml)</t>
  </si>
  <si>
    <t>CAMISETA</t>
  </si>
  <si>
    <t>CAMISA TIPO POLO</t>
  </si>
  <si>
    <t>Camiseta de Cuello Redondo en Algodón con tres (3) estampados, 1 a full color y dos (2) a una tinta, como Recordatorio para los beneficiarios de los proyectos a cargo de la Alcaldía Local. (Talla S,M,L Y XL.)</t>
  </si>
  <si>
    <t>Camisetas Tipo polo manga corta, con 2 o 3 botones de 10 mm ojales del tamaño del botón bien terminados, la camiseta debe llevar un botón de repuesto, puede ser: de un solo fondo, colores variados para usar por fuera o por dentro, con estampados exteriores o bordados en hilo, con cuello elástico, para los integrantes del equipo logístico y/o los representantes de los grupos participantes con logotipo de Bogotá Vigente y Plan de Desarrollo Local.(Talla S,M,L Y XL.)</t>
  </si>
  <si>
    <t>BOTAS CAUCHO SIN PUNTERA</t>
  </si>
  <si>
    <t>BOTAS CAUCHO CON PUNTERA</t>
  </si>
  <si>
    <t>Par de Botas Negra de Caucho Caña Alta sin puntera. Tallas a convenir</t>
  </si>
  <si>
    <t>Par de Botas Negra de Caucho Caña Alta con puntera. Tallas a convenir</t>
  </si>
  <si>
    <t xml:space="preserve"> Esta herramienta consta de una parte de acero de unos 60 cm de largo y 5 de grueso, y un mango de madera, perpendicular a la parte metálica; esta parte metálica termina en punta en uno de los extremos y es plano con borde ancho y cortante en el otro.</t>
  </si>
  <si>
    <t>CINTA AISLANTE NEGRA 18 MM X 5 MT</t>
  </si>
  <si>
    <t xml:space="preserve"> Cinta Eléctrica de vinilo para uso general, Excelente capacidad dieléctrica, Recomendada para aislamientos menores y Soporte de PVC con adhesivo sintético a base de caucho</t>
  </si>
  <si>
    <t>ROLLO</t>
  </si>
  <si>
    <t>CINTA DE ENMASCARAR</t>
  </si>
  <si>
    <t>Cinta adhesiva de papel crepe, usada para empacar, envolver o atar paquetes de peso liviano; de uso general en la oficina, industria, hogar y talleres; también para proteger, empalmar o identificar lotes en procesos de manufactura textil y cuero, metal mecánico. Medida  48 MM X 40 MT</t>
  </si>
  <si>
    <t>CARPA TIPO STAND 3X3</t>
  </si>
  <si>
    <t>CARPA TIPO STAND 4X4</t>
  </si>
  <si>
    <t>RESMA DE PAPEL OFICIO</t>
  </si>
  <si>
    <t xml:space="preserve"> Resma De Papel Tamaño Oficio 21,6X33 Cm X500 Hojas</t>
  </si>
  <si>
    <t>RESMA</t>
  </si>
  <si>
    <t>RESMA DE PAPEL CARTA</t>
  </si>
  <si>
    <t xml:space="preserve"> RESMA DE PAPEL TAMAÑO CARTA X 500 HOJAS DE 75 GR</t>
  </si>
  <si>
    <t>PERFORADORA</t>
  </si>
  <si>
    <t xml:space="preserve"> Perforadora Dos Huecos.</t>
  </si>
  <si>
    <t>CAJA DE LAPICES</t>
  </si>
  <si>
    <t>CAJA</t>
  </si>
  <si>
    <t>CAJA DE COLORES</t>
  </si>
  <si>
    <t xml:space="preserve"> Colores x 12 Unidades única punta.</t>
  </si>
  <si>
    <t>TAJALÁPIZ METÁLICO</t>
  </si>
  <si>
    <t xml:space="preserve"> tajalápiz metálico pequeño</t>
  </si>
  <si>
    <t>BORRADOR</t>
  </si>
  <si>
    <t xml:space="preserve"> Caja x 60 Unidades</t>
  </si>
  <si>
    <t>BACKLINE</t>
  </si>
  <si>
    <t>1 día</t>
  </si>
  <si>
    <t xml:space="preserve">Acceso a recursos logísticos y financieros para el ejercicio de los procesos de comunicación comunitaria y alternativa </t>
  </si>
  <si>
    <t>Acceso a recursos logísticos y financieros para el ejercicio de los procesos de la mesa de indigenas, conforme a las necesidades que se presenten en los diferentes proyectos del Plan de Desarrollo Local.</t>
  </si>
  <si>
    <t>Acceso a recursos logísticos y financieros para el ejercicio de los procesos de la mesa de Afrodescendientes, conforme a las necesidades que se presenten en los diferentes proyectos del Plan de Desarrollo Local.</t>
  </si>
  <si>
    <t>Apoyo economico</t>
  </si>
  <si>
    <t>FORMATO No 2. ESTUDIO DE MERCADO</t>
  </si>
  <si>
    <t>Pancarta: Impresión digital en Banner de 10 onzas de 4 mts X 1.5mts a full color con ojales reforzados metálicos y soportes metálico lateral (varilla). Incluido los cordones de sujeción.</t>
  </si>
  <si>
    <t>Espatula N 2  utensilios portátiles de laboratorio disponibles en distintos tamaños y estilos. Han sido diseñadas para romper, raspas, recoger y transferir
2 Pulgadas</t>
  </si>
  <si>
    <t>Espatula acero inoxidable N 4  utensilios portátiles de laboratorio disponibles en distintos tamaños y estilos. Han sido diseñadas para romper, raspas, recoger y transferir
4 Pulgadas</t>
  </si>
  <si>
    <t>Escarapelas en Papel Kimberly. Con forro plástico y Tira 15 mm, con gancho metálico de presión con imagen y color institucional según Manual de Imagen.Diseño suministrado y elaborado por la Entidad.</t>
  </si>
  <si>
    <t>Manilla VIP con cierre de seguridad basado en un fuerte adhesivo que impida la transferencia a otra persona. Resistente al agua, al rasgado y a ala tensión, Con impresión digital de logos, textos numeración de control de consumo. Material: Tyvek color a conveniencia</t>
  </si>
  <si>
    <t>Servicio de alquiler hidrolavadora por día - Especificaciones mínimas: 
Motor eléctrico 
Presión de salida de agua entre 1900 psi y 2500 psi.
Con ruedas</t>
  </si>
  <si>
    <t xml:space="preserve"> Lápiz mina negra No 2
Caja HB No 2 caja X 12</t>
  </si>
  <si>
    <t>Alquiler de carpa tipo pagoda Alquiler Carpa Estructural lona 100% impermeable; resistente a la intemperie, Lona alta densidad, alto calibre con microfibras internas para mayor duración calibre 700 a 530 fibras con laterales. (Evento 8 horas)</t>
  </si>
  <si>
    <t>Alquiler de carpa tipo concierto o pagoda Alquiler Carpa Estructural lona 100% impermeable; resistente a la intemperie, Lona alta densidad, alto calibre con microfibras internas para mayor duración calibre 700 a 530 fibras con laterales. (Evento 8 horas)</t>
  </si>
  <si>
    <t>Alquiler de backline para Un (1) equipo de bajo, guitarra, batería 5 piezas. Incluye transporte</t>
  </si>
  <si>
    <t>SONIDO PEQUEÑO</t>
  </si>
  <si>
    <t>Alquiler de (1) Consola de 24 canales digital, (4) medios altos line array de 1700 wats c/u, (2) sub snake de 8 x 15 mts, (2) sub bajos de 2000 wats c/u, (4) monitores de piso, (2) side fill a 3 vias, (16) bases de microfonos, (1) unidad de cd y con unidad de  usb.</t>
  </si>
  <si>
    <t>BANDEJA PARA PINTURA</t>
  </si>
  <si>
    <t xml:space="preserve">ASPARAGUS  DENSIFLORUS
Especie vegetal: ASPARAGUS  DENSIFLORUS:
Debe tener una altura máxima de 50 centímetros, teniendo en cuenta que la parte abonada corresponde a 20 a 35 centímetros de altura y el restante, es la plántula sobresaliente y con tierra abonada.
No se necesita riego, encalado, ni hidro retenedor
Incluye Transporte
</t>
  </si>
  <si>
    <t>Especie vegetal: CASCO DE BUEY, PATA DE VACA
Debe tener una altura máxima de 50 centímetros, teniendo en cuenta que la parte abonada corresponde a 20 a 35 centímetros de altura y el restante, es la plántula sobresaliente y con tierra abonada.
No se necesita riego, encalado, ni hidro retenedor
Incluye Transporte</t>
  </si>
  <si>
    <t>Especie vegetal: Begonia semperflorens
Debe tener una altura máxima de 50 centímetros, teniendo en cuenta que la parte abonada corresponde a 20 a 35 centímetros de altura y el restante, es la plántula sobresaliente y con tierra abonada.
No se necesita riego, encalado, ni hidro retenedor
Incluye Transporte</t>
  </si>
  <si>
    <t>Especie vegetal: Begonia x tuberhybrida
Debe tener una altura máxima de 50 centímetros, teniendo en cuenta que la parte abonada corresponde a 20 a 35 centímetros de altura y el restante, es la plántula sobresaliente y con tierra abonada.
No se necesita riego, encalado, ni hidro retenedor
Incluye Transporte</t>
  </si>
  <si>
    <t>Especie vegetal: Bromelia: atractiva para ser sembrado como elemento terrestre o como epifita en lo alto y adherido a los troncos de los árboles.
Debe tener una altura máxima de 50 centímetros, teniendo en cuenta que la parte abonada corresponde a 20 a 35 centímetros de altura y el restante, es la plántula sobresaliente y con tierra abonada.
No se necesita riego, encalado, ni hidro retenedor
Incluye Transporte</t>
  </si>
  <si>
    <t>Especie vegetal: JAZMÍN LAVANDA O DE OLOR
Debe tener una altura máxima de 50 centímetros, teniendo en cuenta que la parte abonada corresponde a 20 a 35 centímetros de altura y el restante, es la plántula sobresaliente y con tierra abonada.
No se necesita riego, encalado, ni hidro retenedor
Incluye Transporte</t>
  </si>
  <si>
    <t>Arbol de porte bajo
En el caso de los árboles de corte bajo y alto, lo ideal es que tengan un tamaño de 70 a 80 centímetros con la base abanada.
Incluye Transporte</t>
  </si>
  <si>
    <t>Arbol de porte alto
En el caso de los árboles de corte bajo y alto, lo ideal es que tengan un tamaño de 70 a 80 centímetros con la base abanada 
Incluye Transporte</t>
  </si>
  <si>
    <t>Escoba o cepillo Industrial de cerda dura que incluya mango</t>
  </si>
  <si>
    <t>RECOGEDOR PLÁSTICO</t>
  </si>
  <si>
    <t>Recogedor plástico, con mango de madera.</t>
  </si>
  <si>
    <t>BOLSA BIODEGRADABLE</t>
  </si>
  <si>
    <t>Bolsa de alta calidad, resistente al peso, punción y desgarro. Biodegradables, fabricada con materiales reciclados. Material: materiales 100% reciclados, biodegradable Medidas: 60 x 80 cm (color Negra)
 TAMAÑO 60 y/o 65 cm-x-90 y/o 100 cm</t>
  </si>
  <si>
    <t>CARPETA DE CARTÓN</t>
  </si>
  <si>
    <t>Carpeta de cartón, Dimensiones aproximadas: 34.4 x 25.6 x 0.05 cm (Largo x Ancho x Alto)
TAMAÑO CARTA</t>
  </si>
  <si>
    <t>Carpeta de Cartón, Dimensiones aproximadas: 38 x 28 x 0.05 cm (Largo x Ancho x Alto)
TAMAÑO OFICIO</t>
  </si>
  <si>
    <t>PICA O ZAPAPICO</t>
  </si>
  <si>
    <t xml:space="preserve">CABINA DE SONIDO DE ACTIVO </t>
  </si>
  <si>
    <t>Cabina activa de sonido de 12 pulgadas de alto  entrada de audio analógico aux, lector USB – bluetooth – FM – sd, reproductor de música mp3, control remoto, potencia de salida de 800 a 1200 w, energía 110v/60hz.</t>
  </si>
  <si>
    <t xml:space="preserve">TRIPODE CABINA DE SONIDO DE ACTIVO </t>
  </si>
  <si>
    <t>Compra trípode Cabina activa de sonido  de acuerdo con las especificaciones del sonido de 12 pulgadas de alto .</t>
  </si>
  <si>
    <t>TELEVISOR 50"</t>
  </si>
  <si>
    <t xml:space="preserve">Compra Televisor pantalla plana, resolución 1.920 x 1.080, tamaño de pantalla 50” (pulgadas), tipo de pantalla: full hd, audio dolby digital plus, tipo de tecnología Smart tv; entrada hdmi 2, mínimo una entrada USB. </t>
  </si>
  <si>
    <t>SOPORTE PARA TELEVISOR</t>
  </si>
  <si>
    <t>Compra Soporte de pared de brazo para TV/Monitor de 14" a 55": Soporta 1 pantalla. Inclinable y articulado.  Es compatible con pantallas lcd, led, plana, plasma. Montaje fijo. Soporta hasta 50 kg. Fabricado en acero. Diseño compacto para economizar espacio.</t>
  </si>
  <si>
    <t xml:space="preserve">MICRÓFONO INALÁMBRICO </t>
  </si>
  <si>
    <t>Compra de microfono inhalambrico, entrada: 3 v corriente de funcionamiento: 90 ma (máx.) frecuencia de trabajo: 268,85 mhz (fijo) modelo: modelo de pastilla polar cardioide sensibilidad: -50 + / -3db (0db igual a 1v / pa a 1khz) thd: menos del 0,7 por ciento s / n: más de 110 db</t>
  </si>
  <si>
    <t xml:space="preserve">MICRÓFONO CON BASE </t>
  </si>
  <si>
    <t>Compra  micrófono formato: de mano. conector/es de salida: xlr. frecuencia máxima: 15000hz. frecuencia mínima: 50hz.base micrófono k&amp;m 25400. base para micrófono de 3 patas con puntas en goma. altura: 89,9 cm hasta 106 cm. boom: acero. dimensiones boom: longitud de 68 cm. color: negro.</t>
  </si>
  <si>
    <t>VIDEOPROYECTOR 
(VIDEO BEAM)</t>
  </si>
  <si>
    <t>Compra resolución: hd. brillo/lumens: mínimo 3,300 entradas: puerto HDMI, puerto USB, puerto VGA.</t>
  </si>
  <si>
    <t>SOPORTE DE TECHO PARA VIDEO BEAM</t>
  </si>
  <si>
    <t>Compra Soporte Universal para Proyector. Ofrece posicionamiento flexible con cuatro brazos ajustables que pueden adaptarse a una amplia gama de orificios de montaje del proyector o video beam. El ángulo es ajustable, puede satisfacer diferentes necesidades de instalación de la pared de tiro corto e instalación en el techo.
Soportes de acero ajustable para la mayoría de los proyectores de hasta 20 kg / 44Ibs. El conector de liberación rápida permite que el proyector se instala rápidamente y luego se libera fácilmente para su mantenimiento, sin realineación y gestión de cables.</t>
  </si>
  <si>
    <t xml:space="preserve">PANTALLA TELÓN DE PROYECCIÓN ELÉCTRICO </t>
  </si>
  <si>
    <t>Compra superficie de color blanco mate que permite conservar la resolución y luminosidad del video proyector. bordes y respaldo en color negro para obtener un mayor contraste y ganancia de imagen 2 mtrs a 2 mtrs con 30cm.</t>
  </si>
  <si>
    <t>COMPUTADOR TODO EN UNO (AIO)</t>
  </si>
  <si>
    <t xml:space="preserve">Compra características técnicas mínimas sugeridas: equipo con disco sólido de 1 tera, procesador core i5 (2,6 ghz minimo), memoria ram de mínimo 8 GB ddr 4, cámara hd, micrófono y pantalla de 20 a 24”. licenciamiento del sistema operativo como mínimo windows 11 . </t>
  </si>
  <si>
    <t>FONDO DE DESARROLLO LOCAL DE USME</t>
  </si>
  <si>
    <t>Cotización 0012023</t>
  </si>
  <si>
    <t>Cotización 0022023</t>
  </si>
  <si>
    <t>Cotización 0032023</t>
  </si>
  <si>
    <t>Cotización 0042023</t>
  </si>
  <si>
    <t>Cotización 0052023</t>
  </si>
  <si>
    <t>Cotización 0062023</t>
  </si>
  <si>
    <t>Cotización 0072023</t>
  </si>
  <si>
    <t>Cotización 0082023</t>
  </si>
  <si>
    <t>Cotización 0092023</t>
  </si>
  <si>
    <t>Cotización 0102023</t>
  </si>
  <si>
    <t>Cotización 0112023</t>
  </si>
  <si>
    <t>Cotización 0122023</t>
  </si>
  <si>
    <t>Cotización 0132023</t>
  </si>
  <si>
    <t>Cotización 0142023</t>
  </si>
  <si>
    <t>Cotización 0152023</t>
  </si>
  <si>
    <t>Cotización 0162023</t>
  </si>
  <si>
    <t>Cotización 0172023</t>
  </si>
  <si>
    <t>Cotización 0182023</t>
  </si>
  <si>
    <t>Cotización 0192023</t>
  </si>
  <si>
    <t>Cotización 0202023</t>
  </si>
  <si>
    <t>Cotización 0212023</t>
  </si>
  <si>
    <t>Cotización 0222023</t>
  </si>
  <si>
    <t>Cotización 0232023</t>
  </si>
  <si>
    <t>Cotización 0242023</t>
  </si>
  <si>
    <t>Cotización 0252023</t>
  </si>
  <si>
    <t>Cotización 0262023</t>
  </si>
  <si>
    <t>Cotización 0272023</t>
  </si>
  <si>
    <t>Cotización 0282023</t>
  </si>
  <si>
    <t>Cotización 0292023</t>
  </si>
  <si>
    <t>Cotización 0302023</t>
  </si>
  <si>
    <t>Cotización 0312023</t>
  </si>
  <si>
    <t>Cotización 0322023</t>
  </si>
  <si>
    <t>Cotización 0332023</t>
  </si>
  <si>
    <t>Cotización 0342023</t>
  </si>
  <si>
    <t>Cotización 0352023</t>
  </si>
  <si>
    <t>Cotización 0362023</t>
  </si>
  <si>
    <t>Cotización 0372023</t>
  </si>
  <si>
    <t>Cotización 0382023</t>
  </si>
  <si>
    <t>Cotización 0392023</t>
  </si>
  <si>
    <t>Cotización 0402023</t>
  </si>
  <si>
    <t>Cotización 0412023</t>
  </si>
  <si>
    <t>Cotización 0422023</t>
  </si>
  <si>
    <t>Cotización 0432023</t>
  </si>
  <si>
    <t>Cotización 0442023</t>
  </si>
  <si>
    <t>Cotización 0452023</t>
  </si>
  <si>
    <t>Cotización 0462023</t>
  </si>
  <si>
    <t>Cotización 0472023</t>
  </si>
  <si>
    <t>Cotización 0482023</t>
  </si>
  <si>
    <t>Cotización 0492023</t>
  </si>
  <si>
    <t>Cotización 0502023</t>
  </si>
  <si>
    <t>Cotización 0512023</t>
  </si>
  <si>
    <t>Cotización 0522023</t>
  </si>
  <si>
    <t>Cotización 0532023</t>
  </si>
  <si>
    <t>Cotización 0542023</t>
  </si>
  <si>
    <t>Cotización 0552023</t>
  </si>
  <si>
    <t>Cotización 0562023</t>
  </si>
  <si>
    <t>Cotización 0572023</t>
  </si>
  <si>
    <t xml:space="preserve">NÚMERO DE COTIZACIONES </t>
  </si>
  <si>
    <t>VALOR PROMEDIO UNITARIO 
IVA INCLUIDO 
(VIGENCIA 2023)</t>
  </si>
  <si>
    <t>VALOR UNITARIO 
IVA INCLUIDO 
(VIGENCIA 2023)
(REDONDEADO AL MÚLTIPLO DE 50 MÁS CERCANO SUPERIOR)</t>
  </si>
  <si>
    <t>OBSERVACIÓN</t>
  </si>
  <si>
    <t>LISTADO DE ÍTEMS PARA LA FORMULACIÓN DE PROYECTOS VIGENCIA 2023
OBJETO: “CONTRATAR A MONTO AGOTABLE EL APOYO LOGÍSTICO Y LA COMPRAVENTA DE LOS INSUMOS Y ELEMENTOS PARA EL DESARROLLO OPERATIVO DEL PROGRAMA “RETO LOCAL JOVENES Y ENTORNOS SEGUROS” Y LOS EVENTOS DE LA LOCALIDAD DE USME, DE ACUERDO CON LAS ESPECIFICACIONES TÉCNICAS Y CANTIDADES ESTABLECIDAS EN LOS ESTUDIOS PREVIOS Y DEMAS ANEXOS DEL PROCESO”.
PROYECTOS 1707 Y 1854</t>
  </si>
  <si>
    <t>COLOR S DISEÑO Y PUBLICIDAD SAS</t>
  </si>
  <si>
    <t>PUBLICIDAD Y ALGO MAS SAS</t>
  </si>
  <si>
    <t>Constructora de Marcas S.A.S</t>
  </si>
  <si>
    <t xml:space="preserve">EXPRESION DIGITAL </t>
  </si>
  <si>
    <t>M&amp;D PINTURAS</t>
  </si>
  <si>
    <t>Pinturas &amp; Revestimientos 
DURO COLOR Tabora</t>
  </si>
  <si>
    <t>COMERCIAL DE ELÉCTRICOS Y REDES 
(INVESA S.A)</t>
  </si>
  <si>
    <t>COMERCIALIZADORA PUNTO BLER SAS</t>
  </si>
  <si>
    <t>JASER S.A.S</t>
  </si>
  <si>
    <t>AKIRENT.COM</t>
  </si>
  <si>
    <t>RED ELECTRICA E ILUMINACIÓN</t>
  </si>
  <si>
    <t>PRODUCTOS DE ASEO 1A LTDA</t>
  </si>
  <si>
    <t>Super Audio S.A.S</t>
  </si>
  <si>
    <t>Voiz Producciones</t>
  </si>
  <si>
    <t>ELECTRÓNICA AMERICANA LTDA
Regímen Común</t>
  </si>
  <si>
    <t>AUDIO ZONE R S.A.S</t>
  </si>
  <si>
    <t>ULTRASOUND</t>
  </si>
  <si>
    <t xml:space="preserve">CIA &amp; CO EVENTOS </t>
  </si>
  <si>
    <t>Sembramos Vivero Online</t>
  </si>
  <si>
    <t>MERCADO LIBRE</t>
  </si>
  <si>
    <t>SGI DE COLOMBIA S.A.S</t>
  </si>
  <si>
    <t xml:space="preserve">ALKOSTO </t>
  </si>
  <si>
    <t>FALABELLA</t>
  </si>
  <si>
    <t>ÉXITO</t>
  </si>
  <si>
    <t>PANAFARGO</t>
  </si>
  <si>
    <t>AUDIOVISUALES DE COLOMBIA</t>
  </si>
  <si>
    <t>HOMECENTER</t>
  </si>
  <si>
    <t>FERRECO</t>
  </si>
  <si>
    <t>LOGISTICA &amp; EVENTOS CANO SAS</t>
  </si>
  <si>
    <t>INDPOWER S.A.S</t>
  </si>
  <si>
    <t>PARASOLES CARPAS Y ALQUILERES LEON SAS</t>
  </si>
  <si>
    <t>PINTURAS TITO PABÓN</t>
  </si>
  <si>
    <t>REPILOS</t>
  </si>
  <si>
    <t>ML e Hijos
MOLANO LONDOÑO E HIJOS S.A.S
(Papeleria Editorial Zapata)</t>
  </si>
  <si>
    <t>COVAL</t>
  </si>
  <si>
    <t>PIRIWA
Grupo Empresarial</t>
  </si>
  <si>
    <t>IMPORT TECH S.A.S</t>
  </si>
  <si>
    <t>GRUPO EMPRESARIAL GP SAS</t>
  </si>
  <si>
    <t>COMERCIALIZADORA RUGOZ TECH S.A.S</t>
  </si>
  <si>
    <t>PAPYSER</t>
  </si>
  <si>
    <t>CENTRALQUIPOS</t>
  </si>
  <si>
    <t>BABEL EQUIPOS SAS</t>
  </si>
  <si>
    <t>SUPER CONSTRUCTOR COMADERAS</t>
  </si>
  <si>
    <t>BEL PLÁSTICOS</t>
  </si>
  <si>
    <t xml:space="preserve">ARKAMBIENTAL </t>
  </si>
  <si>
    <t>EL SEMILLERO S.A.S</t>
  </si>
  <si>
    <t>FERRETRÓNICA</t>
  </si>
  <si>
    <t>TODO EN ARTES</t>
  </si>
  <si>
    <t>kipclin</t>
  </si>
  <si>
    <t>LIMPIEZA &amp; SOLUCIONES INTEGRADAS S.A.S</t>
  </si>
  <si>
    <t>PAPELERÍA LA GRAN (12) DOCE</t>
  </si>
  <si>
    <t>BAÑO MOVIL S.A.S</t>
  </si>
  <si>
    <r>
      <t xml:space="preserve">FDLU-SIP-006-2023
</t>
    </r>
    <r>
      <rPr>
        <b/>
        <sz val="10"/>
        <rFont val="Arial"/>
        <family val="2"/>
      </rPr>
      <t>DIEGO CASTRO INDUSTRIA Y CONSTRUCCION SAS</t>
    </r>
    <r>
      <rPr>
        <b/>
        <sz val="10"/>
        <color rgb="FFFF0000"/>
        <rFont val="Arial"/>
        <family val="2"/>
      </rPr>
      <t xml:space="preserve"> </t>
    </r>
  </si>
  <si>
    <t>FERRICENTROS SAS</t>
  </si>
  <si>
    <t xml:space="preserve">REDES LOPEZ S.A.S </t>
  </si>
  <si>
    <t>PRODUCABOS</t>
  </si>
  <si>
    <t>ÍTEM</t>
  </si>
  <si>
    <t>CODIGO
UNSPSC</t>
  </si>
  <si>
    <t>DESCRIPCIÓN</t>
  </si>
  <si>
    <t>IMAGEN</t>
  </si>
  <si>
    <t>Precio Unitario SIN IVA</t>
  </si>
  <si>
    <t xml:space="preserve">Iva </t>
  </si>
  <si>
    <t>Precio Unitario IVA incluido</t>
  </si>
  <si>
    <t>Imagen de Referencia</t>
  </si>
  <si>
    <t>NO COTIZA</t>
  </si>
  <si>
    <t>NO APLICA</t>
  </si>
  <si>
    <t>LISTO</t>
  </si>
  <si>
    <t>Thinner extrafino, diluyente, disolvente o diluente, también conocido como adelgazador o rebajador de pinturas. con ficha técnica y etiquetas de uso</t>
  </si>
  <si>
    <t>Bandeja para pintura (Paleta plástica) para mezclas de pintura con cavidades. Para rodillo de tamaño de 9"</t>
  </si>
  <si>
    <t>Brocha Delgada 2", mango plástico y/o madera, refuerzo metálico.</t>
  </si>
  <si>
    <t>Kit</t>
  </si>
  <si>
    <t xml:space="preserve">Espátula N 2  utensilios portátiles de laboratorio disponibles en distintos tamaños y estilos. Han sido diseñadas para romper, raspas, recoger y transferir
2 Pulgadas </t>
  </si>
  <si>
    <t xml:space="preserve">Espatula acero inoxidable N 4  utensilios portátiles de laboratorio disponibles en distintos tamaños y estilos. Han sido diseñadas para romper, raspas, recoger y transferir.
4 Pulgadas </t>
  </si>
  <si>
    <t>VALOR ATÍPICO</t>
  </si>
  <si>
    <t>LISTO 
SOLO 1 COTIZACIÓN
CANASTA AMBIENTE</t>
  </si>
  <si>
    <t>Alquiler Carpa Estructural lona 100% impermeable; resistente a la intemperie de 2x2 mts, Lona alta densidad, alto calibre con microfibras internas para mayor duración calibre 700 a 530 fibrascon laterales. Por un Día. Incluye Transporte</t>
  </si>
  <si>
    <t>Alquiler de baño portátil para personas en condición de discapacidad para eventos masivos. Incluye suministro de papel higiénico y transporte de las unidades. Por un Día. Incluye Transporte</t>
  </si>
  <si>
    <t>Paquete * 100</t>
  </si>
  <si>
    <t>LISTO
CANASTA DE PRECIOS 2023</t>
  </si>
  <si>
    <t>PALA TIPO RECTA (CORTE)
Material: Acero al Carbono- 
Mango: Madera- tipo congona, color natural.</t>
  </si>
  <si>
    <t>PALA</t>
  </si>
  <si>
    <r>
      <rPr>
        <sz val="10"/>
        <rFont val="Arial"/>
        <family val="2"/>
      </rPr>
      <t>Esta herramienta consta de una parte de acero de unos 60 cm de largo y 5 de grueso aproximadamente, y un mango de madera, perpendicular a la parte metálica; esta parte metálica termina en punta en uno de los extremos y es plano con borde ancho y cortante en el otro.</t>
    </r>
  </si>
  <si>
    <t>Gorras de seis (6) paneles en tela dril esmerilado con cierre de hebilla metalica, botón superior forrado, en dril liviano y víscera rígida indeformable 6 costuras en plástico de polietileno. encintado interior, tafilete absorbente en poliéster algodón 
Bordados 1 uno al frente  y 3 tres atras pequeños
otro en la parte de atrás según imagen institucional. Color Negro Conforme al diseño presentado.</t>
  </si>
  <si>
    <t>Tula deportiva  impermeable negro 30 x 40 cm  16 lt  ajustable con tirantes de 2 pulgadas de grosor  estampado en técnica DTG con logo parceros por bogotá tamaño carta parte frontal superior y tres pequeños en parte inferior. según imagen institucional. Poliester - impermeable, Capacidad de 16 litros</t>
  </si>
  <si>
    <t xml:space="preserve">CINTA AISLANTE NEGRA </t>
  </si>
  <si>
    <t>Cinta  aislante negra para uso general, Excelente capacidad dieléctrica, Recomendada para aislamientos menores y Soporte de PVC con adhesivo sintético a base de caucho 18 MM X 5 MT</t>
  </si>
  <si>
    <t>Cinta adhesiva de papel crepe, usada para empacar, envolver o atar paquetes de peso liviano; de uso general en la oficina, industria, hogar y talleres; también para proteger, empalmar o identificar lotes en procesos de manufactura textil y cuero, metal mecánico. Medida  48 MM X 40 MT.</t>
  </si>
  <si>
    <r>
      <t>Compra Soporte de pared de brazo para TV/Monitor de 14" a 55": Soporta 1 pantalla. Inclinable y articulado.  Es compatible con pantallas lcd, led, plana, plasma. Montaje fijo. Soporta hasta 50 kg</t>
    </r>
    <r>
      <rPr>
        <sz val="10"/>
        <rFont val="Arial"/>
        <family val="2"/>
      </rPr>
      <t>. Fabricado en acero. Diseño compacto para economizar espacio.</t>
    </r>
  </si>
  <si>
    <t>MANILLA VIP</t>
  </si>
  <si>
    <t>ESCARAPELAS</t>
  </si>
  <si>
    <t>Cotización 0602023</t>
  </si>
  <si>
    <t>Cotización 0612023</t>
  </si>
  <si>
    <t>Cotización 0622023</t>
  </si>
  <si>
    <t>Cotización 0632023</t>
  </si>
  <si>
    <t>Cotización 0652023</t>
  </si>
  <si>
    <t>Cotización 0672023</t>
  </si>
  <si>
    <t>Cotización 0682023</t>
  </si>
  <si>
    <t>Cotización 0752023</t>
  </si>
  <si>
    <t>Cotización 0772023</t>
  </si>
  <si>
    <t>Cotización 0832023</t>
  </si>
  <si>
    <t>Cotización 0842023</t>
  </si>
  <si>
    <t>Cotización 0852023</t>
  </si>
  <si>
    <t>Cotización 0862023</t>
  </si>
  <si>
    <t>Cotización 0872023</t>
  </si>
  <si>
    <t>Cotización 0912023</t>
  </si>
  <si>
    <t>Cotización 0932023</t>
  </si>
  <si>
    <t>Cotización 0942023</t>
  </si>
  <si>
    <t>Cotización 0952023</t>
  </si>
  <si>
    <t>Cotización 0962023</t>
  </si>
  <si>
    <t>Cotización 0982023</t>
  </si>
  <si>
    <t>Cotización 1022023</t>
  </si>
  <si>
    <t>Cotización 1032023</t>
  </si>
  <si>
    <t>Cotización 1052023</t>
  </si>
  <si>
    <t>Cotización 1062023</t>
  </si>
  <si>
    <t>Cotización 1072023</t>
  </si>
  <si>
    <t>Cotización 1092023</t>
  </si>
  <si>
    <t>Cotización 1102023</t>
  </si>
  <si>
    <t>Cotización 1152023</t>
  </si>
  <si>
    <t>Cotización 1202023</t>
  </si>
  <si>
    <t>Cotización 1212023</t>
  </si>
  <si>
    <t>Cotización 1232023</t>
  </si>
  <si>
    <t>Cotización 1242023</t>
  </si>
  <si>
    <t>Cotización 1252023</t>
  </si>
  <si>
    <t>Cotización 1272023</t>
  </si>
  <si>
    <t>Cotización 1282023</t>
  </si>
  <si>
    <t>Cotización 1292023</t>
  </si>
  <si>
    <t>Cotización 1322023</t>
  </si>
  <si>
    <t>Cotización 1332023</t>
  </si>
  <si>
    <t>Cotización 1342023</t>
  </si>
  <si>
    <t>Cotización 1352023</t>
  </si>
  <si>
    <t>Cotización 1402023</t>
  </si>
  <si>
    <t>Cotización 1412023</t>
  </si>
  <si>
    <t>Cotización 1422023</t>
  </si>
  <si>
    <t>Cotización 1432023</t>
  </si>
  <si>
    <t>Cotización 1442023</t>
  </si>
  <si>
    <t>PRECIOS UNITARIOS HISTORICOS DE REFERENCIA 2021</t>
  </si>
  <si>
    <t>VALOR UNITARIO 
IVA INCLUIDO 
(VIGENCIA 2023)
ipc indexado 2021 y 2022</t>
  </si>
  <si>
    <t>LISTADO DE ÍTEMS PARA LA FORMULACIÓN DE PROYECTOS VIGENCIA 2023</t>
  </si>
  <si>
    <t xml:space="preserve">LA GRAN (12) DOCE
</t>
  </si>
  <si>
    <r>
      <rPr>
        <b/>
        <sz val="10"/>
        <color rgb="FF000000"/>
        <rFont val="Arial"/>
        <family val="2"/>
      </rPr>
      <t>TESERACT SAS</t>
    </r>
    <r>
      <rPr>
        <b/>
        <sz val="10"/>
        <color indexed="8"/>
        <rFont val="Arial"/>
        <family val="2"/>
      </rPr>
      <t xml:space="preserve">
</t>
    </r>
  </si>
  <si>
    <t xml:space="preserve">COOMTRANSCOL LTDA
</t>
  </si>
  <si>
    <r>
      <t xml:space="preserve">PUBLICIDAD Y ALGO MAS SAS
</t>
    </r>
    <r>
      <rPr>
        <b/>
        <sz val="10"/>
        <color rgb="FF000000"/>
        <rFont val="Arial"/>
        <family val="2"/>
      </rPr>
      <t/>
    </r>
  </si>
  <si>
    <t xml:space="preserve">DE LAS ABUELAS CATERING SAS
</t>
  </si>
  <si>
    <t xml:space="preserve">
FEELING COMPANY S.A.S
</t>
  </si>
  <si>
    <t xml:space="preserve">INSTRUMENTALIA SAS (12/02/2023)
</t>
  </si>
  <si>
    <t>MARCAS VITALES BMV SAS</t>
  </si>
  <si>
    <t>GRUPO ZEA SAS</t>
  </si>
  <si>
    <t>CONSTRUCTORA DE MARCAS S.A.S</t>
  </si>
  <si>
    <t xml:space="preserve">Bsante </t>
  </si>
  <si>
    <t>Suministros CJM S.A.S</t>
  </si>
  <si>
    <t>SEIS SIGMA LOGISTICA Y EVENTOS SAS</t>
  </si>
  <si>
    <t xml:space="preserve">SETURCOL SAS </t>
  </si>
  <si>
    <t>HELP AND LIFE MEDICAL SAS</t>
  </si>
  <si>
    <t xml:space="preserve">LINEAS TURISTICAS COLOMBIANAS SAS </t>
  </si>
  <si>
    <t>LOGISTICA Y EVENTOS EXPERIENCIAL S.A.S</t>
  </si>
  <si>
    <t xml:space="preserve">CENTRAL DE DOTACIONES SAS </t>
  </si>
  <si>
    <t>SECOP FDLU-SIP-002-2023
3.HOSPICLINIC DE COLOMBIA SAS</t>
  </si>
  <si>
    <t xml:space="preserve">SECOP FDLU-SIP-002-2023
IMCOLMEDICA S.A </t>
  </si>
  <si>
    <t>SECOP FDLU-SIP-002-2023
COMERCIALIZADORA INTEGRAL G&amp;C SAS</t>
  </si>
  <si>
    <r>
      <t xml:space="preserve">FDLU-SIP-006-2023
</t>
    </r>
    <r>
      <rPr>
        <b/>
        <sz val="10"/>
        <color theme="1"/>
        <rFont val="Arial"/>
        <family val="2"/>
      </rPr>
      <t>COMPAÑÍA DE DISTRIBUCIÓN FERRETERA SAS -
COMFERRETERA SAS</t>
    </r>
  </si>
  <si>
    <t>FDLU-SIP-009-2023 
SOCIEDAD TEQUENDAMA</t>
  </si>
  <si>
    <t>DOTAEXPERTOS SAS</t>
  </si>
  <si>
    <t>PUBLICITV S.A.S.</t>
  </si>
  <si>
    <t>DISTRIBUIDORA FERRECOL SAS</t>
  </si>
  <si>
    <t xml:space="preserve">MEGADOTACIONESS URBANO
BOLAÑOS JOSE HUMBERTO </t>
  </si>
  <si>
    <t xml:space="preserve"> FDLU-SIP-005-2023
DISTRIBUCIONES ALIADAS BJ SAS</t>
  </si>
  <si>
    <t xml:space="preserve"> FDLU-SIP-005-2023
SUMINISTROS JM SAS </t>
  </si>
  <si>
    <t xml:space="preserve">Acuerdo Marco Transporte Terrestre de Pasajeros II-CCE-144-2023
54. CONSORCIO CCE 2022
</t>
  </si>
  <si>
    <t xml:space="preserve">Acuerdo Marco Transporte Terrestre de Pasajeros II - CCE-144-2023
31. UT AMP 2022
</t>
  </si>
  <si>
    <t xml:space="preserve">Acuerdo Marco Transporte Terrestre de Pasajeros II - CCE-144-2023
28. Consorcio Transportes CCE 2
</t>
  </si>
  <si>
    <t xml:space="preserve">RyS Rollos y Sobres SAS
Comercio electrónico </t>
  </si>
  <si>
    <t>C&amp;B PAPELES DE COLOMBIA S.A.S</t>
  </si>
  <si>
    <t>CAROL BURGOS-PERSONA NATURAL</t>
  </si>
  <si>
    <t>ASIBOC</t>
  </si>
  <si>
    <t>TRANSRUBIO S.A.S</t>
  </si>
  <si>
    <t>PEDRO TOLEDO A</t>
  </si>
  <si>
    <t xml:space="preserve">CENTRAL DE DOTACIONES S.A.S </t>
  </si>
  <si>
    <t>MUNDO DOTACIONES SAS</t>
  </si>
  <si>
    <t>QUEEN LOGISTICS SAS</t>
  </si>
  <si>
    <t>CREAR DOTACIONES S.A.S</t>
  </si>
  <si>
    <t xml:space="preserve">ASENCOL Dotaciones industriales </t>
  </si>
  <si>
    <t>JUNTA DE ACCIÓN COMUNAL
Barrio Uribe Uribe -Localidad Usme</t>
  </si>
  <si>
    <t xml:space="preserve">JUNTA DE ACCIÓN COMUNAL
URBANIZACIÓN LA ANDREA - Localidad Usme
</t>
  </si>
  <si>
    <t>CORMECAV</t>
  </si>
  <si>
    <t>CORPORACIÓN VIENTOS DEL PORVENIR</t>
  </si>
  <si>
    <t>Asociación Hijos del Sur Bogotá</t>
  </si>
  <si>
    <t>MERCADOLIBRE  (Elementos Publicidad)</t>
  </si>
  <si>
    <t>IDU
Precios Unitarios de Referencia 2023-I-Fase 1  (Visor de base de precios vigente)
(Comercio electrónico)</t>
  </si>
  <si>
    <t>ALBA PAPELERÍA Y CACHARERRIÁ</t>
  </si>
  <si>
    <t>TIGO</t>
  </si>
  <si>
    <t>MOVISTAR</t>
  </si>
  <si>
    <t>MUDANZAS Y TRANSPORTES MT CARGO S.A.S</t>
  </si>
  <si>
    <t>VIDEO OFFICE MEDICALL IPS S.A.S</t>
  </si>
  <si>
    <t>JUNTA DE ACCIONAL COMUNAL GRAN YOMASA</t>
  </si>
  <si>
    <t xml:space="preserve">BMC - BOLSA MERCANTIL DE COLOMBIA </t>
  </si>
  <si>
    <t>CASA INGLESA</t>
  </si>
  <si>
    <t>HOME SENTRY</t>
  </si>
  <si>
    <t xml:space="preserve">CORPORACION AVENTURA CORPANANDES
</t>
  </si>
  <si>
    <t xml:space="preserve">JUNTA DE ACCIÓN COMUNAL BETANIA
</t>
  </si>
  <si>
    <t xml:space="preserve">TIENDA VIRTUAL DEL ESTADO COLOMBIANO </t>
  </si>
  <si>
    <t>Enfermeros de tu mano S.A.S</t>
  </si>
  <si>
    <t>FEDERACIÓN NACIONAL DE SORDOS DE COLOMBIA-FENASCOL</t>
  </si>
  <si>
    <t>ALMACENES ÉXITO</t>
  </si>
  <si>
    <t>JUMBO</t>
  </si>
  <si>
    <t>OFIMAX
Centro gráfico</t>
  </si>
  <si>
    <t>LINTURCOL 
Lineas Turísticas Colombianas S.A.S</t>
  </si>
  <si>
    <t xml:space="preserve">GRUPO HUELLA </t>
  </si>
  <si>
    <t>FUNDACIÓN DE BÚSQUEDA Y RESCATE
FUNSAR</t>
  </si>
  <si>
    <t>TU NARRANDO 
Cuenteros Tunal (Cristian Camilo Cabezas Mesa)</t>
  </si>
  <si>
    <t>TOMAS ACOSTA 
GRUPO ACOSTA EVENTOS Y PRODUCCIÓN SAS</t>
  </si>
  <si>
    <t>Eventos BOGOTA</t>
  </si>
  <si>
    <t>KINGS PRODUCTIONS SAS</t>
  </si>
  <si>
    <t>Fr Producciones Y Eventos Sas</t>
  </si>
  <si>
    <t>EVENTOS CARVANA</t>
  </si>
  <si>
    <t>PINTURAS BLER</t>
  </si>
  <si>
    <t>FACTORY PUBLICIDAD</t>
  </si>
  <si>
    <t>VALOR TOMADO PRECIO HISTORICO REFERENCIA 2022 (VALOR UNITARIO 
IVA INCLUIDO 
(VIGENCIA 2023)
ipc indexado 2021 y 2022 )</t>
  </si>
  <si>
    <t>CORONA</t>
  </si>
  <si>
    <t>RESOLUCIÓN 1412 DEL 22 DE DICIEMBRE DE 2021
(Profesional Universitario 2)</t>
  </si>
  <si>
    <t xml:space="preserve">VOIZ PRODUCCIONES </t>
  </si>
  <si>
    <t>Op Televisión producciones S.A.S</t>
  </si>
  <si>
    <t>No. por proceso</t>
  </si>
  <si>
    <t>IMPOCONSUMO</t>
  </si>
  <si>
    <t>Iva  e impoconsumo</t>
  </si>
  <si>
    <t>BIOSEGURIDAD</t>
  </si>
  <si>
    <t>Tapabocas Desechable Hipoalergico de papel Filtro Industrial- Tres Capas Tipo Quirurgico Azul x 50</t>
  </si>
  <si>
    <t xml:space="preserve">NO APLICA </t>
  </si>
  <si>
    <t>GUANTES DE NITRILO AJUSTABLE</t>
  </si>
  <si>
    <t>Caja de Guantes de Nitrilo x 100 unidades ajustables desechables, Calibre 3, antialergico multiusos resistente a solventes.</t>
  </si>
  <si>
    <t>ALCOHOL PARA DESINFECCION AL 70%</t>
  </si>
  <si>
    <t>Alcohol antiseptico 3700 a 3800 ML (Ficha técnica)</t>
  </si>
  <si>
    <t xml:space="preserve">NO COTIZA </t>
  </si>
  <si>
    <t>PUBLICIDAD</t>
  </si>
  <si>
    <t>PANCARTA</t>
  </si>
  <si>
    <r>
      <t xml:space="preserve">Impresión digital en Banner de 10 onzas de </t>
    </r>
    <r>
      <rPr>
        <sz val="11"/>
        <color theme="1"/>
        <rFont val="Calibri"/>
        <family val="2"/>
        <scheme val="minor"/>
      </rPr>
      <t>4mts X 1.5mts</t>
    </r>
    <r>
      <rPr>
        <sz val="10"/>
        <color indexed="8"/>
        <rFont val="Arial"/>
        <family val="2"/>
      </rPr>
      <t xml:space="preserve"> a full color con ojales reforzados metálicos y soportes metálico lateral (varilla). Incluido los cordones de sujeción.
Diseño elaborado y suministrado por la Entidad.</t>
    </r>
  </si>
  <si>
    <t>PAPELERÍA</t>
  </si>
  <si>
    <t>E.P.P -HERRAMIENTAS</t>
  </si>
  <si>
    <t>AEROSOL PROFESIONAL</t>
  </si>
  <si>
    <t>Recipiente de 400 ml -Un spray de pintura de acabado mate / Varios colores. Fabricado con resinas alquídicas modificadas de última generación y desarrollado para desafiar las más altas exigencias del mercado de las bellas artes y el graffiti. Adaptable  interiores y exteriores. 
CARACTERÍSTICAS (Baja presión - Secado muy rápido - Buen endurecimiento - Flexibilidad excelente - Gran resistencia al rayado una vez polimerizada la película - No contiene plomo ni otros metales pesados - Durabilidad del color - Facilidad de aplicación y repintado - Buen comportamiento en la intemperie - Muy buena resistencia a los rayos U.V.</t>
  </si>
  <si>
    <t>Tarro</t>
  </si>
  <si>
    <t xml:space="preserve">RODILLO </t>
  </si>
  <si>
    <t>Tapabocas Desechable Industrial Negro x 100</t>
  </si>
  <si>
    <t>Rollo de Cinta de Precaución, color amarillo de fondo con texto "PRECAUCIÓN - NO PASE"  70 mm (ANCHO). X +100 metros (LARGO). Material Plástico</t>
  </si>
  <si>
    <r>
      <t xml:space="preserve">Alquiler </t>
    </r>
    <r>
      <rPr>
        <b/>
        <sz val="10"/>
        <color rgb="FF000000"/>
        <rFont val="Arial"/>
        <family val="2"/>
      </rPr>
      <t>por hora</t>
    </r>
    <r>
      <rPr>
        <sz val="10"/>
        <color rgb="FF000000"/>
        <rFont val="Arial"/>
        <family val="2"/>
      </rPr>
      <t>, incluyendo servicio de aseo, para el desarrollo de sesiones con capacidad para grupos entre cincuenta y ochenta  personas. Incluye mesas, sillas, video beam y sonido basico.</t>
    </r>
  </si>
  <si>
    <t>PLANTA ELÉCTRICA 75 a 90 KVA</t>
  </si>
  <si>
    <t>PLANTA ELÉCTRICA 100 a 125 KVA</t>
  </si>
  <si>
    <t>Agua en botella plastica  sin gas de 600 ml</t>
  </si>
  <si>
    <r>
      <rPr>
        <b/>
        <sz val="10"/>
        <color theme="1"/>
        <rFont val="Arial"/>
        <family val="2"/>
      </rPr>
      <t>1</t>
    </r>
    <r>
      <rPr>
        <sz val="10"/>
        <color theme="1"/>
        <rFont val="Arial"/>
        <family val="2"/>
      </rPr>
      <t xml:space="preserve"> Interprete de señas (Certificado de experiencia en eventos con población en condición de discapacidad auditiva, mínimo un (1) año, para lo cual el ejecutor certificará su idoneidad bajo la Norma Internacional - ICONTEC para traductores (ISO NTC 18841).1 hora. (por norma de salud ocupacional un intérprete en periodos de más de una hora, debe ser relevado cada 20-30 minutos durante el servicio).</t>
    </r>
  </si>
  <si>
    <r>
      <rPr>
        <b/>
        <sz val="10"/>
        <color theme="1"/>
        <rFont val="Arial"/>
        <family val="2"/>
      </rPr>
      <t>2</t>
    </r>
    <r>
      <rPr>
        <sz val="10"/>
        <color theme="1"/>
        <rFont val="Arial"/>
        <family val="2"/>
      </rPr>
      <t xml:space="preserve"> Interprete de señas (Certificado de experiencia en eventos con población en condición de discapacidad auditiva, mínimo un (1) año, para lo cual el ejecutor certificará su idoneidad bajo la Norma Internacional - ICONTEC para traductores (ISO NTC 18841).Jornada. (por norma de salud ocupacional un intérprete en periodos de más de una hora, debe ser relevado cada 20-30 minutos durante el servicio).</t>
    </r>
  </si>
  <si>
    <r>
      <rPr>
        <b/>
        <sz val="10"/>
        <color theme="1"/>
        <rFont val="Arial"/>
        <family val="2"/>
      </rPr>
      <t xml:space="preserve">2 </t>
    </r>
    <r>
      <rPr>
        <sz val="10"/>
        <color theme="1"/>
        <rFont val="Arial"/>
        <family val="2"/>
      </rPr>
      <t>Interprete de señas (Certificado de experiencia en eventos con población en condición de discapacidad auditiva, mínimo un (1) año, para lo cual el ejecutor certificará su idoneidad bajo la Norma Internacional - ICONTEC para traductores (ISO NTC 18841).Jornada. (por norma de salud ocupacional un intérprete en periodos de más de una hora, debe ser relevado cada 20-30 minutos durante el servicio).</t>
    </r>
  </si>
  <si>
    <t>DOTACIÓN</t>
  </si>
  <si>
    <t>Guantes de vaqueta tipo ingeniero reforzado</t>
  </si>
  <si>
    <r>
      <t xml:space="preserve">Un (1) equipo de bajo, guitarra, batería 5 piezas </t>
    </r>
    <r>
      <rPr>
        <b/>
        <sz val="10"/>
        <color theme="1"/>
        <rFont val="Arial"/>
        <family val="2"/>
      </rPr>
      <t>(por día)</t>
    </r>
  </si>
  <si>
    <t>Alquiler de backline Un (1) equipo de bajo, guitarra, batería 5 piezas</t>
  </si>
  <si>
    <t xml:space="preserve">Disminución de Tipos de Violencia </t>
  </si>
  <si>
    <t xml:space="preserve">CARPETA DE CARTÓN </t>
  </si>
  <si>
    <r>
      <t xml:space="preserve">Alquiler Carpa Estructural lona 100% impermeable; resistente a la intemperie de 2x2 mts, Lona alta densidad, alto calibre con microfibras internas para mayor duración calibre 700 a 530 fibrascon laterales. </t>
    </r>
    <r>
      <rPr>
        <sz val="10"/>
        <color theme="1"/>
        <rFont val="Arial"/>
        <family val="2"/>
      </rPr>
      <t>Por un Día. Incluye Transporte</t>
    </r>
  </si>
  <si>
    <r>
      <t xml:space="preserve">Servicio de internet para el punto de atención
</t>
    </r>
    <r>
      <rPr>
        <b/>
        <sz val="10"/>
        <color rgb="FF00B050"/>
        <rFont val="Arial"/>
        <family val="2"/>
      </rPr>
      <t>200</t>
    </r>
    <r>
      <rPr>
        <sz val="10"/>
        <color theme="1"/>
        <rFont val="Arial"/>
        <family val="2"/>
      </rPr>
      <t xml:space="preserve"> MEGAS </t>
    </r>
  </si>
  <si>
    <t>SERVICIO DE INTERNET</t>
  </si>
  <si>
    <t>Plan Pospago para la vigencia de la intervención
ILIMIDATOS</t>
  </si>
  <si>
    <t xml:space="preserve">SERVICIO DE TELEFONIA FIJA </t>
  </si>
  <si>
    <t>Tajalapiz electrico: Tajalápiz Eléctrico funcionamiento eléctrico, automático, especial para escritorio.
Para lápices de 8 mm</t>
  </si>
  <si>
    <t>TAJALAPIZ ELECTRICO</t>
  </si>
  <si>
    <t xml:space="preserve">Caja </t>
  </si>
  <si>
    <t>Colores x 12 Unidades única punta.</t>
  </si>
  <si>
    <t xml:space="preserve">CAJA DE COLORES </t>
  </si>
  <si>
    <r>
      <t xml:space="preserve">Perforadora metálica de </t>
    </r>
    <r>
      <rPr>
        <b/>
        <sz val="10"/>
        <color theme="1"/>
        <rFont val="Arial"/>
        <family val="2"/>
      </rPr>
      <t xml:space="preserve">Dos Huecos </t>
    </r>
  </si>
  <si>
    <t xml:space="preserve">PERFORADORA </t>
  </si>
  <si>
    <t>RESMA DE PAPEL TAMAÑO CARTA X
500 HOJAS DE 75 GR</t>
  </si>
  <si>
    <t xml:space="preserve">RESMA DE PAPEL CARTA </t>
  </si>
  <si>
    <t>Resma De Papel Tamaño Oficio 21,6X33 Cm X500 Hojas</t>
  </si>
  <si>
    <t xml:space="preserve">RESMA DE PAPEL OFICIO </t>
  </si>
  <si>
    <t>Block tamaño carta a x70 hojas. Rayado</t>
  </si>
  <si>
    <t>BLOCK TAMAÑO CARTA</t>
  </si>
  <si>
    <t xml:space="preserve">
Borrador nata, pequeño, no mancha, no se desborona. 
Caja x 60 Unidades  </t>
  </si>
  <si>
    <t>Borrador</t>
  </si>
  <si>
    <t>Metalico Caja x12</t>
  </si>
  <si>
    <r>
      <t>T</t>
    </r>
    <r>
      <rPr>
        <sz val="11"/>
        <color theme="1"/>
        <rFont val="Calibri"/>
        <family val="2"/>
        <scheme val="minor"/>
      </rPr>
      <t xml:space="preserve">ajalapiz </t>
    </r>
  </si>
  <si>
    <t>Caja HB No 2 caja X 12</t>
  </si>
  <si>
    <t xml:space="preserve">Lapiz </t>
  </si>
  <si>
    <t>ETB</t>
  </si>
  <si>
    <t>LA GARZA</t>
  </si>
  <si>
    <t>LA PERLA DE SAN VICTORINO S.A.S</t>
  </si>
  <si>
    <t xml:space="preserve">PAPELERIA COLORAMA </t>
  </si>
  <si>
    <t>MAIYI</t>
  </si>
  <si>
    <t>PAPELERIA LA GRAN (12) DOCE</t>
  </si>
  <si>
    <t>PAPELERIA</t>
  </si>
  <si>
    <t>LA GRAN PAPELERIA</t>
  </si>
  <si>
    <t xml:space="preserve">GARABATOS </t>
  </si>
  <si>
    <t>CLARO</t>
  </si>
  <si>
    <r>
      <t xml:space="preserve">LISTADO DE ÍTEMS PARA LA FORMULACIÓN DE PROYECTOS VIGENCIA 2023
</t>
    </r>
    <r>
      <rPr>
        <b/>
        <i/>
        <sz val="10"/>
        <color theme="0"/>
        <rFont val="Arial"/>
        <family val="2"/>
      </rPr>
      <t>“DESARROLLO SOCIAL LOCAL”
 PREVENCIÓN DE VIOLENCIA INTRAFAMILIAR, VIOLENCIA SEXUAL Y PROMOCIÓN Y GARANTÍA DE DERECHOS FONDO DE DESARROLLO LOCAL DE USME VIGENCIA 2023 -PROYECTO 1793</t>
    </r>
  </si>
  <si>
    <t>COMPONENTE 4. MEDIOS COMUNITARIOS</t>
  </si>
  <si>
    <t>COMPONENTE 3. MESA DE AFRODESCENDIENTES</t>
  </si>
  <si>
    <t>Banner</t>
  </si>
  <si>
    <t>sesion</t>
  </si>
  <si>
    <t>VALOR TOTAL
Vigencia 2024
IVA INCLUIDO</t>
  </si>
  <si>
    <t>VALOR TOTAL
Vigencia 2024
Antes de IVA</t>
  </si>
  <si>
    <t>IVA</t>
  </si>
  <si>
    <t xml:space="preserve">CONTRATAR EL SUMINISTRO DE INSUMOS Y ELEMENTOS PARA EL APOYO LOGÍSTICO EN EL MARCO OPERATIVO DE LOS PROGRAMAS Y EVENTOS PROYECTADOS POR LA LOCALIDAD DE USME”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</si>
</sst>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2" formatCode="_-&quot;$&quot;\ * #,##0_-;\-&quot;$&quot;\ * #,##0_-;_-&quot;$&quot;\ * &quot;-&quot;_-;_-@_-"/>
    <numFmt numFmtId="44" formatCode="_-&quot;$&quot;\ * #,##0.00_-;\-&quot;$&quot;\ * #,##0.00_-;_-&quot;$&quot;\ * &quot;-&quot;??_-;_-@_-"/>
    <numFmt numFmtId="43" formatCode="_-* #,##0.00_-;\-* #,##0.00_-;_-* &quot;-&quot;??_-;_-@_-"/>
    <numFmt numFmtId="164" formatCode="_-* #,##0.00\ &quot;€&quot;_-;\-* #,##0.00\ &quot;€&quot;_-;_-* &quot;-&quot;??\ &quot;€&quot;_-;_-@_-"/>
    <numFmt numFmtId="165" formatCode="_-[$$-240A]\ * #,##0_-;\-[$$-240A]\ * #,##0_-;_-[$$-240A]\ * &quot;-&quot;??_-;_-@_-"/>
    <numFmt numFmtId="166" formatCode="_-&quot;$&quot;\ * #,##0_-;\-&quot;$&quot;\ * #,##0_-;_-&quot;$&quot;\ * &quot;-&quot;??_-;_-@_-"/>
    <numFmt numFmtId="167" formatCode="_(&quot;$ &quot;* #,##0_);_(&quot;$ &quot;* \(#,##0\);_(&quot;$ &quot;* \-_);_(@_)"/>
    <numFmt numFmtId="168" formatCode="[$$-240A]\ #,##0"/>
    <numFmt numFmtId="169" formatCode="_-&quot;$&quot;\ * #,##0.00_-;\-&quot;$&quot;\ * #,##0.00_-;_-&quot;$&quot;\ * &quot;-&quot;_-;_-@_-"/>
    <numFmt numFmtId="170" formatCode="&quot;$&quot;\ #,##0"/>
    <numFmt numFmtId="171" formatCode="_-[$$-409]* #,##0_ ;_-[$$-409]* \-#,##0\ ;_-[$$-409]* &quot;-&quot;??_ ;_-@_ "/>
    <numFmt numFmtId="172" formatCode="_-[$$-409]* #,##0.00_ ;_-[$$-409]* \-#,##0.00\ ;_-[$$-409]* &quot;-&quot;??_ ;_-@_ "/>
    <numFmt numFmtId="173" formatCode="[$$-240A]\ #,##0;\-[$$-240A]\ #,##0"/>
    <numFmt numFmtId="174" formatCode="_-[$$-240A]\ * #,##0.0_-;\-[$$-240A]\ * #,##0.0_-;_-[$$-240A]\ * &quot;-&quot;??_-;_-@_-"/>
    <numFmt numFmtId="175" formatCode="_-[$$-240A]\ * #,##0.00_-;\-[$$-240A]\ * #,##0.00_-;_-[$$-240A]\ * &quot;-&quot;??_-;_-@_-"/>
  </numFmts>
  <fonts count="32" x14ac:knownFonts="1">
    <font>
      <sz val="11"/>
      <color theme="1"/>
      <name val="Calibri"/>
      <family val="2"/>
      <scheme val="minor"/>
    </font>
    <font>
      <sz val="11"/>
      <color theme="1"/>
      <name val="Calibri"/>
      <family val="2"/>
      <scheme val="minor"/>
    </font>
    <font>
      <sz val="10"/>
      <color theme="1"/>
      <name val="Arial"/>
      <family val="2"/>
    </font>
    <font>
      <sz val="10"/>
      <color theme="1"/>
      <name val="Garamond"/>
      <family val="1"/>
    </font>
    <font>
      <sz val="10"/>
      <name val="Garamond"/>
      <family val="1"/>
    </font>
    <font>
      <sz val="10"/>
      <name val="Arial"/>
      <family val="2"/>
    </font>
    <font>
      <b/>
      <sz val="10"/>
      <color theme="1"/>
      <name val="Garamond"/>
      <family val="1"/>
    </font>
    <font>
      <b/>
      <sz val="10"/>
      <name val="Garamond"/>
      <family val="1"/>
    </font>
    <font>
      <b/>
      <sz val="10"/>
      <color theme="0"/>
      <name val="Garamond"/>
      <family val="1"/>
    </font>
    <font>
      <b/>
      <sz val="10"/>
      <color theme="0"/>
      <name val="Arial"/>
      <family val="2"/>
    </font>
    <font>
      <b/>
      <i/>
      <sz val="10"/>
      <color indexed="8"/>
      <name val="Arial"/>
      <family val="2"/>
    </font>
    <font>
      <b/>
      <sz val="10"/>
      <color indexed="8"/>
      <name val="Arial"/>
      <family val="2"/>
    </font>
    <font>
      <b/>
      <sz val="10"/>
      <name val="Arial"/>
      <family val="2"/>
    </font>
    <font>
      <b/>
      <sz val="10"/>
      <color rgb="FFFF0000"/>
      <name val="Arial"/>
      <family val="2"/>
    </font>
    <font>
      <sz val="10"/>
      <color theme="0"/>
      <name val="Arial"/>
      <family val="2"/>
    </font>
    <font>
      <sz val="10"/>
      <color indexed="8"/>
      <name val="Arial"/>
      <family val="2"/>
    </font>
    <font>
      <sz val="10"/>
      <color rgb="FF000000"/>
      <name val="Arial"/>
      <family val="2"/>
    </font>
    <font>
      <sz val="11"/>
      <name val="Garamond"/>
      <family val="1"/>
    </font>
    <font>
      <b/>
      <sz val="9"/>
      <color indexed="81"/>
      <name val="Tahoma"/>
      <family val="2"/>
    </font>
    <font>
      <sz val="9"/>
      <color indexed="81"/>
      <name val="Tahoma"/>
      <family val="2"/>
    </font>
    <font>
      <b/>
      <sz val="10"/>
      <color rgb="FFFFFFFF"/>
      <name val="Arial"/>
      <family val="2"/>
    </font>
    <font>
      <b/>
      <sz val="10"/>
      <color rgb="FF000000"/>
      <name val="Arial"/>
      <family val="2"/>
    </font>
    <font>
      <b/>
      <sz val="10"/>
      <color theme="1"/>
      <name val="Arial"/>
      <family val="2"/>
    </font>
    <font>
      <i/>
      <sz val="10"/>
      <color indexed="8"/>
      <name val="Arial"/>
      <family val="2"/>
    </font>
    <font>
      <b/>
      <sz val="6"/>
      <color theme="0"/>
      <name val="Arial"/>
      <family val="2"/>
    </font>
    <font>
      <sz val="6"/>
      <name val="Arial"/>
      <family val="2"/>
    </font>
    <font>
      <sz val="10"/>
      <color rgb="FF00B0F0"/>
      <name val="Arial"/>
      <family val="2"/>
    </font>
    <font>
      <sz val="10"/>
      <color rgb="FFFF0000"/>
      <name val="Arial"/>
      <family val="2"/>
    </font>
    <font>
      <b/>
      <sz val="10"/>
      <color rgb="FF00B050"/>
      <name val="Arial"/>
      <family val="2"/>
    </font>
    <font>
      <b/>
      <i/>
      <sz val="10"/>
      <color theme="0"/>
      <name val="Arial"/>
      <family val="2"/>
    </font>
    <font>
      <sz val="12"/>
      <color theme="1"/>
      <name val="Garamond"/>
      <family val="1"/>
    </font>
    <font>
      <b/>
      <sz val="12"/>
      <color theme="1"/>
      <name val="Garamond"/>
      <family val="1"/>
    </font>
  </fonts>
  <fills count="23">
    <fill>
      <patternFill patternType="none"/>
    </fill>
    <fill>
      <patternFill patternType="gray125"/>
    </fill>
    <fill>
      <patternFill patternType="solid">
        <fgColor theme="9" tint="0.39997558519241921"/>
        <bgColor indexed="64"/>
      </patternFill>
    </fill>
    <fill>
      <patternFill patternType="solid">
        <fgColor rgb="FF002060"/>
        <bgColor indexed="64"/>
      </patternFill>
    </fill>
    <fill>
      <patternFill patternType="solid">
        <fgColor theme="4" tint="-0.499984740745262"/>
        <bgColor indexed="41"/>
      </patternFill>
    </fill>
    <fill>
      <patternFill patternType="solid">
        <fgColor theme="9" tint="0.79998168889431442"/>
        <bgColor indexed="41"/>
      </patternFill>
    </fill>
    <fill>
      <patternFill patternType="solid">
        <fgColor theme="4" tint="0.39997558519241921"/>
        <bgColor indexed="64"/>
      </patternFill>
    </fill>
    <fill>
      <patternFill patternType="solid">
        <fgColor theme="4" tint="-0.499984740745262"/>
        <bgColor indexed="64"/>
      </patternFill>
    </fill>
    <fill>
      <patternFill patternType="solid">
        <fgColor rgb="FF92D050"/>
        <bgColor indexed="64"/>
      </patternFill>
    </fill>
    <fill>
      <patternFill patternType="solid">
        <fgColor theme="9" tint="0.79998168889431442"/>
        <bgColor indexed="64"/>
      </patternFill>
    </fill>
    <fill>
      <patternFill patternType="solid">
        <fgColor theme="0"/>
        <bgColor indexed="64"/>
      </patternFill>
    </fill>
    <fill>
      <patternFill patternType="solid">
        <fgColor rgb="FFFFFFFF"/>
        <bgColor indexed="64"/>
      </patternFill>
    </fill>
    <fill>
      <patternFill patternType="solid">
        <fgColor theme="0"/>
        <bgColor rgb="FFB4C6E7"/>
      </patternFill>
    </fill>
    <fill>
      <patternFill patternType="solid">
        <fgColor theme="8" tint="0.59999389629810485"/>
        <bgColor indexed="41"/>
      </patternFill>
    </fill>
    <fill>
      <patternFill patternType="solid">
        <fgColor theme="8" tint="0.59999389629810485"/>
        <bgColor indexed="64"/>
      </patternFill>
    </fill>
    <fill>
      <patternFill patternType="solid">
        <fgColor theme="4" tint="-0.249977111117893"/>
        <bgColor indexed="64"/>
      </patternFill>
    </fill>
    <fill>
      <patternFill patternType="solid">
        <fgColor rgb="FF1F4E78"/>
        <bgColor rgb="FFCCFFFF"/>
      </patternFill>
    </fill>
    <fill>
      <patternFill patternType="solid">
        <fgColor rgb="FF4472C4"/>
        <bgColor indexed="64"/>
      </patternFill>
    </fill>
    <fill>
      <patternFill patternType="solid">
        <fgColor theme="0"/>
        <bgColor rgb="FF000000"/>
      </patternFill>
    </fill>
    <fill>
      <patternFill patternType="solid">
        <fgColor rgb="FFFFFFFF"/>
        <bgColor rgb="FF000000"/>
      </patternFill>
    </fill>
    <fill>
      <patternFill patternType="solid">
        <fgColor theme="6" tint="0.39997558519241921"/>
        <bgColor indexed="64"/>
      </patternFill>
    </fill>
    <fill>
      <patternFill patternType="solid">
        <fgColor theme="0" tint="-4.9989318521683403E-2"/>
        <bgColor indexed="64"/>
      </patternFill>
    </fill>
    <fill>
      <patternFill patternType="solid">
        <fgColor theme="0" tint="-0.249977111117893"/>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rgb="FF000000"/>
      </bottom>
      <diagonal/>
    </border>
    <border>
      <left style="thin">
        <color indexed="64"/>
      </left>
      <right style="thin">
        <color indexed="64"/>
      </right>
      <top style="thin">
        <color indexed="64"/>
      </top>
      <bottom style="thin">
        <color rgb="FF000000"/>
      </bottom>
      <diagonal/>
    </border>
    <border>
      <left style="thin">
        <color rgb="FF000000"/>
      </left>
      <right style="thin">
        <color rgb="FF000000"/>
      </right>
      <top style="thin">
        <color rgb="FF000000"/>
      </top>
      <bottom/>
      <diagonal/>
    </border>
    <border>
      <left/>
      <right style="thin">
        <color indexed="64"/>
      </right>
      <top style="thin">
        <color indexed="64"/>
      </top>
      <bottom/>
      <diagonal/>
    </border>
    <border>
      <left style="thin">
        <color indexed="64"/>
      </left>
      <right/>
      <top style="thin">
        <color indexed="64"/>
      </top>
      <bottom/>
      <diagonal/>
    </border>
    <border>
      <left style="thin">
        <color rgb="FF000000"/>
      </left>
      <right style="thin">
        <color rgb="FF000000"/>
      </right>
      <top style="thin">
        <color rgb="FF000000"/>
      </top>
      <bottom style="thin">
        <color rgb="FF000000"/>
      </bottom>
      <diagonal/>
    </border>
  </borders>
  <cellStyleXfs count="9">
    <xf numFmtId="0" fontId="0" fillId="0" borderId="0"/>
    <xf numFmtId="164" fontId="1" fillId="0" borderId="0" applyFont="0" applyFill="0" applyBorder="0" applyAlignment="0" applyProtection="0"/>
    <xf numFmtId="0" fontId="5" fillId="0" borderId="0"/>
    <xf numFmtId="42" fontId="5" fillId="0" borderId="0" applyFill="0" applyBorder="0" applyAlignment="0" applyProtection="0"/>
    <xf numFmtId="0" fontId="1" fillId="0" borderId="0"/>
    <xf numFmtId="44" fontId="5" fillId="0" borderId="0" applyFont="0" applyFill="0" applyBorder="0" applyAlignment="0" applyProtection="0"/>
    <xf numFmtId="43" fontId="5" fillId="0" borderId="0" applyFont="0" applyFill="0" applyBorder="0" applyAlignment="0" applyProtection="0"/>
    <xf numFmtId="9" fontId="5" fillId="0" borderId="0" applyFont="0" applyFill="0" applyBorder="0" applyAlignment="0" applyProtection="0"/>
    <xf numFmtId="42" fontId="5" fillId="0" borderId="0" applyFont="0" applyFill="0" applyBorder="0" applyAlignment="0" applyProtection="0"/>
  </cellStyleXfs>
  <cellXfs count="322">
    <xf numFmtId="0" fontId="0" fillId="0" borderId="0" xfId="0"/>
    <xf numFmtId="0" fontId="2" fillId="0" borderId="0" xfId="0" applyFont="1"/>
    <xf numFmtId="0" fontId="7" fillId="2" borderId="1" xfId="0" applyFont="1" applyFill="1" applyBorder="1" applyAlignment="1">
      <alignment horizontal="center" vertical="center" wrapText="1"/>
    </xf>
    <xf numFmtId="0" fontId="3" fillId="0" borderId="0" xfId="0" applyFont="1" applyAlignment="1">
      <alignment horizontal="right"/>
    </xf>
    <xf numFmtId="0" fontId="3" fillId="0" borderId="0" xfId="0" applyFont="1" applyAlignment="1">
      <alignment horizontal="center"/>
    </xf>
    <xf numFmtId="0" fontId="6" fillId="0" borderId="0" xfId="0" applyFont="1" applyAlignment="1">
      <alignment horizontal="right"/>
    </xf>
    <xf numFmtId="0" fontId="3" fillId="0" borderId="0" xfId="0" applyFont="1" applyAlignment="1">
      <alignment horizontal="left"/>
    </xf>
    <xf numFmtId="0" fontId="6" fillId="0" borderId="0" xfId="0" applyFont="1" applyAlignment="1">
      <alignment horizontal="left"/>
    </xf>
    <xf numFmtId="0" fontId="6" fillId="0" borderId="0" xfId="0" applyFont="1" applyAlignment="1">
      <alignment horizontal="center"/>
    </xf>
    <xf numFmtId="0" fontId="3" fillId="0" borderId="0" xfId="0" applyFont="1" applyAlignment="1">
      <alignment horizontal="left" wrapText="1"/>
    </xf>
    <xf numFmtId="0" fontId="6" fillId="0" borderId="0" xfId="0" applyFont="1" applyAlignment="1">
      <alignment horizontal="left" wrapText="1"/>
    </xf>
    <xf numFmtId="0" fontId="3" fillId="0" borderId="1" xfId="0" applyFont="1" applyBorder="1" applyAlignment="1">
      <alignment horizontal="left"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2" fillId="0" borderId="0" xfId="0" applyFont="1" applyAlignment="1">
      <alignment vertical="center"/>
    </xf>
    <xf numFmtId="0" fontId="4" fillId="0" borderId="1" xfId="0" applyFont="1" applyBorder="1" applyAlignment="1">
      <alignment horizontal="left" vertical="center" wrapText="1"/>
    </xf>
    <xf numFmtId="165" fontId="3" fillId="0" borderId="0" xfId="0" applyNumberFormat="1" applyFont="1" applyAlignment="1">
      <alignment horizontal="right"/>
    </xf>
    <xf numFmtId="165" fontId="6" fillId="0" borderId="0" xfId="0" applyNumberFormat="1" applyFont="1" applyAlignment="1">
      <alignment horizontal="right"/>
    </xf>
    <xf numFmtId="165" fontId="8" fillId="3" borderId="1" xfId="1" applyNumberFormat="1" applyFont="1" applyFill="1" applyBorder="1" applyAlignment="1">
      <alignment horizontal="center" vertical="center" wrapText="1"/>
    </xf>
    <xf numFmtId="165" fontId="3" fillId="0" borderId="1" xfId="0" applyNumberFormat="1" applyFont="1" applyBorder="1" applyAlignment="1">
      <alignment horizontal="right" vertical="center"/>
    </xf>
    <xf numFmtId="165" fontId="3" fillId="0" borderId="1" xfId="1" applyNumberFormat="1" applyFont="1" applyBorder="1" applyAlignment="1">
      <alignment horizontal="center" vertical="center"/>
    </xf>
    <xf numFmtId="0" fontId="9" fillId="7" borderId="16" xfId="2" applyFont="1" applyFill="1" applyBorder="1" applyAlignment="1">
      <alignment horizontal="center" vertical="center" wrapText="1"/>
    </xf>
    <xf numFmtId="0" fontId="9" fillId="7" borderId="2" xfId="2" applyFont="1" applyFill="1" applyBorder="1" applyAlignment="1">
      <alignment horizontal="center" vertical="center" wrapText="1"/>
    </xf>
    <xf numFmtId="0" fontId="5" fillId="0" borderId="0" xfId="2"/>
    <xf numFmtId="0" fontId="9" fillId="7" borderId="10" xfId="2" applyFont="1" applyFill="1" applyBorder="1" applyAlignment="1">
      <alignment horizontal="center" vertical="center" wrapText="1"/>
    </xf>
    <xf numFmtId="0" fontId="11" fillId="5" borderId="21" xfId="2" applyFont="1" applyFill="1" applyBorder="1" applyAlignment="1">
      <alignment horizontal="center" vertical="center" wrapText="1"/>
    </xf>
    <xf numFmtId="166" fontId="11" fillId="5" borderId="21" xfId="2" applyNumberFormat="1" applyFont="1" applyFill="1" applyBorder="1" applyAlignment="1">
      <alignment horizontal="center" vertical="center" wrapText="1"/>
    </xf>
    <xf numFmtId="0" fontId="11" fillId="5" borderId="22" xfId="2" applyFont="1" applyFill="1" applyBorder="1" applyAlignment="1">
      <alignment horizontal="center" vertical="center" wrapText="1"/>
    </xf>
    <xf numFmtId="166" fontId="11" fillId="5" borderId="22" xfId="2" applyNumberFormat="1" applyFont="1" applyFill="1" applyBorder="1" applyAlignment="1">
      <alignment horizontal="center" vertical="center" wrapText="1"/>
    </xf>
    <xf numFmtId="0" fontId="11" fillId="5" borderId="7" xfId="2" applyFont="1" applyFill="1" applyBorder="1" applyAlignment="1">
      <alignment horizontal="center" vertical="center" wrapText="1"/>
    </xf>
    <xf numFmtId="0" fontId="11" fillId="5" borderId="6" xfId="2" applyFont="1" applyFill="1" applyBorder="1" applyAlignment="1">
      <alignment horizontal="center" vertical="center" wrapText="1"/>
    </xf>
    <xf numFmtId="0" fontId="11" fillId="5" borderId="5" xfId="2" applyFont="1" applyFill="1" applyBorder="1" applyAlignment="1">
      <alignment horizontal="center" vertical="center" wrapText="1"/>
    </xf>
    <xf numFmtId="0" fontId="11" fillId="5" borderId="9" xfId="2" applyFont="1" applyFill="1" applyBorder="1" applyAlignment="1">
      <alignment horizontal="center" vertical="center" wrapText="1"/>
    </xf>
    <xf numFmtId="0" fontId="9" fillId="6" borderId="22" xfId="2" applyFont="1" applyFill="1" applyBorder="1" applyAlignment="1">
      <alignment vertical="center" wrapText="1"/>
    </xf>
    <xf numFmtId="0" fontId="14" fillId="7" borderId="22" xfId="2" applyFont="1" applyFill="1" applyBorder="1" applyAlignment="1">
      <alignment vertical="center" wrapText="1"/>
    </xf>
    <xf numFmtId="0" fontId="9" fillId="7" borderId="22" xfId="2" applyFont="1" applyFill="1" applyBorder="1" applyAlignment="1">
      <alignment vertical="center" wrapText="1"/>
    </xf>
    <xf numFmtId="0" fontId="12" fillId="8" borderId="0" xfId="2" applyFont="1" applyFill="1" applyAlignment="1">
      <alignment horizontal="center" vertical="center"/>
    </xf>
    <xf numFmtId="0" fontId="5" fillId="0" borderId="0" xfId="2" applyAlignment="1">
      <alignment horizontal="center"/>
    </xf>
    <xf numFmtId="0" fontId="15" fillId="10" borderId="1" xfId="2" applyFont="1" applyFill="1" applyBorder="1" applyAlignment="1">
      <alignment horizontal="center" vertical="center" wrapText="1"/>
    </xf>
    <xf numFmtId="0" fontId="5" fillId="0" borderId="1" xfId="2" applyBorder="1" applyAlignment="1">
      <alignment vertical="center"/>
    </xf>
    <xf numFmtId="0" fontId="5" fillId="0" borderId="1" xfId="2" applyBorder="1" applyAlignment="1">
      <alignment horizontal="center" vertical="center" wrapText="1"/>
    </xf>
    <xf numFmtId="0" fontId="5" fillId="0" borderId="1" xfId="2" applyBorder="1" applyAlignment="1">
      <alignment horizontal="center" vertical="center"/>
    </xf>
    <xf numFmtId="0" fontId="5" fillId="0" borderId="1" xfId="2" applyBorder="1" applyAlignment="1">
      <alignment horizontal="justify" vertical="center" wrapText="1"/>
    </xf>
    <xf numFmtId="167" fontId="5" fillId="0" borderId="1" xfId="2" applyNumberFormat="1" applyBorder="1" applyAlignment="1">
      <alignment horizontal="center" vertical="center" wrapText="1"/>
    </xf>
    <xf numFmtId="42" fontId="5" fillId="10" borderId="1" xfId="3" applyFill="1" applyBorder="1" applyAlignment="1">
      <alignment horizontal="right"/>
    </xf>
    <xf numFmtId="42" fontId="5" fillId="10" borderId="1" xfId="3" applyFill="1" applyBorder="1" applyAlignment="1">
      <alignment horizontal="center" vertical="center"/>
    </xf>
    <xf numFmtId="42" fontId="16" fillId="10" borderId="1" xfId="3" applyFont="1" applyFill="1" applyBorder="1" applyAlignment="1">
      <alignment horizontal="center" vertical="center"/>
    </xf>
    <xf numFmtId="168" fontId="5" fillId="0" borderId="1" xfId="2" applyNumberFormat="1" applyBorder="1" applyAlignment="1">
      <alignment vertical="center"/>
    </xf>
    <xf numFmtId="42" fontId="5" fillId="10" borderId="23" xfId="3" applyFill="1" applyBorder="1" applyAlignment="1">
      <alignment horizontal="center" vertical="center"/>
    </xf>
    <xf numFmtId="1" fontId="5" fillId="10" borderId="1" xfId="3" applyNumberFormat="1" applyFill="1" applyBorder="1" applyAlignment="1">
      <alignment horizontal="center" vertical="center"/>
    </xf>
    <xf numFmtId="169" fontId="5" fillId="10" borderId="1" xfId="3" applyNumberFormat="1" applyFill="1" applyBorder="1" applyAlignment="1">
      <alignment horizontal="center" vertical="center"/>
    </xf>
    <xf numFmtId="0" fontId="5" fillId="10" borderId="1" xfId="2" applyFill="1" applyBorder="1" applyAlignment="1">
      <alignment horizontal="center" vertical="center"/>
    </xf>
    <xf numFmtId="0" fontId="15" fillId="10" borderId="24" xfId="2" applyFont="1" applyFill="1" applyBorder="1" applyAlignment="1">
      <alignment horizontal="center" vertical="center" wrapText="1"/>
    </xf>
    <xf numFmtId="168" fontId="5" fillId="0" borderId="23" xfId="2" applyNumberFormat="1" applyBorder="1" applyAlignment="1">
      <alignment vertical="center"/>
    </xf>
    <xf numFmtId="168" fontId="5" fillId="10" borderId="1" xfId="2" applyNumberFormat="1" applyFill="1" applyBorder="1" applyAlignment="1">
      <alignment vertical="center"/>
    </xf>
    <xf numFmtId="168" fontId="2" fillId="10" borderId="1" xfId="2" applyNumberFormat="1" applyFont="1" applyFill="1" applyBorder="1" applyAlignment="1" applyProtection="1">
      <alignment horizontal="right" vertical="center" wrapText="1"/>
      <protection locked="0"/>
    </xf>
    <xf numFmtId="42" fontId="5" fillId="10" borderId="13" xfId="3" applyFill="1" applyBorder="1" applyAlignment="1">
      <alignment horizontal="center" vertical="center"/>
    </xf>
    <xf numFmtId="42" fontId="16" fillId="10" borderId="24" xfId="3" applyFont="1" applyFill="1" applyBorder="1" applyAlignment="1">
      <alignment horizontal="center" vertical="center"/>
    </xf>
    <xf numFmtId="0" fontId="5" fillId="0" borderId="0" xfId="2" applyAlignment="1">
      <alignment horizontal="center" vertical="center"/>
    </xf>
    <xf numFmtId="0" fontId="5" fillId="10" borderId="1" xfId="2" applyFill="1" applyBorder="1" applyAlignment="1">
      <alignment vertical="center"/>
    </xf>
    <xf numFmtId="0" fontId="2" fillId="10" borderId="1" xfId="2" applyFont="1" applyFill="1" applyBorder="1" applyAlignment="1">
      <alignment horizontal="center" vertical="center" wrapText="1"/>
    </xf>
    <xf numFmtId="42" fontId="2" fillId="10" borderId="1" xfId="3" applyFont="1" applyFill="1" applyBorder="1" applyAlignment="1">
      <alignment horizontal="center" vertical="center" wrapText="1"/>
    </xf>
    <xf numFmtId="42" fontId="2" fillId="0" borderId="1" xfId="3" applyFont="1" applyFill="1" applyBorder="1" applyAlignment="1">
      <alignment horizontal="center" vertical="center" wrapText="1"/>
    </xf>
    <xf numFmtId="42" fontId="5" fillId="0" borderId="1" xfId="3" applyFill="1" applyBorder="1" applyAlignment="1">
      <alignment horizontal="center" vertical="center" wrapText="1"/>
    </xf>
    <xf numFmtId="0" fontId="0" fillId="0" borderId="1" xfId="4" applyFont="1" applyBorder="1" applyAlignment="1">
      <alignment horizontal="center" vertical="center" wrapText="1"/>
    </xf>
    <xf numFmtId="42" fontId="5" fillId="10" borderId="15" xfId="3" applyFill="1" applyBorder="1" applyAlignment="1">
      <alignment horizontal="right"/>
    </xf>
    <xf numFmtId="0" fontId="17" fillId="0" borderId="13" xfId="2" applyFont="1" applyBorder="1" applyAlignment="1">
      <alignment horizontal="center" vertical="center" wrapText="1"/>
    </xf>
    <xf numFmtId="0" fontId="17" fillId="0" borderId="1" xfId="2" applyFont="1" applyBorder="1" applyAlignment="1">
      <alignment horizontal="center" vertical="center" wrapText="1"/>
    </xf>
    <xf numFmtId="42" fontId="16" fillId="11" borderId="1" xfId="3" applyFont="1" applyFill="1" applyBorder="1" applyAlignment="1">
      <alignment horizontal="center" vertical="center"/>
    </xf>
    <xf numFmtId="0" fontId="5" fillId="10" borderId="1" xfId="2" applyFill="1" applyBorder="1" applyAlignment="1">
      <alignment horizontal="center" vertical="center" wrapText="1"/>
    </xf>
    <xf numFmtId="42" fontId="2" fillId="10" borderId="1" xfId="3" applyFont="1" applyFill="1" applyBorder="1" applyAlignment="1">
      <alignment horizontal="center" vertical="center"/>
    </xf>
    <xf numFmtId="0" fontId="5" fillId="0" borderId="15" xfId="2" applyBorder="1" applyAlignment="1">
      <alignment horizontal="center" vertical="center" wrapText="1"/>
    </xf>
    <xf numFmtId="0" fontId="5" fillId="0" borderId="15" xfId="2" applyBorder="1" applyAlignment="1">
      <alignment horizontal="justify" vertical="center" wrapText="1"/>
    </xf>
    <xf numFmtId="167" fontId="5" fillId="0" borderId="15" xfId="2" applyNumberFormat="1" applyBorder="1" applyAlignment="1">
      <alignment horizontal="center" vertical="center" wrapText="1"/>
    </xf>
    <xf numFmtId="0" fontId="5" fillId="0" borderId="1" xfId="2" applyBorder="1" applyAlignment="1">
      <alignment horizontal="left" vertical="center" wrapText="1"/>
    </xf>
    <xf numFmtId="42" fontId="5" fillId="10" borderId="0" xfId="3" applyFill="1" applyBorder="1" applyAlignment="1">
      <alignment horizontal="center" vertical="center"/>
    </xf>
    <xf numFmtId="168" fontId="2" fillId="12" borderId="1" xfId="2" applyNumberFormat="1" applyFont="1" applyFill="1" applyBorder="1" applyAlignment="1">
      <alignment horizontal="right" vertical="center" wrapText="1"/>
    </xf>
    <xf numFmtId="166" fontId="5" fillId="10" borderId="1" xfId="3" applyNumberFormat="1" applyFill="1" applyBorder="1" applyAlignment="1">
      <alignment horizontal="center" vertical="center"/>
    </xf>
    <xf numFmtId="166" fontId="5" fillId="0" borderId="0" xfId="5" applyNumberFormat="1" applyFont="1" applyAlignment="1">
      <alignment vertical="center"/>
    </xf>
    <xf numFmtId="166" fontId="5" fillId="0" borderId="1" xfId="5" applyNumberFormat="1" applyFont="1" applyBorder="1" applyAlignment="1">
      <alignment horizontal="center" vertical="center"/>
    </xf>
    <xf numFmtId="0" fontId="5" fillId="0" borderId="0" xfId="2" applyAlignment="1">
      <alignment vertical="center"/>
    </xf>
    <xf numFmtId="0" fontId="12" fillId="0" borderId="0" xfId="2" applyFont="1"/>
    <xf numFmtId="42" fontId="12" fillId="0" borderId="0" xfId="2" applyNumberFormat="1" applyFont="1"/>
    <xf numFmtId="0" fontId="12" fillId="0" borderId="0" xfId="2" applyFont="1" applyAlignment="1">
      <alignment horizontal="center" vertical="center"/>
    </xf>
    <xf numFmtId="0" fontId="5" fillId="0" borderId="0" xfId="2" applyAlignment="1">
      <alignment vertical="center" wrapText="1"/>
    </xf>
    <xf numFmtId="0" fontId="2" fillId="0" borderId="0" xfId="2" applyFont="1" applyAlignment="1">
      <alignment horizontal="center" vertical="center" wrapText="1"/>
    </xf>
    <xf numFmtId="0" fontId="9" fillId="7" borderId="7" xfId="2" applyFont="1" applyFill="1" applyBorder="1" applyAlignment="1">
      <alignment horizontal="center" vertical="center" wrapText="1"/>
    </xf>
    <xf numFmtId="0" fontId="9" fillId="7" borderId="22" xfId="2" applyFont="1" applyFill="1" applyBorder="1" applyAlignment="1">
      <alignment horizontal="center" vertical="center" wrapText="1"/>
    </xf>
    <xf numFmtId="0" fontId="24" fillId="7" borderId="7" xfId="2" applyFont="1" applyFill="1" applyBorder="1" applyAlignment="1">
      <alignment horizontal="right" wrapText="1"/>
    </xf>
    <xf numFmtId="0" fontId="11" fillId="13" borderId="1" xfId="2" applyFont="1" applyFill="1" applyBorder="1" applyAlignment="1">
      <alignment horizontal="center" vertical="center" wrapText="1"/>
    </xf>
    <xf numFmtId="166" fontId="11" fillId="13" borderId="1" xfId="2" applyNumberFormat="1" applyFont="1" applyFill="1" applyBorder="1" applyAlignment="1">
      <alignment horizontal="center" vertical="center" wrapText="1"/>
    </xf>
    <xf numFmtId="0" fontId="11" fillId="14" borderId="1" xfId="2" applyFont="1" applyFill="1" applyBorder="1" applyAlignment="1">
      <alignment horizontal="center" vertical="center" wrapText="1"/>
    </xf>
    <xf numFmtId="166" fontId="11" fillId="14" borderId="1" xfId="2" applyNumberFormat="1" applyFont="1" applyFill="1" applyBorder="1" applyAlignment="1">
      <alignment horizontal="center" vertical="center" wrapText="1"/>
    </xf>
    <xf numFmtId="166" fontId="15" fillId="13" borderId="1" xfId="2" applyNumberFormat="1" applyFont="1" applyFill="1" applyBorder="1" applyAlignment="1">
      <alignment horizontal="center" vertical="center" wrapText="1"/>
    </xf>
    <xf numFmtId="0" fontId="20" fillId="17" borderId="0" xfId="2" applyFont="1" applyFill="1" applyAlignment="1">
      <alignment vertical="center"/>
    </xf>
    <xf numFmtId="0" fontId="9" fillId="8" borderId="22" xfId="2" applyFont="1" applyFill="1" applyBorder="1" applyAlignment="1">
      <alignment vertical="center" wrapText="1"/>
    </xf>
    <xf numFmtId="44" fontId="9" fillId="7" borderId="22" xfId="5" applyFont="1" applyFill="1" applyBorder="1" applyAlignment="1">
      <alignment vertical="center" wrapText="1"/>
    </xf>
    <xf numFmtId="0" fontId="11" fillId="10" borderId="30" xfId="2" applyFont="1" applyFill="1" applyBorder="1" applyAlignment="1">
      <alignment horizontal="center" vertical="center" wrapText="1"/>
    </xf>
    <xf numFmtId="0" fontId="11" fillId="10" borderId="1" xfId="2" applyFont="1" applyFill="1" applyBorder="1" applyAlignment="1">
      <alignment horizontal="center" vertical="center" wrapText="1"/>
    </xf>
    <xf numFmtId="0" fontId="11" fillId="10" borderId="1" xfId="2" applyFont="1" applyFill="1" applyBorder="1" applyAlignment="1">
      <alignment horizontal="left" vertical="center" wrapText="1"/>
    </xf>
    <xf numFmtId="0" fontId="15" fillId="10" borderId="1" xfId="2" applyFont="1" applyFill="1" applyBorder="1" applyAlignment="1">
      <alignment vertical="center" wrapText="1"/>
    </xf>
    <xf numFmtId="167" fontId="15" fillId="10" borderId="1" xfId="2" applyNumberFormat="1" applyFont="1" applyFill="1" applyBorder="1" applyAlignment="1">
      <alignment horizontal="center" vertical="center" wrapText="1"/>
    </xf>
    <xf numFmtId="42" fontId="25" fillId="10" borderId="1" xfId="3" applyFont="1" applyFill="1" applyBorder="1" applyAlignment="1">
      <alignment horizontal="right"/>
    </xf>
    <xf numFmtId="42" fontId="26" fillId="10" borderId="24" xfId="3" applyFont="1" applyFill="1" applyBorder="1" applyAlignment="1">
      <alignment horizontal="center" vertical="center"/>
    </xf>
    <xf numFmtId="43" fontId="0" fillId="10" borderId="24" xfId="6" applyFont="1" applyFill="1" applyBorder="1" applyAlignment="1">
      <alignment horizontal="center" vertical="center"/>
    </xf>
    <xf numFmtId="166" fontId="0" fillId="10" borderId="24" xfId="3" applyNumberFormat="1" applyFont="1" applyFill="1" applyBorder="1" applyAlignment="1">
      <alignment horizontal="center" vertical="center"/>
    </xf>
    <xf numFmtId="42" fontId="0" fillId="10" borderId="24" xfId="3" applyFont="1" applyFill="1" applyBorder="1" applyAlignment="1">
      <alignment horizontal="center" vertical="center"/>
    </xf>
    <xf numFmtId="42" fontId="26" fillId="10" borderId="1" xfId="3" applyFont="1" applyFill="1" applyBorder="1" applyAlignment="1">
      <alignment horizontal="center" vertical="center"/>
    </xf>
    <xf numFmtId="42" fontId="26" fillId="11" borderId="24" xfId="3" applyFont="1" applyFill="1" applyBorder="1" applyAlignment="1">
      <alignment horizontal="center" vertical="center"/>
    </xf>
    <xf numFmtId="169" fontId="0" fillId="10" borderId="13" xfId="3" applyNumberFormat="1" applyFont="1" applyFill="1" applyBorder="1" applyAlignment="1">
      <alignment horizontal="center" vertical="center"/>
    </xf>
    <xf numFmtId="169" fontId="0" fillId="10" borderId="1" xfId="3" applyNumberFormat="1" applyFont="1" applyFill="1" applyBorder="1" applyAlignment="1">
      <alignment horizontal="center" vertical="center"/>
    </xf>
    <xf numFmtId="1" fontId="0" fillId="10" borderId="1" xfId="3" applyNumberFormat="1" applyFont="1" applyFill="1" applyBorder="1" applyAlignment="1">
      <alignment horizontal="center" vertical="center"/>
    </xf>
    <xf numFmtId="44" fontId="0" fillId="10" borderId="1" xfId="5" applyFont="1" applyFill="1" applyBorder="1" applyAlignment="1">
      <alignment horizontal="center" vertical="center"/>
    </xf>
    <xf numFmtId="42" fontId="12" fillId="10" borderId="31" xfId="3" applyFont="1" applyFill="1" applyBorder="1" applyAlignment="1">
      <alignment horizontal="center" vertical="center"/>
    </xf>
    <xf numFmtId="0" fontId="5" fillId="11" borderId="0" xfId="2" applyFill="1" applyAlignment="1">
      <alignment horizontal="center" vertical="center"/>
    </xf>
    <xf numFmtId="43" fontId="2" fillId="10" borderId="1" xfId="6" applyFont="1" applyFill="1" applyBorder="1" applyAlignment="1">
      <alignment horizontal="center" vertical="center"/>
    </xf>
    <xf numFmtId="166" fontId="2" fillId="10" borderId="1" xfId="3" applyNumberFormat="1" applyFont="1" applyFill="1" applyBorder="1" applyAlignment="1">
      <alignment horizontal="center" vertical="center"/>
    </xf>
    <xf numFmtId="42" fontId="0" fillId="10" borderId="1" xfId="3" applyFont="1" applyFill="1" applyBorder="1" applyAlignment="1">
      <alignment horizontal="center" vertical="center"/>
    </xf>
    <xf numFmtId="166" fontId="0" fillId="10" borderId="1" xfId="3" applyNumberFormat="1" applyFont="1" applyFill="1" applyBorder="1" applyAlignment="1">
      <alignment horizontal="center" vertical="center"/>
    </xf>
    <xf numFmtId="42" fontId="26" fillId="11" borderId="1" xfId="3" applyFont="1" applyFill="1" applyBorder="1" applyAlignment="1">
      <alignment horizontal="center" vertical="center"/>
    </xf>
    <xf numFmtId="43" fontId="27" fillId="10" borderId="1" xfId="6" applyFont="1" applyFill="1" applyBorder="1" applyAlignment="1">
      <alignment horizontal="center" vertical="center"/>
    </xf>
    <xf numFmtId="166" fontId="2" fillId="10" borderId="1" xfId="2" applyNumberFormat="1" applyFont="1" applyFill="1" applyBorder="1" applyAlignment="1" applyProtection="1">
      <alignment horizontal="right" vertical="center" wrapText="1"/>
      <protection locked="0"/>
    </xf>
    <xf numFmtId="166" fontId="27" fillId="10" borderId="1" xfId="2" applyNumberFormat="1" applyFont="1" applyFill="1" applyBorder="1" applyAlignment="1" applyProtection="1">
      <alignment horizontal="right" vertical="center" wrapText="1"/>
      <protection locked="0"/>
    </xf>
    <xf numFmtId="166" fontId="27" fillId="10" borderId="1" xfId="3" applyNumberFormat="1" applyFont="1" applyFill="1" applyBorder="1" applyAlignment="1">
      <alignment horizontal="center" vertical="center"/>
    </xf>
    <xf numFmtId="42" fontId="27" fillId="10" borderId="1" xfId="3" applyFont="1" applyFill="1" applyBorder="1" applyAlignment="1">
      <alignment horizontal="center" vertical="center"/>
    </xf>
    <xf numFmtId="0" fontId="5" fillId="11" borderId="0" xfId="2" applyFill="1" applyAlignment="1">
      <alignment horizontal="center" vertical="center" wrapText="1"/>
    </xf>
    <xf numFmtId="0" fontId="5" fillId="10" borderId="0" xfId="2" applyFill="1"/>
    <xf numFmtId="0" fontId="2" fillId="11" borderId="0" xfId="2" applyFont="1" applyFill="1" applyAlignment="1">
      <alignment horizontal="center" vertical="center" wrapText="1"/>
    </xf>
    <xf numFmtId="0" fontId="5" fillId="10" borderId="1" xfId="2" applyFill="1" applyBorder="1" applyAlignment="1">
      <alignment vertical="center" wrapText="1"/>
    </xf>
    <xf numFmtId="166" fontId="0" fillId="10" borderId="1" xfId="5" applyNumberFormat="1" applyFont="1" applyFill="1" applyBorder="1" applyAlignment="1">
      <alignment vertical="center"/>
    </xf>
    <xf numFmtId="0" fontId="2" fillId="11" borderId="0" xfId="2" applyFont="1" applyFill="1" applyAlignment="1">
      <alignment horizontal="center" vertical="center"/>
    </xf>
    <xf numFmtId="166" fontId="0" fillId="0" borderId="1" xfId="5" applyNumberFormat="1" applyFont="1" applyBorder="1" applyAlignment="1">
      <alignment vertical="center"/>
    </xf>
    <xf numFmtId="1" fontId="5" fillId="0" borderId="1" xfId="2" applyNumberFormat="1" applyBorder="1" applyAlignment="1">
      <alignment vertical="center"/>
    </xf>
    <xf numFmtId="0" fontId="12" fillId="11" borderId="0" xfId="2" applyFont="1" applyFill="1" applyAlignment="1">
      <alignment horizontal="center" vertical="center"/>
    </xf>
    <xf numFmtId="0" fontId="2" fillId="10" borderId="1" xfId="2" applyFont="1" applyFill="1" applyBorder="1" applyAlignment="1">
      <alignment vertical="center" wrapText="1"/>
    </xf>
    <xf numFmtId="44" fontId="16" fillId="10" borderId="1" xfId="5" applyFont="1" applyFill="1" applyBorder="1" applyAlignment="1">
      <alignment horizontal="center" vertical="center"/>
    </xf>
    <xf numFmtId="166" fontId="2" fillId="10" borderId="1" xfId="5" applyNumberFormat="1" applyFont="1" applyFill="1" applyBorder="1" applyAlignment="1">
      <alignment vertical="center"/>
    </xf>
    <xf numFmtId="9" fontId="2" fillId="10" borderId="1" xfId="3" applyNumberFormat="1" applyFont="1" applyFill="1" applyBorder="1" applyAlignment="1">
      <alignment horizontal="center" vertical="center"/>
    </xf>
    <xf numFmtId="0" fontId="21" fillId="10" borderId="1" xfId="2" applyFont="1" applyFill="1" applyBorder="1" applyAlignment="1">
      <alignment horizontal="left" vertical="center" wrapText="1"/>
    </xf>
    <xf numFmtId="9" fontId="0" fillId="10" borderId="1" xfId="3" applyNumberFormat="1" applyFont="1" applyFill="1" applyBorder="1" applyAlignment="1">
      <alignment horizontal="center" vertical="center"/>
    </xf>
    <xf numFmtId="166" fontId="2" fillId="11" borderId="1" xfId="5" applyNumberFormat="1" applyFont="1" applyFill="1" applyBorder="1" applyAlignment="1">
      <alignment vertical="center"/>
    </xf>
    <xf numFmtId="9" fontId="0" fillId="11" borderId="1" xfId="3" applyNumberFormat="1" applyFont="1" applyFill="1" applyBorder="1" applyAlignment="1">
      <alignment horizontal="center" vertical="center"/>
    </xf>
    <xf numFmtId="42" fontId="0" fillId="11" borderId="1" xfId="3" applyFont="1" applyFill="1" applyBorder="1" applyAlignment="1">
      <alignment horizontal="center" vertical="center"/>
    </xf>
    <xf numFmtId="44" fontId="2" fillId="10" borderId="1" xfId="5" applyFont="1" applyFill="1" applyBorder="1" applyAlignment="1">
      <alignment vertical="center"/>
    </xf>
    <xf numFmtId="169" fontId="0" fillId="10" borderId="32" xfId="3" applyNumberFormat="1" applyFont="1" applyFill="1" applyBorder="1" applyAlignment="1">
      <alignment horizontal="center" vertical="center"/>
    </xf>
    <xf numFmtId="169" fontId="0" fillId="10" borderId="33" xfId="3" applyNumberFormat="1" applyFont="1" applyFill="1" applyBorder="1" applyAlignment="1">
      <alignment horizontal="center" vertical="center"/>
    </xf>
    <xf numFmtId="0" fontId="22" fillId="10" borderId="24" xfId="2" applyFont="1" applyFill="1" applyBorder="1" applyAlignment="1">
      <alignment horizontal="left" vertical="center" wrapText="1"/>
    </xf>
    <xf numFmtId="0" fontId="2" fillId="10" borderId="24" xfId="2" applyFont="1" applyFill="1" applyBorder="1" applyAlignment="1">
      <alignment horizontal="center" vertical="center" wrapText="1"/>
    </xf>
    <xf numFmtId="0" fontId="5" fillId="10" borderId="24" xfId="2" applyFill="1" applyBorder="1" applyAlignment="1">
      <alignment vertical="center" wrapText="1"/>
    </xf>
    <xf numFmtId="167" fontId="15" fillId="10" borderId="24" xfId="2" applyNumberFormat="1" applyFont="1" applyFill="1" applyBorder="1" applyAlignment="1">
      <alignment horizontal="center" vertical="center" wrapText="1"/>
    </xf>
    <xf numFmtId="42" fontId="25" fillId="10" borderId="24" xfId="3" applyFont="1" applyFill="1" applyBorder="1" applyAlignment="1">
      <alignment horizontal="right"/>
    </xf>
    <xf numFmtId="166" fontId="0" fillId="10" borderId="1" xfId="7" applyNumberFormat="1" applyFont="1" applyFill="1" applyBorder="1" applyAlignment="1">
      <alignment horizontal="center" vertical="center"/>
    </xf>
    <xf numFmtId="168" fontId="16" fillId="0" borderId="1" xfId="2" applyNumberFormat="1" applyFont="1" applyBorder="1" applyAlignment="1">
      <alignment horizontal="center" vertical="center" wrapText="1"/>
    </xf>
    <xf numFmtId="0" fontId="22" fillId="10" borderId="1" xfId="2" applyFont="1" applyFill="1" applyBorder="1" applyAlignment="1">
      <alignment horizontal="left" vertical="center" wrapText="1"/>
    </xf>
    <xf numFmtId="166" fontId="27" fillId="10" borderId="1" xfId="7" applyNumberFormat="1" applyFont="1" applyFill="1" applyBorder="1" applyAlignment="1">
      <alignment horizontal="center" vertical="center"/>
    </xf>
    <xf numFmtId="166" fontId="2" fillId="10" borderId="1" xfId="7" applyNumberFormat="1" applyFont="1" applyFill="1" applyBorder="1" applyAlignment="1">
      <alignment horizontal="center" vertical="center"/>
    </xf>
    <xf numFmtId="166" fontId="16" fillId="10" borderId="1" xfId="7" applyNumberFormat="1" applyFont="1" applyFill="1" applyBorder="1" applyAlignment="1">
      <alignment horizontal="center" vertical="center"/>
    </xf>
    <xf numFmtId="168" fontId="2" fillId="0" borderId="1" xfId="2" applyNumberFormat="1" applyFont="1" applyBorder="1" applyAlignment="1">
      <alignment horizontal="center" vertical="center" wrapText="1"/>
    </xf>
    <xf numFmtId="166" fontId="16" fillId="10" borderId="1" xfId="3" applyNumberFormat="1" applyFont="1" applyFill="1" applyBorder="1" applyAlignment="1">
      <alignment horizontal="center" vertical="center"/>
    </xf>
    <xf numFmtId="168" fontId="2" fillId="10" borderId="1" xfId="2" applyNumberFormat="1" applyFont="1" applyFill="1" applyBorder="1" applyAlignment="1" applyProtection="1">
      <alignment horizontal="center" vertical="center" wrapText="1"/>
      <protection locked="0"/>
    </xf>
    <xf numFmtId="42" fontId="2" fillId="11" borderId="1" xfId="3" applyFont="1" applyFill="1" applyBorder="1" applyAlignment="1">
      <alignment horizontal="center" vertical="center"/>
    </xf>
    <xf numFmtId="168" fontId="16" fillId="10" borderId="1" xfId="2" applyNumberFormat="1" applyFont="1" applyFill="1" applyBorder="1" applyAlignment="1" applyProtection="1">
      <alignment horizontal="right" vertical="center" wrapText="1"/>
      <protection locked="0"/>
    </xf>
    <xf numFmtId="168" fontId="16" fillId="12" borderId="1" xfId="2" applyNumberFormat="1" applyFont="1" applyFill="1" applyBorder="1" applyAlignment="1">
      <alignment horizontal="right" vertical="center" wrapText="1"/>
    </xf>
    <xf numFmtId="0" fontId="22" fillId="0" borderId="0" xfId="2" applyFont="1" applyAlignment="1">
      <alignment horizontal="center" vertical="center"/>
    </xf>
    <xf numFmtId="0" fontId="16" fillId="18" borderId="1" xfId="2" applyFont="1" applyFill="1" applyBorder="1" applyAlignment="1">
      <alignment vertical="center" wrapText="1"/>
    </xf>
    <xf numFmtId="0" fontId="22" fillId="11" borderId="0" xfId="2" applyFont="1" applyFill="1" applyAlignment="1">
      <alignment horizontal="center" vertical="center" wrapText="1"/>
    </xf>
    <xf numFmtId="0" fontId="22" fillId="11" borderId="0" xfId="2" applyFont="1" applyFill="1" applyAlignment="1">
      <alignment horizontal="center" vertical="center"/>
    </xf>
    <xf numFmtId="0" fontId="16" fillId="10" borderId="1" xfId="2" applyFont="1" applyFill="1" applyBorder="1" applyAlignment="1">
      <alignment vertical="center" wrapText="1"/>
    </xf>
    <xf numFmtId="0" fontId="21" fillId="10" borderId="1" xfId="4" applyFont="1" applyFill="1" applyBorder="1" applyAlignment="1">
      <alignment horizontal="left" vertical="center" wrapText="1"/>
    </xf>
    <xf numFmtId="0" fontId="16" fillId="10" borderId="1" xfId="4" applyFont="1" applyFill="1" applyBorder="1" applyAlignment="1">
      <alignment horizontal="center" vertical="center" wrapText="1"/>
    </xf>
    <xf numFmtId="166" fontId="16" fillId="10" borderId="1" xfId="5" applyNumberFormat="1" applyFont="1" applyFill="1" applyBorder="1" applyAlignment="1" applyProtection="1">
      <alignment horizontal="center" vertical="center" wrapText="1"/>
      <protection locked="0"/>
    </xf>
    <xf numFmtId="0" fontId="16" fillId="10" borderId="1" xfId="2" applyFont="1" applyFill="1" applyBorder="1" applyAlignment="1">
      <alignment horizontal="center" vertical="center" wrapText="1"/>
    </xf>
    <xf numFmtId="44" fontId="0" fillId="0" borderId="1" xfId="5" applyFont="1" applyBorder="1" applyAlignment="1">
      <alignment vertical="center"/>
    </xf>
    <xf numFmtId="166" fontId="2" fillId="10" borderId="1" xfId="5" applyNumberFormat="1" applyFont="1" applyFill="1" applyBorder="1" applyAlignment="1">
      <alignment horizontal="center" vertical="center"/>
    </xf>
    <xf numFmtId="168" fontId="2" fillId="0" borderId="1" xfId="2" applyNumberFormat="1" applyFont="1" applyBorder="1" applyAlignment="1" applyProtection="1">
      <alignment horizontal="right" vertical="center" wrapText="1"/>
      <protection locked="0"/>
    </xf>
    <xf numFmtId="170" fontId="2" fillId="0" borderId="1" xfId="7" applyNumberFormat="1" applyFont="1" applyBorder="1" applyAlignment="1" applyProtection="1">
      <alignment horizontal="center" vertical="center" wrapText="1"/>
      <protection locked="0"/>
    </xf>
    <xf numFmtId="0" fontId="22" fillId="10" borderId="0" xfId="2" applyFont="1" applyFill="1" applyAlignment="1">
      <alignment horizontal="center" vertical="center"/>
    </xf>
    <xf numFmtId="168" fontId="16" fillId="0" borderId="1" xfId="2" applyNumberFormat="1" applyFont="1" applyBorder="1" applyAlignment="1" applyProtection="1">
      <alignment horizontal="right" vertical="center" wrapText="1"/>
      <protection locked="0"/>
    </xf>
    <xf numFmtId="170" fontId="16" fillId="0" borderId="1" xfId="7" applyNumberFormat="1" applyFont="1" applyBorder="1" applyAlignment="1" applyProtection="1">
      <alignment horizontal="center" vertical="center" wrapText="1"/>
      <protection locked="0"/>
    </xf>
    <xf numFmtId="171" fontId="5" fillId="0" borderId="1" xfId="2" applyNumberFormat="1" applyBorder="1" applyAlignment="1">
      <alignment vertical="center"/>
    </xf>
    <xf numFmtId="172" fontId="16" fillId="19" borderId="1" xfId="2" applyNumberFormat="1" applyFont="1" applyFill="1" applyBorder="1" applyAlignment="1">
      <alignment vertical="center"/>
    </xf>
    <xf numFmtId="44" fontId="0" fillId="0" borderId="1" xfId="5" applyFont="1" applyBorder="1" applyAlignment="1">
      <alignment horizontal="center" vertical="center"/>
    </xf>
    <xf numFmtId="166" fontId="0" fillId="10" borderId="1" xfId="5" applyNumberFormat="1" applyFont="1" applyFill="1" applyBorder="1" applyAlignment="1">
      <alignment horizontal="center" vertical="center"/>
    </xf>
    <xf numFmtId="0" fontId="12" fillId="10" borderId="1" xfId="2" applyFont="1" applyFill="1" applyBorder="1" applyAlignment="1">
      <alignment horizontal="left" vertical="center" wrapText="1"/>
    </xf>
    <xf numFmtId="173" fontId="5" fillId="10" borderId="1" xfId="2" applyNumberFormat="1" applyFill="1" applyBorder="1" applyAlignment="1">
      <alignment vertical="center"/>
    </xf>
    <xf numFmtId="0" fontId="25" fillId="10" borderId="1" xfId="2" applyFont="1" applyFill="1" applyBorder="1" applyAlignment="1">
      <alignment horizontal="right" wrapText="1"/>
    </xf>
    <xf numFmtId="42" fontId="26" fillId="10" borderId="1" xfId="3" applyFont="1" applyFill="1" applyBorder="1" applyAlignment="1">
      <alignment horizontal="center" vertical="center" wrapText="1"/>
    </xf>
    <xf numFmtId="0" fontId="5" fillId="0" borderId="0" xfId="2" applyAlignment="1">
      <alignment horizontal="center" wrapText="1"/>
    </xf>
    <xf numFmtId="0" fontId="12" fillId="0" borderId="0" xfId="2" applyFont="1" applyAlignment="1">
      <alignment horizontal="left" vertical="center"/>
    </xf>
    <xf numFmtId="0" fontId="25" fillId="0" borderId="0" xfId="2" applyFont="1" applyAlignment="1">
      <alignment horizontal="right"/>
    </xf>
    <xf numFmtId="0" fontId="5" fillId="0" borderId="0" xfId="2" applyAlignment="1">
      <alignment horizontal="center" vertical="center" wrapText="1"/>
    </xf>
    <xf numFmtId="166" fontId="5" fillId="0" borderId="0" xfId="2" applyNumberFormat="1" applyAlignment="1">
      <alignment vertical="center"/>
    </xf>
    <xf numFmtId="0" fontId="12" fillId="0" borderId="0" xfId="2" applyFont="1" applyAlignment="1">
      <alignment vertical="center"/>
    </xf>
    <xf numFmtId="44" fontId="0" fillId="0" borderId="0" xfId="5" applyFont="1" applyAlignment="1">
      <alignment vertical="center"/>
    </xf>
    <xf numFmtId="42" fontId="12" fillId="0" borderId="0" xfId="2" applyNumberFormat="1" applyFont="1" applyAlignment="1">
      <alignment vertical="center"/>
    </xf>
    <xf numFmtId="0" fontId="2" fillId="0" borderId="0" xfId="2" applyFont="1" applyAlignment="1">
      <alignment horizontal="center" vertical="center"/>
    </xf>
    <xf numFmtId="0" fontId="20" fillId="16" borderId="28" xfId="2" applyFont="1" applyFill="1" applyBorder="1" applyAlignment="1">
      <alignment vertical="center" wrapText="1"/>
    </xf>
    <xf numFmtId="0" fontId="20" fillId="16" borderId="29" xfId="2" applyFont="1" applyFill="1" applyBorder="1" applyAlignment="1">
      <alignment vertical="center" wrapText="1"/>
    </xf>
    <xf numFmtId="0" fontId="9" fillId="7" borderId="16" xfId="2" applyFont="1" applyFill="1" applyBorder="1" applyAlignment="1">
      <alignment vertical="center" wrapText="1"/>
    </xf>
    <xf numFmtId="0" fontId="9" fillId="7" borderId="21" xfId="2" applyFont="1" applyFill="1" applyBorder="1" applyAlignment="1">
      <alignment vertical="center" wrapText="1"/>
    </xf>
    <xf numFmtId="42" fontId="12" fillId="10" borderId="1" xfId="8" applyFont="1" applyFill="1" applyBorder="1" applyAlignment="1">
      <alignment horizontal="center" vertical="center"/>
    </xf>
    <xf numFmtId="169" fontId="12" fillId="10" borderId="1" xfId="8" applyNumberFormat="1" applyFont="1" applyFill="1" applyBorder="1" applyAlignment="1">
      <alignment horizontal="center" vertical="center"/>
    </xf>
    <xf numFmtId="1" fontId="0" fillId="0" borderId="1" xfId="5" applyNumberFormat="1" applyFont="1" applyBorder="1" applyAlignment="1">
      <alignment horizontal="center" vertical="center"/>
    </xf>
    <xf numFmtId="42" fontId="0" fillId="10" borderId="1" xfId="8" applyFont="1" applyFill="1" applyBorder="1" applyAlignment="1">
      <alignment horizontal="center" vertical="center"/>
    </xf>
    <xf numFmtId="0" fontId="5" fillId="0" borderId="15" xfId="2" applyBorder="1" applyAlignment="1">
      <alignment horizontal="center" vertical="center"/>
    </xf>
    <xf numFmtId="0" fontId="5" fillId="0" borderId="1" xfId="2" applyBorder="1"/>
    <xf numFmtId="0" fontId="2" fillId="0" borderId="1" xfId="2" applyFont="1" applyBorder="1" applyAlignment="1">
      <alignment horizontal="center" vertical="center"/>
    </xf>
    <xf numFmtId="0" fontId="2" fillId="0" borderId="1" xfId="2" applyFont="1" applyBorder="1" applyAlignment="1">
      <alignment horizontal="left" vertical="center" wrapText="1"/>
    </xf>
    <xf numFmtId="0" fontId="16" fillId="10" borderId="1" xfId="2" applyFont="1" applyFill="1" applyBorder="1" applyAlignment="1">
      <alignment horizontal="left" vertical="center" wrapText="1"/>
    </xf>
    <xf numFmtId="0" fontId="5" fillId="0" borderId="1" xfId="2" applyBorder="1" applyAlignment="1">
      <alignment vertical="center" wrapText="1"/>
    </xf>
    <xf numFmtId="42" fontId="12" fillId="10" borderId="23" xfId="8" applyFont="1" applyFill="1" applyBorder="1" applyAlignment="1">
      <alignment horizontal="center" vertical="center"/>
    </xf>
    <xf numFmtId="0" fontId="2" fillId="10" borderId="15" xfId="2" applyFont="1" applyFill="1" applyBorder="1" applyAlignment="1">
      <alignment horizontal="justify" vertical="center" wrapText="1"/>
    </xf>
    <xf numFmtId="0" fontId="5" fillId="10" borderId="34" xfId="2" applyFill="1" applyBorder="1" applyAlignment="1">
      <alignment horizontal="center" vertical="center"/>
    </xf>
    <xf numFmtId="0" fontId="2" fillId="10" borderId="15" xfId="2" applyFont="1" applyFill="1" applyBorder="1" applyAlignment="1">
      <alignment horizontal="left" vertical="center"/>
    </xf>
    <xf numFmtId="0" fontId="5" fillId="0" borderId="15" xfId="2" applyBorder="1" applyAlignment="1">
      <alignment vertical="center" wrapText="1"/>
    </xf>
    <xf numFmtId="168" fontId="12" fillId="0" borderId="1" xfId="2" applyNumberFormat="1" applyFont="1" applyBorder="1" applyAlignment="1">
      <alignment vertical="center"/>
    </xf>
    <xf numFmtId="42" fontId="22" fillId="10" borderId="1" xfId="8" applyFont="1" applyFill="1" applyBorder="1" applyAlignment="1">
      <alignment horizontal="center" vertical="center" wrapText="1"/>
    </xf>
    <xf numFmtId="42" fontId="2" fillId="10" borderId="1" xfId="8" applyFont="1" applyFill="1" applyBorder="1" applyAlignment="1">
      <alignment horizontal="center" vertical="center" wrapText="1"/>
    </xf>
    <xf numFmtId="0" fontId="5" fillId="10" borderId="1" xfId="2" applyFill="1" applyBorder="1" applyAlignment="1">
      <alignment horizontal="justify" vertical="center" wrapText="1"/>
    </xf>
    <xf numFmtId="0" fontId="2" fillId="10" borderId="1" xfId="2" applyFont="1" applyFill="1" applyBorder="1" applyAlignment="1">
      <alignment horizontal="left" vertical="center"/>
    </xf>
    <xf numFmtId="171" fontId="12" fillId="0" borderId="15" xfId="2" applyNumberFormat="1" applyFont="1" applyBorder="1" applyAlignment="1">
      <alignment vertical="center"/>
    </xf>
    <xf numFmtId="171" fontId="5" fillId="0" borderId="15" xfId="2" applyNumberFormat="1" applyBorder="1" applyAlignment="1">
      <alignment vertical="center"/>
    </xf>
    <xf numFmtId="0" fontId="5" fillId="0" borderId="15" xfId="2" applyBorder="1"/>
    <xf numFmtId="0" fontId="2" fillId="0" borderId="15" xfId="2" applyFont="1" applyBorder="1" applyAlignment="1">
      <alignment horizontal="center" vertical="center"/>
    </xf>
    <xf numFmtId="0" fontId="2" fillId="0" borderId="35" xfId="2" applyFont="1" applyBorder="1" applyAlignment="1">
      <alignment horizontal="left" vertical="center" wrapText="1"/>
    </xf>
    <xf numFmtId="0" fontId="2" fillId="10" borderId="36" xfId="2" applyFont="1" applyFill="1" applyBorder="1" applyAlignment="1">
      <alignment vertical="center"/>
    </xf>
    <xf numFmtId="171" fontId="12" fillId="0" borderId="1" xfId="2" applyNumberFormat="1" applyFont="1" applyBorder="1" applyAlignment="1">
      <alignment vertical="center"/>
    </xf>
    <xf numFmtId="0" fontId="2" fillId="0" borderId="13" xfId="2" applyFont="1" applyBorder="1" applyAlignment="1">
      <alignment horizontal="left" vertical="center" wrapText="1"/>
    </xf>
    <xf numFmtId="0" fontId="5" fillId="10" borderId="37" xfId="2" applyFill="1" applyBorder="1" applyAlignment="1">
      <alignment horizontal="center" vertical="center"/>
    </xf>
    <xf numFmtId="0" fontId="2" fillId="10" borderId="23" xfId="2" applyFont="1" applyFill="1" applyBorder="1" applyAlignment="1">
      <alignment vertical="center" wrapText="1"/>
    </xf>
    <xf numFmtId="171" fontId="12" fillId="0" borderId="1" xfId="2" applyNumberFormat="1" applyFont="1" applyBorder="1" applyAlignment="1">
      <alignment horizontal="center" vertical="center"/>
    </xf>
    <xf numFmtId="171" fontId="5" fillId="0" borderId="1" xfId="2" applyNumberFormat="1" applyBorder="1" applyAlignment="1">
      <alignment horizontal="center" vertical="center"/>
    </xf>
    <xf numFmtId="0" fontId="2" fillId="10" borderId="23" xfId="2" applyFont="1" applyFill="1" applyBorder="1" applyAlignment="1">
      <alignment vertical="center"/>
    </xf>
    <xf numFmtId="170" fontId="2" fillId="0" borderId="13" xfId="2" applyNumberFormat="1" applyFont="1" applyBorder="1" applyAlignment="1">
      <alignment horizontal="left" vertical="center" wrapText="1"/>
    </xf>
    <xf numFmtId="0" fontId="3" fillId="0" borderId="1" xfId="0" applyFont="1" applyBorder="1" applyAlignment="1">
      <alignment horizontal="center"/>
    </xf>
    <xf numFmtId="165" fontId="6" fillId="20" borderId="14" xfId="0" applyNumberFormat="1" applyFont="1" applyFill="1" applyBorder="1" applyAlignment="1">
      <alignment horizontal="right"/>
    </xf>
    <xf numFmtId="165" fontId="6" fillId="20" borderId="12" xfId="0" applyNumberFormat="1" applyFont="1" applyFill="1" applyBorder="1" applyAlignment="1">
      <alignment horizontal="right"/>
    </xf>
    <xf numFmtId="0" fontId="30" fillId="0" borderId="1" xfId="0" applyFont="1" applyBorder="1" applyAlignment="1">
      <alignment horizontal="center" vertical="center"/>
    </xf>
    <xf numFmtId="174" fontId="3" fillId="0" borderId="1" xfId="0" applyNumberFormat="1" applyFont="1" applyBorder="1" applyAlignment="1">
      <alignment horizontal="right" vertical="center"/>
    </xf>
    <xf numFmtId="0" fontId="7" fillId="22" borderId="1" xfId="0" applyFont="1" applyFill="1" applyBorder="1" applyAlignment="1">
      <alignment horizontal="center" vertical="center" wrapText="1"/>
    </xf>
    <xf numFmtId="175" fontId="3" fillId="0" borderId="1" xfId="0" applyNumberFormat="1" applyFont="1" applyBorder="1" applyAlignment="1">
      <alignment horizontal="right" vertical="center"/>
    </xf>
    <xf numFmtId="175" fontId="6" fillId="20" borderId="12" xfId="0" applyNumberFormat="1" applyFont="1" applyFill="1" applyBorder="1" applyAlignment="1">
      <alignment horizontal="right"/>
    </xf>
    <xf numFmtId="14" fontId="11" fillId="5" borderId="10" xfId="2" applyNumberFormat="1" applyFont="1" applyFill="1" applyBorder="1" applyAlignment="1">
      <alignment horizontal="center" vertical="center" wrapText="1"/>
    </xf>
    <xf numFmtId="14" fontId="11" fillId="5" borderId="11" xfId="2" applyNumberFormat="1" applyFont="1" applyFill="1" applyBorder="1" applyAlignment="1">
      <alignment horizontal="center" vertical="center" wrapText="1"/>
    </xf>
    <xf numFmtId="14" fontId="11" fillId="5" borderId="12" xfId="2" applyNumberFormat="1" applyFont="1" applyFill="1" applyBorder="1" applyAlignment="1">
      <alignment horizontal="center" vertical="center" wrapText="1"/>
    </xf>
    <xf numFmtId="14" fontId="11" fillId="9" borderId="17" xfId="2" applyNumberFormat="1" applyFont="1" applyFill="1" applyBorder="1" applyAlignment="1">
      <alignment horizontal="center" vertical="center" wrapText="1"/>
    </xf>
    <xf numFmtId="14" fontId="11" fillId="9" borderId="20" xfId="2" applyNumberFormat="1" applyFont="1" applyFill="1" applyBorder="1" applyAlignment="1">
      <alignment horizontal="center" vertical="center" wrapText="1"/>
    </xf>
    <xf numFmtId="14" fontId="11" fillId="5" borderId="18" xfId="2" applyNumberFormat="1" applyFont="1" applyFill="1" applyBorder="1" applyAlignment="1">
      <alignment horizontal="center" vertical="center" wrapText="1"/>
    </xf>
    <xf numFmtId="14" fontId="11" fillId="5" borderId="17" xfId="2" applyNumberFormat="1" applyFont="1" applyFill="1" applyBorder="1" applyAlignment="1">
      <alignment horizontal="center" vertical="center" wrapText="1"/>
    </xf>
    <xf numFmtId="14" fontId="11" fillId="5" borderId="19" xfId="2" applyNumberFormat="1" applyFont="1" applyFill="1" applyBorder="1" applyAlignment="1">
      <alignment horizontal="center" vertical="center" wrapText="1"/>
    </xf>
    <xf numFmtId="14" fontId="11" fillId="9" borderId="18" xfId="2" applyNumberFormat="1" applyFont="1" applyFill="1" applyBorder="1" applyAlignment="1">
      <alignment horizontal="center" vertical="center" wrapText="1"/>
    </xf>
    <xf numFmtId="14" fontId="11" fillId="9" borderId="19" xfId="2" applyNumberFormat="1" applyFont="1" applyFill="1" applyBorder="1" applyAlignment="1">
      <alignment horizontal="center" vertical="center" wrapText="1"/>
    </xf>
    <xf numFmtId="0" fontId="9" fillId="7" borderId="2" xfId="2" applyFont="1" applyFill="1" applyBorder="1" applyAlignment="1">
      <alignment horizontal="center" vertical="center" wrapText="1"/>
    </xf>
    <xf numFmtId="0" fontId="9" fillId="7" borderId="5" xfId="2" applyFont="1" applyFill="1" applyBorder="1" applyAlignment="1">
      <alignment horizontal="center" vertical="center" wrapText="1"/>
    </xf>
    <xf numFmtId="0" fontId="9" fillId="8" borderId="16" xfId="2" applyFont="1" applyFill="1" applyBorder="1" applyAlignment="1">
      <alignment horizontal="center" vertical="center" wrapText="1"/>
    </xf>
    <xf numFmtId="0" fontId="9" fillId="8" borderId="21" xfId="2" applyFont="1" applyFill="1" applyBorder="1" applyAlignment="1">
      <alignment horizontal="center" vertical="center" wrapText="1"/>
    </xf>
    <xf numFmtId="0" fontId="9" fillId="4" borderId="7" xfId="2" applyFont="1" applyFill="1" applyBorder="1" applyAlignment="1">
      <alignment horizontal="center" vertical="center" wrapText="1"/>
    </xf>
    <xf numFmtId="0" fontId="9" fillId="4" borderId="8" xfId="2" applyFont="1" applyFill="1" applyBorder="1" applyAlignment="1">
      <alignment horizontal="center" vertical="center" wrapText="1"/>
    </xf>
    <xf numFmtId="0" fontId="9" fillId="4" borderId="9" xfId="2" applyFont="1" applyFill="1" applyBorder="1" applyAlignment="1">
      <alignment horizontal="center" vertical="center" wrapText="1"/>
    </xf>
    <xf numFmtId="0" fontId="10" fillId="5" borderId="10" xfId="2" applyFont="1" applyFill="1" applyBorder="1" applyAlignment="1">
      <alignment horizontal="center" vertical="center" wrapText="1"/>
    </xf>
    <xf numFmtId="0" fontId="10" fillId="5" borderId="11" xfId="2" applyFont="1" applyFill="1" applyBorder="1" applyAlignment="1">
      <alignment horizontal="center" vertical="center" wrapText="1"/>
    </xf>
    <xf numFmtId="0" fontId="10" fillId="5" borderId="12" xfId="2" applyFont="1" applyFill="1" applyBorder="1" applyAlignment="1">
      <alignment horizontal="center" vertical="center" wrapText="1"/>
    </xf>
    <xf numFmtId="0" fontId="10" fillId="5" borderId="2" xfId="2" applyFont="1" applyFill="1" applyBorder="1" applyAlignment="1">
      <alignment horizontal="center" vertical="center" wrapText="1"/>
    </xf>
    <xf numFmtId="0" fontId="10" fillId="5" borderId="3" xfId="2" applyFont="1" applyFill="1" applyBorder="1" applyAlignment="1">
      <alignment horizontal="center" vertical="center" wrapText="1"/>
    </xf>
    <xf numFmtId="0" fontId="10" fillId="5" borderId="4" xfId="2" applyFont="1" applyFill="1" applyBorder="1" applyAlignment="1">
      <alignment horizontal="center" vertical="center" wrapText="1"/>
    </xf>
    <xf numFmtId="0" fontId="9" fillId="6" borderId="16" xfId="2" applyFont="1" applyFill="1" applyBorder="1" applyAlignment="1">
      <alignment horizontal="center" vertical="center" wrapText="1"/>
    </xf>
    <xf numFmtId="0" fontId="9" fillId="6" borderId="6" xfId="2" applyFont="1" applyFill="1" applyBorder="1" applyAlignment="1">
      <alignment horizontal="center" vertical="center" wrapText="1"/>
    </xf>
    <xf numFmtId="0" fontId="9" fillId="7" borderId="16" xfId="2" applyFont="1" applyFill="1" applyBorder="1" applyAlignment="1">
      <alignment horizontal="center" vertical="center" wrapText="1"/>
    </xf>
    <xf numFmtId="0" fontId="9" fillId="7" borderId="21" xfId="2" applyFont="1" applyFill="1" applyBorder="1" applyAlignment="1">
      <alignment horizontal="center" vertical="center" wrapText="1"/>
    </xf>
    <xf numFmtId="0" fontId="9" fillId="4" borderId="2" xfId="2" applyFont="1" applyFill="1" applyBorder="1" applyAlignment="1">
      <alignment horizontal="center" vertical="center" wrapText="1"/>
    </xf>
    <xf numFmtId="0" fontId="9" fillId="4" borderId="3" xfId="2" applyFont="1" applyFill="1" applyBorder="1" applyAlignment="1">
      <alignment horizontal="center" vertical="center" wrapText="1"/>
    </xf>
    <xf numFmtId="0" fontId="9" fillId="4" borderId="4" xfId="2" applyFont="1" applyFill="1" applyBorder="1" applyAlignment="1">
      <alignment horizontal="center" vertical="center" wrapText="1"/>
    </xf>
    <xf numFmtId="0" fontId="9" fillId="4" borderId="25" xfId="2" applyFont="1" applyFill="1" applyBorder="1" applyAlignment="1">
      <alignment horizontal="center" vertical="center" wrapText="1"/>
    </xf>
    <xf numFmtId="0" fontId="9" fillId="4" borderId="26" xfId="2" applyFont="1" applyFill="1" applyBorder="1" applyAlignment="1">
      <alignment horizontal="center" vertical="center" wrapText="1"/>
    </xf>
    <xf numFmtId="0" fontId="9" fillId="4" borderId="26" xfId="2" applyFont="1" applyFill="1" applyBorder="1" applyAlignment="1">
      <alignment horizontal="left" vertical="center" wrapText="1"/>
    </xf>
    <xf numFmtId="0" fontId="9" fillId="4" borderId="27" xfId="2" applyFont="1" applyFill="1" applyBorder="1" applyAlignment="1">
      <alignment horizontal="center" vertical="center" wrapText="1"/>
    </xf>
    <xf numFmtId="0" fontId="11" fillId="13" borderId="26" xfId="2" applyFont="1" applyFill="1" applyBorder="1" applyAlignment="1">
      <alignment horizontal="center" vertical="center" wrapText="1"/>
    </xf>
    <xf numFmtId="0" fontId="11" fillId="14" borderId="26" xfId="2" applyFont="1" applyFill="1" applyBorder="1" applyAlignment="1">
      <alignment horizontal="center" vertical="center" wrapText="1"/>
    </xf>
    <xf numFmtId="0" fontId="15" fillId="13" borderId="26" xfId="2" applyFont="1" applyFill="1" applyBorder="1" applyAlignment="1">
      <alignment horizontal="center" vertical="center" wrapText="1"/>
    </xf>
    <xf numFmtId="0" fontId="15" fillId="14" borderId="26" xfId="2" applyFont="1" applyFill="1" applyBorder="1" applyAlignment="1">
      <alignment horizontal="center" vertical="center" wrapText="1"/>
    </xf>
    <xf numFmtId="14" fontId="11" fillId="13" borderId="26" xfId="2" applyNumberFormat="1" applyFont="1" applyFill="1" applyBorder="1" applyAlignment="1">
      <alignment horizontal="center" vertical="center" wrapText="1"/>
    </xf>
    <xf numFmtId="14" fontId="15" fillId="13" borderId="26" xfId="2" applyNumberFormat="1" applyFont="1" applyFill="1" applyBorder="1" applyAlignment="1">
      <alignment horizontal="center" vertical="center" wrapText="1"/>
    </xf>
    <xf numFmtId="0" fontId="9" fillId="15" borderId="4" xfId="2" applyFont="1" applyFill="1" applyBorder="1" applyAlignment="1">
      <alignment horizontal="center" vertical="center" wrapText="1"/>
    </xf>
    <xf numFmtId="0" fontId="9" fillId="15" borderId="6" xfId="2" applyFont="1" applyFill="1" applyBorder="1" applyAlignment="1">
      <alignment horizontal="center" vertical="center" wrapText="1"/>
    </xf>
    <xf numFmtId="0" fontId="9" fillId="6" borderId="21" xfId="2" applyFont="1" applyFill="1" applyBorder="1" applyAlignment="1">
      <alignment horizontal="center" vertical="center" wrapText="1"/>
    </xf>
    <xf numFmtId="44" fontId="9" fillId="7" borderId="16" xfId="5" applyFont="1" applyFill="1" applyBorder="1" applyAlignment="1">
      <alignment horizontal="center" wrapText="1"/>
    </xf>
    <xf numFmtId="44" fontId="9" fillId="7" borderId="21" xfId="5" applyFont="1" applyFill="1" applyBorder="1" applyAlignment="1">
      <alignment horizontal="center" wrapText="1"/>
    </xf>
    <xf numFmtId="14" fontId="11" fillId="13" borderId="1" xfId="2" applyNumberFormat="1" applyFont="1" applyFill="1" applyBorder="1" applyAlignment="1">
      <alignment horizontal="center" vertical="center" wrapText="1"/>
    </xf>
    <xf numFmtId="14" fontId="11" fillId="14" borderId="1" xfId="2" applyNumberFormat="1" applyFont="1" applyFill="1" applyBorder="1" applyAlignment="1">
      <alignment horizontal="center" vertical="center" wrapText="1"/>
    </xf>
    <xf numFmtId="14" fontId="15" fillId="13" borderId="1" xfId="2" applyNumberFormat="1" applyFont="1" applyFill="1" applyBorder="1" applyAlignment="1">
      <alignment horizontal="center" vertical="center" wrapText="1"/>
    </xf>
    <xf numFmtId="14" fontId="21" fillId="14" borderId="1" xfId="2" applyNumberFormat="1" applyFont="1" applyFill="1" applyBorder="1" applyAlignment="1">
      <alignment horizontal="center" vertical="center" wrapText="1"/>
    </xf>
    <xf numFmtId="14" fontId="12" fillId="13" borderId="1" xfId="2" applyNumberFormat="1" applyFont="1" applyFill="1" applyBorder="1" applyAlignment="1">
      <alignment horizontal="center" vertical="center" wrapText="1"/>
    </xf>
    <xf numFmtId="14" fontId="12" fillId="14" borderId="1" xfId="2" applyNumberFormat="1" applyFont="1" applyFill="1" applyBorder="1" applyAlignment="1">
      <alignment horizontal="center" vertical="center" wrapText="1"/>
    </xf>
    <xf numFmtId="14" fontId="15" fillId="14" borderId="1" xfId="2" applyNumberFormat="1" applyFont="1" applyFill="1" applyBorder="1" applyAlignment="1">
      <alignment horizontal="center" vertical="center" wrapText="1"/>
    </xf>
    <xf numFmtId="14" fontId="22" fillId="13" borderId="1" xfId="2" applyNumberFormat="1" applyFont="1" applyFill="1" applyBorder="1" applyAlignment="1">
      <alignment horizontal="center" vertical="center" wrapText="1"/>
    </xf>
    <xf numFmtId="14" fontId="10" fillId="13" borderId="1" xfId="2" applyNumberFormat="1" applyFont="1" applyFill="1" applyBorder="1" applyAlignment="1">
      <alignment horizontal="center" vertical="center" wrapText="1"/>
    </xf>
    <xf numFmtId="14" fontId="23" fillId="13" borderId="1" xfId="2" applyNumberFormat="1" applyFont="1" applyFill="1" applyBorder="1" applyAlignment="1">
      <alignment horizontal="center" vertical="center" wrapText="1"/>
    </xf>
    <xf numFmtId="0" fontId="6" fillId="21" borderId="10" xfId="0" applyFont="1" applyFill="1" applyBorder="1" applyAlignment="1">
      <alignment horizontal="center" vertical="center"/>
    </xf>
    <xf numFmtId="0" fontId="6" fillId="21" borderId="11" xfId="0" applyFont="1" applyFill="1" applyBorder="1" applyAlignment="1">
      <alignment horizontal="center" vertical="center"/>
    </xf>
    <xf numFmtId="0" fontId="6" fillId="21" borderId="12" xfId="0" applyFont="1" applyFill="1" applyBorder="1" applyAlignment="1">
      <alignment horizontal="center" vertical="center"/>
    </xf>
    <xf numFmtId="0" fontId="6" fillId="20" borderId="10" xfId="0" applyFont="1" applyFill="1" applyBorder="1" applyAlignment="1">
      <alignment horizontal="center"/>
    </xf>
    <xf numFmtId="0" fontId="6" fillId="20" borderId="11" xfId="0" applyFont="1" applyFill="1" applyBorder="1" applyAlignment="1">
      <alignment horizontal="center"/>
    </xf>
    <xf numFmtId="0" fontId="6" fillId="20" borderId="12" xfId="0" applyFont="1" applyFill="1" applyBorder="1" applyAlignment="1">
      <alignment horizontal="center"/>
    </xf>
    <xf numFmtId="0" fontId="31" fillId="21" borderId="2" xfId="0" applyFont="1" applyFill="1" applyBorder="1" applyAlignment="1">
      <alignment horizontal="center" vertical="center" wrapText="1"/>
    </xf>
    <xf numFmtId="0" fontId="31" fillId="21" borderId="3" xfId="0" applyFont="1" applyFill="1" applyBorder="1" applyAlignment="1">
      <alignment horizontal="center" vertical="center" wrapText="1"/>
    </xf>
    <xf numFmtId="0" fontId="31" fillId="21" borderId="4" xfId="0" applyFont="1" applyFill="1" applyBorder="1" applyAlignment="1">
      <alignment horizontal="center" vertical="center" wrapText="1"/>
    </xf>
    <xf numFmtId="0" fontId="31" fillId="21" borderId="5" xfId="0" applyFont="1" applyFill="1" applyBorder="1" applyAlignment="1">
      <alignment horizontal="center" vertical="center" wrapText="1"/>
    </xf>
    <xf numFmtId="0" fontId="31" fillId="21" borderId="0" xfId="0" applyFont="1" applyFill="1" applyAlignment="1">
      <alignment horizontal="center" vertical="center" wrapText="1"/>
    </xf>
    <xf numFmtId="0" fontId="31" fillId="21" borderId="6" xfId="0" applyFont="1" applyFill="1" applyBorder="1" applyAlignment="1">
      <alignment horizontal="center" vertical="center" wrapText="1"/>
    </xf>
    <xf numFmtId="0" fontId="31" fillId="21" borderId="7" xfId="0" applyFont="1" applyFill="1" applyBorder="1" applyAlignment="1">
      <alignment horizontal="center" vertical="center" wrapText="1"/>
    </xf>
    <xf numFmtId="0" fontId="31" fillId="21" borderId="8" xfId="0" applyFont="1" applyFill="1" applyBorder="1" applyAlignment="1">
      <alignment horizontal="center" vertical="center" wrapText="1"/>
    </xf>
    <xf numFmtId="0" fontId="31" fillId="21" borderId="9" xfId="0" applyFont="1" applyFill="1" applyBorder="1" applyAlignment="1">
      <alignment horizontal="center" vertical="center" wrapText="1"/>
    </xf>
    <xf numFmtId="0" fontId="6" fillId="21" borderId="2" xfId="0" applyFont="1" applyFill="1" applyBorder="1" applyAlignment="1">
      <alignment horizontal="center" vertical="center" wrapText="1"/>
    </xf>
    <xf numFmtId="0" fontId="6" fillId="21" borderId="4" xfId="0" applyFont="1" applyFill="1" applyBorder="1" applyAlignment="1">
      <alignment horizontal="center" vertical="center" wrapText="1"/>
    </xf>
    <xf numFmtId="0" fontId="6" fillId="21" borderId="5" xfId="0" applyFont="1" applyFill="1" applyBorder="1" applyAlignment="1">
      <alignment horizontal="center" vertical="center" wrapText="1"/>
    </xf>
    <xf numFmtId="0" fontId="6" fillId="21" borderId="6" xfId="0" applyFont="1" applyFill="1" applyBorder="1" applyAlignment="1">
      <alignment horizontal="center" vertical="center" wrapText="1"/>
    </xf>
    <xf numFmtId="0" fontId="6" fillId="21" borderId="7" xfId="0" applyFont="1" applyFill="1" applyBorder="1" applyAlignment="1">
      <alignment horizontal="center" vertical="center" wrapText="1"/>
    </xf>
    <xf numFmtId="0" fontId="6" fillId="21" borderId="9" xfId="0" applyFont="1" applyFill="1" applyBorder="1" applyAlignment="1">
      <alignment horizontal="center" vertical="center" wrapText="1"/>
    </xf>
    <xf numFmtId="0" fontId="6" fillId="0" borderId="10" xfId="0" applyFont="1" applyBorder="1" applyAlignment="1">
      <alignment horizontal="center"/>
    </xf>
    <xf numFmtId="0" fontId="6" fillId="0" borderId="11" xfId="0" applyFont="1" applyBorder="1" applyAlignment="1">
      <alignment horizontal="center"/>
    </xf>
    <xf numFmtId="0" fontId="6" fillId="0" borderId="12" xfId="0" applyFont="1" applyBorder="1" applyAlignment="1">
      <alignment horizontal="center"/>
    </xf>
  </cellXfs>
  <cellStyles count="9">
    <cellStyle name="Millares 2" xfId="6"/>
    <cellStyle name="Moneda" xfId="1" builtinId="4"/>
    <cellStyle name="Moneda [0] 2" xfId="3"/>
    <cellStyle name="Moneda [0] 3" xfId="8"/>
    <cellStyle name="Moneda 2" xfId="5"/>
    <cellStyle name="Normal" xfId="0" builtinId="0"/>
    <cellStyle name="Normal 10 3" xfId="2"/>
    <cellStyle name="Normal 2 2" xfId="4"/>
    <cellStyle name="Porcentaje 2" xfId="7"/>
  </cellStyles>
  <dxfs count="814">
    <dxf>
      <font>
        <color rgb="FF9C0006"/>
      </font>
      <fill>
        <patternFill>
          <bgColor rgb="FFFFC7CE"/>
        </patternFill>
      </fill>
    </dxf>
    <dxf>
      <font>
        <color rgb="FF9C6500"/>
      </font>
      <fill>
        <patternFill>
          <bgColor rgb="FFFFEB9C"/>
        </patternFill>
      </fill>
    </dxf>
    <dxf>
      <font>
        <color rgb="FF9C5700"/>
      </font>
      <fill>
        <patternFill>
          <bgColor rgb="FFFFEB9C"/>
        </patternFill>
      </fill>
    </dxf>
    <dxf>
      <font>
        <color rgb="FF9C65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57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6500"/>
      </font>
      <fill>
        <patternFill>
          <bgColor rgb="FFFFEB9C"/>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s>
  <tableStyles count="0" defaultTableStyle="TableStyleMedium2" defaultPivotStyle="PivotStyleLight16"/>
  <colors>
    <mruColors>
      <color rgb="FFFF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png"/><Relationship Id="rId47" Type="http://schemas.openxmlformats.org/officeDocument/2006/relationships/image" Target="../media/image47.png"/><Relationship Id="rId50" Type="http://schemas.openxmlformats.org/officeDocument/2006/relationships/image" Target="../media/image50.png"/><Relationship Id="rId55" Type="http://schemas.openxmlformats.org/officeDocument/2006/relationships/image" Target="../media/image55.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png"/><Relationship Id="rId2" Type="http://schemas.openxmlformats.org/officeDocument/2006/relationships/image" Target="../media/image2.jpe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41" Type="http://schemas.openxmlformats.org/officeDocument/2006/relationships/image" Target="../media/image41.png"/><Relationship Id="rId54" Type="http://schemas.openxmlformats.org/officeDocument/2006/relationships/image" Target="../media/image54.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8" Type="http://schemas.openxmlformats.org/officeDocument/2006/relationships/image" Target="../media/image58.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png"/><Relationship Id="rId8" Type="http://schemas.openxmlformats.org/officeDocument/2006/relationships/image" Target="../media/image8.png"/><Relationship Id="rId51" Type="http://schemas.openxmlformats.org/officeDocument/2006/relationships/image" Target="../media/image51.png"/><Relationship Id="rId3" Type="http://schemas.openxmlformats.org/officeDocument/2006/relationships/image" Target="../media/image3.jpeg"/></Relationships>
</file>

<file path=xl/drawings/_rels/drawing2.xml.rels><?xml version="1.0" encoding="UTF-8" standalone="yes"?>
<Relationships xmlns="http://schemas.openxmlformats.org/package/2006/relationships"><Relationship Id="rId13" Type="http://schemas.openxmlformats.org/officeDocument/2006/relationships/image" Target="../media/image73.png"/><Relationship Id="rId18" Type="http://schemas.openxmlformats.org/officeDocument/2006/relationships/image" Target="../media/image78.png"/><Relationship Id="rId26" Type="http://schemas.openxmlformats.org/officeDocument/2006/relationships/image" Target="../media/image86.png"/><Relationship Id="rId39" Type="http://schemas.openxmlformats.org/officeDocument/2006/relationships/image" Target="../media/image99.jpeg"/><Relationship Id="rId21" Type="http://schemas.openxmlformats.org/officeDocument/2006/relationships/image" Target="../media/image81.png"/><Relationship Id="rId34" Type="http://schemas.openxmlformats.org/officeDocument/2006/relationships/image" Target="../media/image94.png"/><Relationship Id="rId42" Type="http://schemas.openxmlformats.org/officeDocument/2006/relationships/image" Target="../media/image102.png"/><Relationship Id="rId47" Type="http://schemas.openxmlformats.org/officeDocument/2006/relationships/image" Target="../media/image107.png"/><Relationship Id="rId50" Type="http://schemas.openxmlformats.org/officeDocument/2006/relationships/image" Target="../media/image110.png"/><Relationship Id="rId55" Type="http://schemas.openxmlformats.org/officeDocument/2006/relationships/image" Target="../media/image115.jpeg"/><Relationship Id="rId63" Type="http://schemas.openxmlformats.org/officeDocument/2006/relationships/image" Target="../media/image123.jpeg"/><Relationship Id="rId68" Type="http://schemas.openxmlformats.org/officeDocument/2006/relationships/image" Target="../media/image128.jpeg"/><Relationship Id="rId7" Type="http://schemas.openxmlformats.org/officeDocument/2006/relationships/image" Target="../media/image67.png"/><Relationship Id="rId2" Type="http://schemas.openxmlformats.org/officeDocument/2006/relationships/image" Target="../media/image62.png"/><Relationship Id="rId16" Type="http://schemas.openxmlformats.org/officeDocument/2006/relationships/image" Target="../media/image76.jpeg"/><Relationship Id="rId29" Type="http://schemas.openxmlformats.org/officeDocument/2006/relationships/image" Target="../media/image89.png"/><Relationship Id="rId1" Type="http://schemas.openxmlformats.org/officeDocument/2006/relationships/image" Target="../media/image61.png"/><Relationship Id="rId6" Type="http://schemas.openxmlformats.org/officeDocument/2006/relationships/image" Target="../media/image66.jpeg"/><Relationship Id="rId11" Type="http://schemas.openxmlformats.org/officeDocument/2006/relationships/image" Target="../media/image71.jpeg"/><Relationship Id="rId24" Type="http://schemas.openxmlformats.org/officeDocument/2006/relationships/image" Target="../media/image84.png"/><Relationship Id="rId32" Type="http://schemas.openxmlformats.org/officeDocument/2006/relationships/image" Target="../media/image92.png"/><Relationship Id="rId37" Type="http://schemas.openxmlformats.org/officeDocument/2006/relationships/image" Target="../media/image97.png"/><Relationship Id="rId40" Type="http://schemas.openxmlformats.org/officeDocument/2006/relationships/image" Target="../media/image100.jpeg"/><Relationship Id="rId45" Type="http://schemas.openxmlformats.org/officeDocument/2006/relationships/image" Target="../media/image105.png"/><Relationship Id="rId53" Type="http://schemas.openxmlformats.org/officeDocument/2006/relationships/image" Target="../media/image113.png"/><Relationship Id="rId58" Type="http://schemas.openxmlformats.org/officeDocument/2006/relationships/image" Target="../media/image118.png"/><Relationship Id="rId66" Type="http://schemas.openxmlformats.org/officeDocument/2006/relationships/image" Target="../media/image126.jpeg"/><Relationship Id="rId5" Type="http://schemas.openxmlformats.org/officeDocument/2006/relationships/image" Target="../media/image65.png"/><Relationship Id="rId15" Type="http://schemas.openxmlformats.org/officeDocument/2006/relationships/image" Target="../media/image75.jpeg"/><Relationship Id="rId23" Type="http://schemas.openxmlformats.org/officeDocument/2006/relationships/image" Target="../media/image83.png"/><Relationship Id="rId28" Type="http://schemas.openxmlformats.org/officeDocument/2006/relationships/image" Target="../media/image88.png"/><Relationship Id="rId36" Type="http://schemas.openxmlformats.org/officeDocument/2006/relationships/image" Target="../media/image96.png"/><Relationship Id="rId49" Type="http://schemas.openxmlformats.org/officeDocument/2006/relationships/image" Target="../media/image109.png"/><Relationship Id="rId57" Type="http://schemas.openxmlformats.org/officeDocument/2006/relationships/image" Target="../media/image117.jpeg"/><Relationship Id="rId61" Type="http://schemas.openxmlformats.org/officeDocument/2006/relationships/image" Target="../media/image121.jpeg"/><Relationship Id="rId10" Type="http://schemas.openxmlformats.org/officeDocument/2006/relationships/image" Target="../media/image70.png"/><Relationship Id="rId19" Type="http://schemas.openxmlformats.org/officeDocument/2006/relationships/image" Target="../media/image79.jpeg"/><Relationship Id="rId31" Type="http://schemas.openxmlformats.org/officeDocument/2006/relationships/image" Target="../media/image91.png"/><Relationship Id="rId44" Type="http://schemas.openxmlformats.org/officeDocument/2006/relationships/image" Target="../media/image104.png"/><Relationship Id="rId52" Type="http://schemas.openxmlformats.org/officeDocument/2006/relationships/image" Target="../media/image112.png"/><Relationship Id="rId60" Type="http://schemas.openxmlformats.org/officeDocument/2006/relationships/image" Target="../media/image120.png"/><Relationship Id="rId65" Type="http://schemas.openxmlformats.org/officeDocument/2006/relationships/image" Target="../media/image125.png"/><Relationship Id="rId4" Type="http://schemas.openxmlformats.org/officeDocument/2006/relationships/image" Target="../media/image64.png"/><Relationship Id="rId9" Type="http://schemas.openxmlformats.org/officeDocument/2006/relationships/image" Target="../media/image69.jpeg"/><Relationship Id="rId14" Type="http://schemas.openxmlformats.org/officeDocument/2006/relationships/image" Target="../media/image74.jpeg"/><Relationship Id="rId22" Type="http://schemas.openxmlformats.org/officeDocument/2006/relationships/image" Target="../media/image82.jpeg"/><Relationship Id="rId27" Type="http://schemas.openxmlformats.org/officeDocument/2006/relationships/image" Target="../media/image87.png"/><Relationship Id="rId30" Type="http://schemas.openxmlformats.org/officeDocument/2006/relationships/image" Target="../media/image90.png"/><Relationship Id="rId35" Type="http://schemas.openxmlformats.org/officeDocument/2006/relationships/image" Target="../media/image95.png"/><Relationship Id="rId43" Type="http://schemas.openxmlformats.org/officeDocument/2006/relationships/image" Target="../media/image103.png"/><Relationship Id="rId48" Type="http://schemas.openxmlformats.org/officeDocument/2006/relationships/image" Target="../media/image108.png"/><Relationship Id="rId56" Type="http://schemas.openxmlformats.org/officeDocument/2006/relationships/image" Target="../media/image116.jpeg"/><Relationship Id="rId64" Type="http://schemas.openxmlformats.org/officeDocument/2006/relationships/image" Target="../media/image124.png"/><Relationship Id="rId69" Type="http://schemas.openxmlformats.org/officeDocument/2006/relationships/image" Target="../media/image129.png"/><Relationship Id="rId8" Type="http://schemas.openxmlformats.org/officeDocument/2006/relationships/image" Target="../media/image68.png"/><Relationship Id="rId51" Type="http://schemas.openxmlformats.org/officeDocument/2006/relationships/image" Target="../media/image111.png"/><Relationship Id="rId3" Type="http://schemas.openxmlformats.org/officeDocument/2006/relationships/image" Target="../media/image63.png"/><Relationship Id="rId12" Type="http://schemas.openxmlformats.org/officeDocument/2006/relationships/image" Target="../media/image72.jpeg"/><Relationship Id="rId17" Type="http://schemas.openxmlformats.org/officeDocument/2006/relationships/image" Target="../media/image77.png"/><Relationship Id="rId25" Type="http://schemas.openxmlformats.org/officeDocument/2006/relationships/image" Target="../media/image85.jpeg"/><Relationship Id="rId33" Type="http://schemas.openxmlformats.org/officeDocument/2006/relationships/image" Target="../media/image93.png"/><Relationship Id="rId38" Type="http://schemas.openxmlformats.org/officeDocument/2006/relationships/image" Target="../media/image98.png"/><Relationship Id="rId46" Type="http://schemas.openxmlformats.org/officeDocument/2006/relationships/image" Target="../media/image106.png"/><Relationship Id="rId59" Type="http://schemas.openxmlformats.org/officeDocument/2006/relationships/image" Target="../media/image119.png"/><Relationship Id="rId67" Type="http://schemas.openxmlformats.org/officeDocument/2006/relationships/image" Target="../media/image127.png"/><Relationship Id="rId20" Type="http://schemas.openxmlformats.org/officeDocument/2006/relationships/image" Target="../media/image80.png"/><Relationship Id="rId41" Type="http://schemas.openxmlformats.org/officeDocument/2006/relationships/image" Target="../media/image101.jpeg"/><Relationship Id="rId54" Type="http://schemas.openxmlformats.org/officeDocument/2006/relationships/image" Target="../media/image114.png"/><Relationship Id="rId62" Type="http://schemas.openxmlformats.org/officeDocument/2006/relationships/image" Target="../media/image122.png"/></Relationships>
</file>

<file path=xl/drawings/_rels/drawing3.xml.rels><?xml version="1.0" encoding="UTF-8" standalone="yes"?>
<Relationships xmlns="http://schemas.openxmlformats.org/package/2006/relationships"><Relationship Id="rId8" Type="http://schemas.openxmlformats.org/officeDocument/2006/relationships/image" Target="../media/image137.png"/><Relationship Id="rId3" Type="http://schemas.openxmlformats.org/officeDocument/2006/relationships/image" Target="../media/image132.png"/><Relationship Id="rId7" Type="http://schemas.openxmlformats.org/officeDocument/2006/relationships/image" Target="../media/image136.png"/><Relationship Id="rId12" Type="http://schemas.openxmlformats.org/officeDocument/2006/relationships/image" Target="../media/image139.png"/><Relationship Id="rId2" Type="http://schemas.openxmlformats.org/officeDocument/2006/relationships/image" Target="../media/image131.png"/><Relationship Id="rId1" Type="http://schemas.openxmlformats.org/officeDocument/2006/relationships/image" Target="../media/image130.png"/><Relationship Id="rId6" Type="http://schemas.openxmlformats.org/officeDocument/2006/relationships/image" Target="../media/image135.png"/><Relationship Id="rId11" Type="http://schemas.openxmlformats.org/officeDocument/2006/relationships/image" Target="../media/image56.png"/><Relationship Id="rId5" Type="http://schemas.openxmlformats.org/officeDocument/2006/relationships/image" Target="../media/image134.png"/><Relationship Id="rId10" Type="http://schemas.openxmlformats.org/officeDocument/2006/relationships/image" Target="../media/image41.png"/><Relationship Id="rId4" Type="http://schemas.openxmlformats.org/officeDocument/2006/relationships/image" Target="../media/image133.png"/><Relationship Id="rId9" Type="http://schemas.openxmlformats.org/officeDocument/2006/relationships/image" Target="../media/image138.png"/></Relationships>
</file>

<file path=xl/drawings/drawing1.xml><?xml version="1.0" encoding="utf-8"?>
<xdr:wsDr xmlns:xdr="http://schemas.openxmlformats.org/drawingml/2006/spreadsheetDrawing" xmlns:a="http://schemas.openxmlformats.org/drawingml/2006/main">
  <xdr:twoCellAnchor editAs="oneCell">
    <xdr:from>
      <xdr:col>6</xdr:col>
      <xdr:colOff>397243</xdr:colOff>
      <xdr:row>3</xdr:row>
      <xdr:rowOff>476716</xdr:rowOff>
    </xdr:from>
    <xdr:to>
      <xdr:col>6</xdr:col>
      <xdr:colOff>1619250</xdr:colOff>
      <xdr:row>3</xdr:row>
      <xdr:rowOff>1864644</xdr:rowOff>
    </xdr:to>
    <xdr:pic>
      <xdr:nvPicPr>
        <xdr:cNvPr id="2" name="Imagen 1">
          <a:extLst>
            <a:ext uri="{FF2B5EF4-FFF2-40B4-BE49-F238E27FC236}">
              <a16:creationId xmlns:a16="http://schemas.microsoft.com/office/drawing/2014/main" id="{03583487-03C1-4406-BC33-DFF1629BCFE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79343" y="2238841"/>
          <a:ext cx="1222007" cy="13879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330712</xdr:colOff>
      <xdr:row>4</xdr:row>
      <xdr:rowOff>302119</xdr:rowOff>
    </xdr:from>
    <xdr:to>
      <xdr:col>6</xdr:col>
      <xdr:colOff>1564821</xdr:colOff>
      <xdr:row>4</xdr:row>
      <xdr:rowOff>1800579</xdr:rowOff>
    </xdr:to>
    <xdr:pic>
      <xdr:nvPicPr>
        <xdr:cNvPr id="3" name="Imagen 2">
          <a:extLst>
            <a:ext uri="{FF2B5EF4-FFF2-40B4-BE49-F238E27FC236}">
              <a16:creationId xmlns:a16="http://schemas.microsoft.com/office/drawing/2014/main" id="{940BB4F0-CEF7-4E4F-BBDE-D7C50BE6271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512812" y="4093069"/>
          <a:ext cx="1234109" cy="14984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248477</xdr:colOff>
      <xdr:row>5</xdr:row>
      <xdr:rowOff>193261</xdr:rowOff>
    </xdr:from>
    <xdr:to>
      <xdr:col>6</xdr:col>
      <xdr:colOff>1548900</xdr:colOff>
      <xdr:row>5</xdr:row>
      <xdr:rowOff>1741715</xdr:rowOff>
    </xdr:to>
    <xdr:pic>
      <xdr:nvPicPr>
        <xdr:cNvPr id="4" name="Imagen 3">
          <a:extLst>
            <a:ext uri="{FF2B5EF4-FFF2-40B4-BE49-F238E27FC236}">
              <a16:creationId xmlns:a16="http://schemas.microsoft.com/office/drawing/2014/main" id="{05B4E476-6223-47BC-B531-ED5B5D7DE6B1}"/>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430577" y="6232111"/>
          <a:ext cx="1300423" cy="15484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385338</xdr:colOff>
      <xdr:row>6</xdr:row>
      <xdr:rowOff>382577</xdr:rowOff>
    </xdr:from>
    <xdr:to>
      <xdr:col>6</xdr:col>
      <xdr:colOff>1510392</xdr:colOff>
      <xdr:row>6</xdr:row>
      <xdr:rowOff>2001827</xdr:rowOff>
    </xdr:to>
    <xdr:pic>
      <xdr:nvPicPr>
        <xdr:cNvPr id="5" name="Imagen 4">
          <a:extLst>
            <a:ext uri="{FF2B5EF4-FFF2-40B4-BE49-F238E27FC236}">
              <a16:creationId xmlns:a16="http://schemas.microsoft.com/office/drawing/2014/main" id="{0983AD33-F099-495A-A2D3-8D12D6ADC851}"/>
            </a:ext>
          </a:extLst>
        </xdr:cNvPr>
        <xdr:cNvPicPr>
          <a:picLocks noChangeAspect="1"/>
        </xdr:cNvPicPr>
      </xdr:nvPicPr>
      <xdr:blipFill>
        <a:blip xmlns:r="http://schemas.openxmlformats.org/officeDocument/2006/relationships" r:embed="rId4"/>
        <a:stretch>
          <a:fillRect/>
        </a:stretch>
      </xdr:blipFill>
      <xdr:spPr>
        <a:xfrm>
          <a:off x="9567438" y="8669327"/>
          <a:ext cx="1125054" cy="1619250"/>
        </a:xfrm>
        <a:prstGeom prst="rect">
          <a:avLst/>
        </a:prstGeom>
      </xdr:spPr>
    </xdr:pic>
    <xdr:clientData/>
  </xdr:twoCellAnchor>
  <xdr:twoCellAnchor editAs="oneCell">
    <xdr:from>
      <xdr:col>6</xdr:col>
      <xdr:colOff>262085</xdr:colOff>
      <xdr:row>7</xdr:row>
      <xdr:rowOff>251204</xdr:rowOff>
    </xdr:from>
    <xdr:to>
      <xdr:col>6</xdr:col>
      <xdr:colOff>1592035</xdr:colOff>
      <xdr:row>7</xdr:row>
      <xdr:rowOff>1904892</xdr:rowOff>
    </xdr:to>
    <xdr:pic>
      <xdr:nvPicPr>
        <xdr:cNvPr id="6" name="Imagen 5">
          <a:extLst>
            <a:ext uri="{FF2B5EF4-FFF2-40B4-BE49-F238E27FC236}">
              <a16:creationId xmlns:a16="http://schemas.microsoft.com/office/drawing/2014/main" id="{0BBDE7E7-D940-4218-80B6-95B0AD0EED79}"/>
            </a:ext>
          </a:extLst>
        </xdr:cNvPr>
        <xdr:cNvPicPr>
          <a:picLocks noChangeAspect="1"/>
        </xdr:cNvPicPr>
      </xdr:nvPicPr>
      <xdr:blipFill>
        <a:blip xmlns:r="http://schemas.openxmlformats.org/officeDocument/2006/relationships" r:embed="rId5"/>
        <a:stretch>
          <a:fillRect/>
        </a:stretch>
      </xdr:blipFill>
      <xdr:spPr>
        <a:xfrm>
          <a:off x="9444185" y="10785854"/>
          <a:ext cx="1329950" cy="1653688"/>
        </a:xfrm>
        <a:prstGeom prst="rect">
          <a:avLst/>
        </a:prstGeom>
      </xdr:spPr>
    </xdr:pic>
    <xdr:clientData/>
  </xdr:twoCellAnchor>
  <xdr:twoCellAnchor editAs="oneCell">
    <xdr:from>
      <xdr:col>6</xdr:col>
      <xdr:colOff>193261</xdr:colOff>
      <xdr:row>8</xdr:row>
      <xdr:rowOff>262283</xdr:rowOff>
    </xdr:from>
    <xdr:to>
      <xdr:col>6</xdr:col>
      <xdr:colOff>1788854</xdr:colOff>
      <xdr:row>8</xdr:row>
      <xdr:rowOff>1442357</xdr:rowOff>
    </xdr:to>
    <xdr:pic>
      <xdr:nvPicPr>
        <xdr:cNvPr id="7" name="Imagen 6">
          <a:extLst>
            <a:ext uri="{FF2B5EF4-FFF2-40B4-BE49-F238E27FC236}">
              <a16:creationId xmlns:a16="http://schemas.microsoft.com/office/drawing/2014/main" id="{278D9A89-F983-4E2B-A3BB-36BEAEAF1ED4}"/>
            </a:ext>
          </a:extLst>
        </xdr:cNvPr>
        <xdr:cNvPicPr>
          <a:picLocks noChangeAspect="1"/>
        </xdr:cNvPicPr>
      </xdr:nvPicPr>
      <xdr:blipFill>
        <a:blip xmlns:r="http://schemas.openxmlformats.org/officeDocument/2006/relationships" r:embed="rId6"/>
        <a:stretch>
          <a:fillRect/>
        </a:stretch>
      </xdr:blipFill>
      <xdr:spPr>
        <a:xfrm>
          <a:off x="9375361" y="13044833"/>
          <a:ext cx="1595593" cy="1180074"/>
        </a:xfrm>
        <a:prstGeom prst="rect">
          <a:avLst/>
        </a:prstGeom>
      </xdr:spPr>
    </xdr:pic>
    <xdr:clientData/>
  </xdr:twoCellAnchor>
  <xdr:twoCellAnchor editAs="oneCell">
    <xdr:from>
      <xdr:col>6</xdr:col>
      <xdr:colOff>275496</xdr:colOff>
      <xdr:row>9</xdr:row>
      <xdr:rowOff>259543</xdr:rowOff>
    </xdr:from>
    <xdr:to>
      <xdr:col>6</xdr:col>
      <xdr:colOff>1714500</xdr:colOff>
      <xdr:row>9</xdr:row>
      <xdr:rowOff>1753318</xdr:rowOff>
    </xdr:to>
    <xdr:pic>
      <xdr:nvPicPr>
        <xdr:cNvPr id="8" name="Imagen 7">
          <a:extLst>
            <a:ext uri="{FF2B5EF4-FFF2-40B4-BE49-F238E27FC236}">
              <a16:creationId xmlns:a16="http://schemas.microsoft.com/office/drawing/2014/main" id="{7E78B96F-D0B8-43DD-ABD3-C256C9FABF95}"/>
            </a:ext>
          </a:extLst>
        </xdr:cNvPr>
        <xdr:cNvPicPr>
          <a:picLocks noChangeAspect="1"/>
        </xdr:cNvPicPr>
      </xdr:nvPicPr>
      <xdr:blipFill>
        <a:blip xmlns:r="http://schemas.openxmlformats.org/officeDocument/2006/relationships" r:embed="rId7"/>
        <a:stretch>
          <a:fillRect/>
        </a:stretch>
      </xdr:blipFill>
      <xdr:spPr>
        <a:xfrm>
          <a:off x="9457596" y="15289993"/>
          <a:ext cx="1439004" cy="1493775"/>
        </a:xfrm>
        <a:prstGeom prst="rect">
          <a:avLst/>
        </a:prstGeom>
      </xdr:spPr>
    </xdr:pic>
    <xdr:clientData/>
  </xdr:twoCellAnchor>
  <xdr:twoCellAnchor editAs="oneCell">
    <xdr:from>
      <xdr:col>6</xdr:col>
      <xdr:colOff>349422</xdr:colOff>
      <xdr:row>10</xdr:row>
      <xdr:rowOff>311820</xdr:rowOff>
    </xdr:from>
    <xdr:to>
      <xdr:col>6</xdr:col>
      <xdr:colOff>1714500</xdr:colOff>
      <xdr:row>10</xdr:row>
      <xdr:rowOff>1523675</xdr:rowOff>
    </xdr:to>
    <xdr:pic>
      <xdr:nvPicPr>
        <xdr:cNvPr id="9" name="Imagen 8">
          <a:extLst>
            <a:ext uri="{FF2B5EF4-FFF2-40B4-BE49-F238E27FC236}">
              <a16:creationId xmlns:a16="http://schemas.microsoft.com/office/drawing/2014/main" id="{F13DC0A1-6450-4CB3-B376-7C087208863D}"/>
            </a:ext>
          </a:extLst>
        </xdr:cNvPr>
        <xdr:cNvPicPr>
          <a:picLocks noChangeAspect="1"/>
        </xdr:cNvPicPr>
      </xdr:nvPicPr>
      <xdr:blipFill>
        <a:blip xmlns:r="http://schemas.openxmlformats.org/officeDocument/2006/relationships" r:embed="rId8"/>
        <a:stretch>
          <a:fillRect/>
        </a:stretch>
      </xdr:blipFill>
      <xdr:spPr>
        <a:xfrm>
          <a:off x="9531522" y="17590170"/>
          <a:ext cx="1365078" cy="1211855"/>
        </a:xfrm>
        <a:prstGeom prst="rect">
          <a:avLst/>
        </a:prstGeom>
      </xdr:spPr>
    </xdr:pic>
    <xdr:clientData/>
  </xdr:twoCellAnchor>
  <xdr:twoCellAnchor editAs="oneCell">
    <xdr:from>
      <xdr:col>6</xdr:col>
      <xdr:colOff>333720</xdr:colOff>
      <xdr:row>11</xdr:row>
      <xdr:rowOff>249512</xdr:rowOff>
    </xdr:from>
    <xdr:to>
      <xdr:col>6</xdr:col>
      <xdr:colOff>1631954</xdr:colOff>
      <xdr:row>11</xdr:row>
      <xdr:rowOff>1768927</xdr:rowOff>
    </xdr:to>
    <xdr:pic>
      <xdr:nvPicPr>
        <xdr:cNvPr id="10" name="Imagen 9">
          <a:extLst>
            <a:ext uri="{FF2B5EF4-FFF2-40B4-BE49-F238E27FC236}">
              <a16:creationId xmlns:a16="http://schemas.microsoft.com/office/drawing/2014/main" id="{4B496061-B608-48D5-9D96-B33A9B50AC90}"/>
            </a:ext>
          </a:extLst>
        </xdr:cNvPr>
        <xdr:cNvPicPr>
          <a:picLocks noChangeAspect="1"/>
        </xdr:cNvPicPr>
      </xdr:nvPicPr>
      <xdr:blipFill>
        <a:blip xmlns:r="http://schemas.openxmlformats.org/officeDocument/2006/relationships" r:embed="rId9"/>
        <a:stretch>
          <a:fillRect/>
        </a:stretch>
      </xdr:blipFill>
      <xdr:spPr>
        <a:xfrm>
          <a:off x="9515820" y="19775762"/>
          <a:ext cx="1298234" cy="1519415"/>
        </a:xfrm>
        <a:prstGeom prst="rect">
          <a:avLst/>
        </a:prstGeom>
      </xdr:spPr>
    </xdr:pic>
    <xdr:clientData/>
  </xdr:twoCellAnchor>
  <xdr:twoCellAnchor editAs="oneCell">
    <xdr:from>
      <xdr:col>6</xdr:col>
      <xdr:colOff>228461</xdr:colOff>
      <xdr:row>12</xdr:row>
      <xdr:rowOff>356152</xdr:rowOff>
    </xdr:from>
    <xdr:to>
      <xdr:col>6</xdr:col>
      <xdr:colOff>1646464</xdr:colOff>
      <xdr:row>12</xdr:row>
      <xdr:rowOff>1831999</xdr:rowOff>
    </xdr:to>
    <xdr:pic>
      <xdr:nvPicPr>
        <xdr:cNvPr id="11" name="Imagen 10">
          <a:extLst>
            <a:ext uri="{FF2B5EF4-FFF2-40B4-BE49-F238E27FC236}">
              <a16:creationId xmlns:a16="http://schemas.microsoft.com/office/drawing/2014/main" id="{2DCECD92-B267-4AA3-AF02-6930F8AF89DE}"/>
            </a:ext>
          </a:extLst>
        </xdr:cNvPr>
        <xdr:cNvPicPr>
          <a:picLocks noChangeAspect="1"/>
        </xdr:cNvPicPr>
      </xdr:nvPicPr>
      <xdr:blipFill>
        <a:blip xmlns:r="http://schemas.openxmlformats.org/officeDocument/2006/relationships" r:embed="rId10"/>
        <a:stretch>
          <a:fillRect/>
        </a:stretch>
      </xdr:blipFill>
      <xdr:spPr>
        <a:xfrm>
          <a:off x="9410561" y="22130302"/>
          <a:ext cx="1418003" cy="1475847"/>
        </a:xfrm>
        <a:prstGeom prst="rect">
          <a:avLst/>
        </a:prstGeom>
      </xdr:spPr>
    </xdr:pic>
    <xdr:clientData/>
  </xdr:twoCellAnchor>
  <xdr:twoCellAnchor editAs="oneCell">
    <xdr:from>
      <xdr:col>6</xdr:col>
      <xdr:colOff>448468</xdr:colOff>
      <xdr:row>13</xdr:row>
      <xdr:rowOff>380482</xdr:rowOff>
    </xdr:from>
    <xdr:to>
      <xdr:col>6</xdr:col>
      <xdr:colOff>1592035</xdr:colOff>
      <xdr:row>13</xdr:row>
      <xdr:rowOff>1962560</xdr:rowOff>
    </xdr:to>
    <xdr:pic>
      <xdr:nvPicPr>
        <xdr:cNvPr id="12" name="Imagen 11">
          <a:extLst>
            <a:ext uri="{FF2B5EF4-FFF2-40B4-BE49-F238E27FC236}">
              <a16:creationId xmlns:a16="http://schemas.microsoft.com/office/drawing/2014/main" id="{765BC44D-82D2-4A25-BEAD-15766387F837}"/>
            </a:ext>
          </a:extLst>
        </xdr:cNvPr>
        <xdr:cNvPicPr>
          <a:picLocks noChangeAspect="1"/>
        </xdr:cNvPicPr>
      </xdr:nvPicPr>
      <xdr:blipFill>
        <a:blip xmlns:r="http://schemas.openxmlformats.org/officeDocument/2006/relationships" r:embed="rId11"/>
        <a:stretch>
          <a:fillRect/>
        </a:stretch>
      </xdr:blipFill>
      <xdr:spPr>
        <a:xfrm>
          <a:off x="9630568" y="24402532"/>
          <a:ext cx="1143567" cy="1582078"/>
        </a:xfrm>
        <a:prstGeom prst="rect">
          <a:avLst/>
        </a:prstGeom>
      </xdr:spPr>
    </xdr:pic>
    <xdr:clientData/>
  </xdr:twoCellAnchor>
  <xdr:twoCellAnchor editAs="oneCell">
    <xdr:from>
      <xdr:col>6</xdr:col>
      <xdr:colOff>221391</xdr:colOff>
      <xdr:row>14</xdr:row>
      <xdr:rowOff>409470</xdr:rowOff>
    </xdr:from>
    <xdr:to>
      <xdr:col>6</xdr:col>
      <xdr:colOff>1800071</xdr:colOff>
      <xdr:row>14</xdr:row>
      <xdr:rowOff>1510392</xdr:rowOff>
    </xdr:to>
    <xdr:pic>
      <xdr:nvPicPr>
        <xdr:cNvPr id="13" name="Imagen 12">
          <a:extLst>
            <a:ext uri="{FF2B5EF4-FFF2-40B4-BE49-F238E27FC236}">
              <a16:creationId xmlns:a16="http://schemas.microsoft.com/office/drawing/2014/main" id="{00A38850-6A60-4AD6-AD50-ADD9D7C5E98B}"/>
            </a:ext>
          </a:extLst>
        </xdr:cNvPr>
        <xdr:cNvPicPr>
          <a:picLocks noChangeAspect="1"/>
        </xdr:cNvPicPr>
      </xdr:nvPicPr>
      <xdr:blipFill>
        <a:blip xmlns:r="http://schemas.openxmlformats.org/officeDocument/2006/relationships" r:embed="rId12"/>
        <a:stretch>
          <a:fillRect/>
        </a:stretch>
      </xdr:blipFill>
      <xdr:spPr>
        <a:xfrm>
          <a:off x="9403491" y="26679420"/>
          <a:ext cx="1578680" cy="1100922"/>
        </a:xfrm>
        <a:prstGeom prst="rect">
          <a:avLst/>
        </a:prstGeom>
      </xdr:spPr>
    </xdr:pic>
    <xdr:clientData/>
  </xdr:twoCellAnchor>
  <xdr:twoCellAnchor editAs="oneCell">
    <xdr:from>
      <xdr:col>6</xdr:col>
      <xdr:colOff>151477</xdr:colOff>
      <xdr:row>15</xdr:row>
      <xdr:rowOff>449036</xdr:rowOff>
    </xdr:from>
    <xdr:to>
      <xdr:col>6</xdr:col>
      <xdr:colOff>1768928</xdr:colOff>
      <xdr:row>15</xdr:row>
      <xdr:rowOff>1632858</xdr:rowOff>
    </xdr:to>
    <xdr:pic>
      <xdr:nvPicPr>
        <xdr:cNvPr id="14" name="Imagen 13">
          <a:extLst>
            <a:ext uri="{FF2B5EF4-FFF2-40B4-BE49-F238E27FC236}">
              <a16:creationId xmlns:a16="http://schemas.microsoft.com/office/drawing/2014/main" id="{8B39A3C0-FC65-49EA-9014-4C3A903476EB}"/>
            </a:ext>
          </a:extLst>
        </xdr:cNvPr>
        <xdr:cNvPicPr>
          <a:picLocks noChangeAspect="1"/>
        </xdr:cNvPicPr>
      </xdr:nvPicPr>
      <xdr:blipFill>
        <a:blip xmlns:r="http://schemas.openxmlformats.org/officeDocument/2006/relationships" r:embed="rId13"/>
        <a:stretch>
          <a:fillRect/>
        </a:stretch>
      </xdr:blipFill>
      <xdr:spPr>
        <a:xfrm>
          <a:off x="9333577" y="28966886"/>
          <a:ext cx="1617451" cy="1183822"/>
        </a:xfrm>
        <a:prstGeom prst="rect">
          <a:avLst/>
        </a:prstGeom>
      </xdr:spPr>
    </xdr:pic>
    <xdr:clientData/>
  </xdr:twoCellAnchor>
  <xdr:twoCellAnchor editAs="oneCell">
    <xdr:from>
      <xdr:col>6</xdr:col>
      <xdr:colOff>176894</xdr:colOff>
      <xdr:row>20</xdr:row>
      <xdr:rowOff>305238</xdr:rowOff>
    </xdr:from>
    <xdr:to>
      <xdr:col>6</xdr:col>
      <xdr:colOff>1741714</xdr:colOff>
      <xdr:row>20</xdr:row>
      <xdr:rowOff>1332496</xdr:rowOff>
    </xdr:to>
    <xdr:pic>
      <xdr:nvPicPr>
        <xdr:cNvPr id="15" name="Imagen 14">
          <a:extLst>
            <a:ext uri="{FF2B5EF4-FFF2-40B4-BE49-F238E27FC236}">
              <a16:creationId xmlns:a16="http://schemas.microsoft.com/office/drawing/2014/main" id="{11A2B9F4-C88A-42EE-840D-C691196B13F2}"/>
            </a:ext>
          </a:extLst>
        </xdr:cNvPr>
        <xdr:cNvPicPr>
          <a:picLocks noChangeAspect="1"/>
        </xdr:cNvPicPr>
      </xdr:nvPicPr>
      <xdr:blipFill>
        <a:blip xmlns:r="http://schemas.openxmlformats.org/officeDocument/2006/relationships" r:embed="rId14"/>
        <a:stretch>
          <a:fillRect/>
        </a:stretch>
      </xdr:blipFill>
      <xdr:spPr>
        <a:xfrm>
          <a:off x="9358994" y="39576813"/>
          <a:ext cx="1564820" cy="1027258"/>
        </a:xfrm>
        <a:prstGeom prst="rect">
          <a:avLst/>
        </a:prstGeom>
      </xdr:spPr>
    </xdr:pic>
    <xdr:clientData/>
  </xdr:twoCellAnchor>
  <xdr:twoCellAnchor editAs="oneCell">
    <xdr:from>
      <xdr:col>6</xdr:col>
      <xdr:colOff>190500</xdr:colOff>
      <xdr:row>21</xdr:row>
      <xdr:rowOff>122464</xdr:rowOff>
    </xdr:from>
    <xdr:to>
      <xdr:col>6</xdr:col>
      <xdr:colOff>1690639</xdr:colOff>
      <xdr:row>21</xdr:row>
      <xdr:rowOff>1428749</xdr:rowOff>
    </xdr:to>
    <xdr:pic>
      <xdr:nvPicPr>
        <xdr:cNvPr id="16" name="Imagen 15">
          <a:extLst>
            <a:ext uri="{FF2B5EF4-FFF2-40B4-BE49-F238E27FC236}">
              <a16:creationId xmlns:a16="http://schemas.microsoft.com/office/drawing/2014/main" id="{D5C2F028-0878-477C-A5C9-64C595B6F173}"/>
            </a:ext>
          </a:extLst>
        </xdr:cNvPr>
        <xdr:cNvPicPr>
          <a:picLocks noChangeAspect="1"/>
        </xdr:cNvPicPr>
      </xdr:nvPicPr>
      <xdr:blipFill>
        <a:blip xmlns:r="http://schemas.openxmlformats.org/officeDocument/2006/relationships" r:embed="rId15"/>
        <a:stretch>
          <a:fillRect/>
        </a:stretch>
      </xdr:blipFill>
      <xdr:spPr>
        <a:xfrm>
          <a:off x="9372600" y="41013289"/>
          <a:ext cx="1500139" cy="1306285"/>
        </a:xfrm>
        <a:prstGeom prst="rect">
          <a:avLst/>
        </a:prstGeom>
      </xdr:spPr>
    </xdr:pic>
    <xdr:clientData/>
  </xdr:twoCellAnchor>
  <xdr:twoCellAnchor editAs="oneCell">
    <xdr:from>
      <xdr:col>6</xdr:col>
      <xdr:colOff>264364</xdr:colOff>
      <xdr:row>22</xdr:row>
      <xdr:rowOff>125225</xdr:rowOff>
    </xdr:from>
    <xdr:to>
      <xdr:col>6</xdr:col>
      <xdr:colOff>1708754</xdr:colOff>
      <xdr:row>22</xdr:row>
      <xdr:rowOff>1483178</xdr:rowOff>
    </xdr:to>
    <xdr:pic>
      <xdr:nvPicPr>
        <xdr:cNvPr id="17" name="Imagen 16">
          <a:extLst>
            <a:ext uri="{FF2B5EF4-FFF2-40B4-BE49-F238E27FC236}">
              <a16:creationId xmlns:a16="http://schemas.microsoft.com/office/drawing/2014/main" id="{5F4A951C-9BF2-4FCA-A382-BF424C714928}"/>
            </a:ext>
          </a:extLst>
        </xdr:cNvPr>
        <xdr:cNvPicPr>
          <a:picLocks noChangeAspect="1"/>
        </xdr:cNvPicPr>
      </xdr:nvPicPr>
      <xdr:blipFill>
        <a:blip xmlns:r="http://schemas.openxmlformats.org/officeDocument/2006/relationships" r:embed="rId16"/>
        <a:stretch>
          <a:fillRect/>
        </a:stretch>
      </xdr:blipFill>
      <xdr:spPr>
        <a:xfrm>
          <a:off x="9446464" y="42635300"/>
          <a:ext cx="1444390" cy="1357953"/>
        </a:xfrm>
        <a:prstGeom prst="rect">
          <a:avLst/>
        </a:prstGeom>
      </xdr:spPr>
    </xdr:pic>
    <xdr:clientData/>
  </xdr:twoCellAnchor>
  <xdr:twoCellAnchor editAs="oneCell">
    <xdr:from>
      <xdr:col>6</xdr:col>
      <xdr:colOff>193064</xdr:colOff>
      <xdr:row>25</xdr:row>
      <xdr:rowOff>206473</xdr:rowOff>
    </xdr:from>
    <xdr:to>
      <xdr:col>6</xdr:col>
      <xdr:colOff>1666180</xdr:colOff>
      <xdr:row>25</xdr:row>
      <xdr:rowOff>1455964</xdr:rowOff>
    </xdr:to>
    <xdr:pic>
      <xdr:nvPicPr>
        <xdr:cNvPr id="18" name="Imagen 17">
          <a:extLst>
            <a:ext uri="{FF2B5EF4-FFF2-40B4-BE49-F238E27FC236}">
              <a16:creationId xmlns:a16="http://schemas.microsoft.com/office/drawing/2014/main" id="{22A36602-93E1-437F-9920-7679872AA49C}"/>
            </a:ext>
          </a:extLst>
        </xdr:cNvPr>
        <xdr:cNvPicPr>
          <a:picLocks noChangeAspect="1"/>
        </xdr:cNvPicPr>
      </xdr:nvPicPr>
      <xdr:blipFill>
        <a:blip xmlns:r="http://schemas.openxmlformats.org/officeDocument/2006/relationships" r:embed="rId17"/>
        <a:stretch>
          <a:fillRect/>
        </a:stretch>
      </xdr:blipFill>
      <xdr:spPr>
        <a:xfrm>
          <a:off x="9375164" y="47574298"/>
          <a:ext cx="1473116" cy="1249491"/>
        </a:xfrm>
        <a:prstGeom prst="rect">
          <a:avLst/>
        </a:prstGeom>
      </xdr:spPr>
    </xdr:pic>
    <xdr:clientData/>
  </xdr:twoCellAnchor>
  <xdr:twoCellAnchor editAs="oneCell">
    <xdr:from>
      <xdr:col>6</xdr:col>
      <xdr:colOff>206078</xdr:colOff>
      <xdr:row>26</xdr:row>
      <xdr:rowOff>671086</xdr:rowOff>
    </xdr:from>
    <xdr:to>
      <xdr:col>6</xdr:col>
      <xdr:colOff>1755322</xdr:colOff>
      <xdr:row>26</xdr:row>
      <xdr:rowOff>1782536</xdr:rowOff>
    </xdr:to>
    <xdr:pic>
      <xdr:nvPicPr>
        <xdr:cNvPr id="19" name="Imagen 18">
          <a:extLst>
            <a:ext uri="{FF2B5EF4-FFF2-40B4-BE49-F238E27FC236}">
              <a16:creationId xmlns:a16="http://schemas.microsoft.com/office/drawing/2014/main" id="{D16C2E98-3248-4DE2-ADA9-105ECF6AC606}"/>
            </a:ext>
          </a:extLst>
        </xdr:cNvPr>
        <xdr:cNvPicPr>
          <a:picLocks noChangeAspect="1"/>
        </xdr:cNvPicPr>
      </xdr:nvPicPr>
      <xdr:blipFill>
        <a:blip xmlns:r="http://schemas.openxmlformats.org/officeDocument/2006/relationships" r:embed="rId18"/>
        <a:stretch>
          <a:fillRect/>
        </a:stretch>
      </xdr:blipFill>
      <xdr:spPr>
        <a:xfrm>
          <a:off x="9388178" y="49658161"/>
          <a:ext cx="1549244" cy="1111450"/>
        </a:xfrm>
        <a:prstGeom prst="rect">
          <a:avLst/>
        </a:prstGeom>
      </xdr:spPr>
    </xdr:pic>
    <xdr:clientData/>
  </xdr:twoCellAnchor>
  <xdr:twoCellAnchor editAs="oneCell">
    <xdr:from>
      <xdr:col>6</xdr:col>
      <xdr:colOff>244929</xdr:colOff>
      <xdr:row>27</xdr:row>
      <xdr:rowOff>219095</xdr:rowOff>
    </xdr:from>
    <xdr:to>
      <xdr:col>6</xdr:col>
      <xdr:colOff>1782536</xdr:colOff>
      <xdr:row>27</xdr:row>
      <xdr:rowOff>1289151</xdr:rowOff>
    </xdr:to>
    <xdr:pic>
      <xdr:nvPicPr>
        <xdr:cNvPr id="20" name="Imagen 19">
          <a:extLst>
            <a:ext uri="{FF2B5EF4-FFF2-40B4-BE49-F238E27FC236}">
              <a16:creationId xmlns:a16="http://schemas.microsoft.com/office/drawing/2014/main" id="{FB3AF84C-8542-4D8D-9CFE-8A190BA768E8}"/>
            </a:ext>
          </a:extLst>
        </xdr:cNvPr>
        <xdr:cNvPicPr>
          <a:picLocks noChangeAspect="1"/>
        </xdr:cNvPicPr>
      </xdr:nvPicPr>
      <xdr:blipFill>
        <a:blip xmlns:r="http://schemas.openxmlformats.org/officeDocument/2006/relationships" r:embed="rId19"/>
        <a:stretch>
          <a:fillRect/>
        </a:stretch>
      </xdr:blipFill>
      <xdr:spPr>
        <a:xfrm>
          <a:off x="9427029" y="51654095"/>
          <a:ext cx="1537607" cy="1070056"/>
        </a:xfrm>
        <a:prstGeom prst="rect">
          <a:avLst/>
        </a:prstGeom>
      </xdr:spPr>
    </xdr:pic>
    <xdr:clientData/>
  </xdr:twoCellAnchor>
  <xdr:twoCellAnchor editAs="oneCell">
    <xdr:from>
      <xdr:col>6</xdr:col>
      <xdr:colOff>234280</xdr:colOff>
      <xdr:row>28</xdr:row>
      <xdr:rowOff>244174</xdr:rowOff>
    </xdr:from>
    <xdr:to>
      <xdr:col>6</xdr:col>
      <xdr:colOff>1728107</xdr:colOff>
      <xdr:row>28</xdr:row>
      <xdr:rowOff>1450071</xdr:rowOff>
    </xdr:to>
    <xdr:pic>
      <xdr:nvPicPr>
        <xdr:cNvPr id="21" name="Imagen 20">
          <a:extLst>
            <a:ext uri="{FF2B5EF4-FFF2-40B4-BE49-F238E27FC236}">
              <a16:creationId xmlns:a16="http://schemas.microsoft.com/office/drawing/2014/main" id="{50E2F1A4-7ED2-4C7D-B0BC-560CF3D9FABC}"/>
            </a:ext>
          </a:extLst>
        </xdr:cNvPr>
        <xdr:cNvPicPr>
          <a:picLocks noChangeAspect="1"/>
        </xdr:cNvPicPr>
      </xdr:nvPicPr>
      <xdr:blipFill>
        <a:blip xmlns:r="http://schemas.openxmlformats.org/officeDocument/2006/relationships" r:embed="rId20"/>
        <a:stretch>
          <a:fillRect/>
        </a:stretch>
      </xdr:blipFill>
      <xdr:spPr>
        <a:xfrm>
          <a:off x="9416380" y="53298424"/>
          <a:ext cx="1493827" cy="1205897"/>
        </a:xfrm>
        <a:prstGeom prst="rect">
          <a:avLst/>
        </a:prstGeom>
      </xdr:spPr>
    </xdr:pic>
    <xdr:clientData/>
  </xdr:twoCellAnchor>
  <xdr:twoCellAnchor editAs="oneCell">
    <xdr:from>
      <xdr:col>6</xdr:col>
      <xdr:colOff>174095</xdr:colOff>
      <xdr:row>29</xdr:row>
      <xdr:rowOff>353787</xdr:rowOff>
    </xdr:from>
    <xdr:to>
      <xdr:col>6</xdr:col>
      <xdr:colOff>1796143</xdr:colOff>
      <xdr:row>29</xdr:row>
      <xdr:rowOff>1483415</xdr:rowOff>
    </xdr:to>
    <xdr:pic>
      <xdr:nvPicPr>
        <xdr:cNvPr id="22" name="Imagen 21">
          <a:extLst>
            <a:ext uri="{FF2B5EF4-FFF2-40B4-BE49-F238E27FC236}">
              <a16:creationId xmlns:a16="http://schemas.microsoft.com/office/drawing/2014/main" id="{50061841-727C-48B6-9B2F-59D6D13FF36F}"/>
            </a:ext>
          </a:extLst>
        </xdr:cNvPr>
        <xdr:cNvPicPr>
          <a:picLocks noChangeAspect="1"/>
        </xdr:cNvPicPr>
      </xdr:nvPicPr>
      <xdr:blipFill>
        <a:blip xmlns:r="http://schemas.openxmlformats.org/officeDocument/2006/relationships" r:embed="rId21"/>
        <a:stretch>
          <a:fillRect/>
        </a:stretch>
      </xdr:blipFill>
      <xdr:spPr>
        <a:xfrm>
          <a:off x="9356195" y="55513062"/>
          <a:ext cx="1622048" cy="1129628"/>
        </a:xfrm>
        <a:prstGeom prst="rect">
          <a:avLst/>
        </a:prstGeom>
      </xdr:spPr>
    </xdr:pic>
    <xdr:clientData/>
  </xdr:twoCellAnchor>
  <xdr:twoCellAnchor editAs="oneCell">
    <xdr:from>
      <xdr:col>6</xdr:col>
      <xdr:colOff>244929</xdr:colOff>
      <xdr:row>30</xdr:row>
      <xdr:rowOff>346980</xdr:rowOff>
    </xdr:from>
    <xdr:to>
      <xdr:col>6</xdr:col>
      <xdr:colOff>1799139</xdr:colOff>
      <xdr:row>30</xdr:row>
      <xdr:rowOff>1523999</xdr:rowOff>
    </xdr:to>
    <xdr:pic>
      <xdr:nvPicPr>
        <xdr:cNvPr id="23" name="Imagen 22">
          <a:extLst>
            <a:ext uri="{FF2B5EF4-FFF2-40B4-BE49-F238E27FC236}">
              <a16:creationId xmlns:a16="http://schemas.microsoft.com/office/drawing/2014/main" id="{D0FEEA55-67C6-4C7C-9665-3DB4CF0C007C}"/>
            </a:ext>
          </a:extLst>
        </xdr:cNvPr>
        <xdr:cNvPicPr>
          <a:picLocks noChangeAspect="1"/>
        </xdr:cNvPicPr>
      </xdr:nvPicPr>
      <xdr:blipFill>
        <a:blip xmlns:r="http://schemas.openxmlformats.org/officeDocument/2006/relationships" r:embed="rId22"/>
        <a:stretch>
          <a:fillRect/>
        </a:stretch>
      </xdr:blipFill>
      <xdr:spPr>
        <a:xfrm>
          <a:off x="9427029" y="57611280"/>
          <a:ext cx="1554210" cy="1177019"/>
        </a:xfrm>
        <a:prstGeom prst="rect">
          <a:avLst/>
        </a:prstGeom>
      </xdr:spPr>
    </xdr:pic>
    <xdr:clientData/>
  </xdr:twoCellAnchor>
  <xdr:twoCellAnchor editAs="oneCell">
    <xdr:from>
      <xdr:col>6</xdr:col>
      <xdr:colOff>206669</xdr:colOff>
      <xdr:row>31</xdr:row>
      <xdr:rowOff>287130</xdr:rowOff>
    </xdr:from>
    <xdr:to>
      <xdr:col>6</xdr:col>
      <xdr:colOff>1796142</xdr:colOff>
      <xdr:row>31</xdr:row>
      <xdr:rowOff>1667087</xdr:rowOff>
    </xdr:to>
    <xdr:pic>
      <xdr:nvPicPr>
        <xdr:cNvPr id="24" name="Imagen 23">
          <a:extLst>
            <a:ext uri="{FF2B5EF4-FFF2-40B4-BE49-F238E27FC236}">
              <a16:creationId xmlns:a16="http://schemas.microsoft.com/office/drawing/2014/main" id="{5CB48239-F6BE-4F56-8D96-0129F91B2043}"/>
            </a:ext>
          </a:extLst>
        </xdr:cNvPr>
        <xdr:cNvPicPr>
          <a:picLocks noChangeAspect="1"/>
        </xdr:cNvPicPr>
      </xdr:nvPicPr>
      <xdr:blipFill>
        <a:blip xmlns:r="http://schemas.openxmlformats.org/officeDocument/2006/relationships" r:embed="rId23"/>
        <a:stretch>
          <a:fillRect/>
        </a:stretch>
      </xdr:blipFill>
      <xdr:spPr>
        <a:xfrm>
          <a:off x="9388769" y="59656455"/>
          <a:ext cx="1589473" cy="1379957"/>
        </a:xfrm>
        <a:prstGeom prst="rect">
          <a:avLst/>
        </a:prstGeom>
      </xdr:spPr>
    </xdr:pic>
    <xdr:clientData/>
  </xdr:twoCellAnchor>
  <xdr:twoCellAnchor editAs="oneCell">
    <xdr:from>
      <xdr:col>6</xdr:col>
      <xdr:colOff>152243</xdr:colOff>
      <xdr:row>32</xdr:row>
      <xdr:rowOff>274509</xdr:rowOff>
    </xdr:from>
    <xdr:to>
      <xdr:col>6</xdr:col>
      <xdr:colOff>1766285</xdr:colOff>
      <xdr:row>32</xdr:row>
      <xdr:rowOff>1660072</xdr:rowOff>
    </xdr:to>
    <xdr:pic>
      <xdr:nvPicPr>
        <xdr:cNvPr id="25" name="Imagen 24">
          <a:extLst>
            <a:ext uri="{FF2B5EF4-FFF2-40B4-BE49-F238E27FC236}">
              <a16:creationId xmlns:a16="http://schemas.microsoft.com/office/drawing/2014/main" id="{2D1D8F08-F037-49B1-BCFC-BDA41B2FD41D}"/>
            </a:ext>
          </a:extLst>
        </xdr:cNvPr>
        <xdr:cNvPicPr>
          <a:picLocks noChangeAspect="1"/>
        </xdr:cNvPicPr>
      </xdr:nvPicPr>
      <xdr:blipFill>
        <a:blip xmlns:r="http://schemas.openxmlformats.org/officeDocument/2006/relationships" r:embed="rId24"/>
        <a:stretch>
          <a:fillRect/>
        </a:stretch>
      </xdr:blipFill>
      <xdr:spPr>
        <a:xfrm>
          <a:off x="9334343" y="61748859"/>
          <a:ext cx="1614042" cy="1385563"/>
        </a:xfrm>
        <a:prstGeom prst="rect">
          <a:avLst/>
        </a:prstGeom>
      </xdr:spPr>
    </xdr:pic>
    <xdr:clientData/>
  </xdr:twoCellAnchor>
  <xdr:twoCellAnchor editAs="oneCell">
    <xdr:from>
      <xdr:col>6</xdr:col>
      <xdr:colOff>175914</xdr:colOff>
      <xdr:row>33</xdr:row>
      <xdr:rowOff>165652</xdr:rowOff>
    </xdr:from>
    <xdr:to>
      <xdr:col>7</xdr:col>
      <xdr:colOff>0</xdr:colOff>
      <xdr:row>33</xdr:row>
      <xdr:rowOff>1360715</xdr:rowOff>
    </xdr:to>
    <xdr:pic>
      <xdr:nvPicPr>
        <xdr:cNvPr id="26" name="Imagen 25">
          <a:extLst>
            <a:ext uri="{FF2B5EF4-FFF2-40B4-BE49-F238E27FC236}">
              <a16:creationId xmlns:a16="http://schemas.microsoft.com/office/drawing/2014/main" id="{B64D3CB8-3198-4D80-A9CA-CEBBE1CA2C08}"/>
            </a:ext>
          </a:extLst>
        </xdr:cNvPr>
        <xdr:cNvPicPr>
          <a:picLocks noChangeAspect="1"/>
        </xdr:cNvPicPr>
      </xdr:nvPicPr>
      <xdr:blipFill>
        <a:blip xmlns:r="http://schemas.openxmlformats.org/officeDocument/2006/relationships" r:embed="rId25"/>
        <a:stretch>
          <a:fillRect/>
        </a:stretch>
      </xdr:blipFill>
      <xdr:spPr>
        <a:xfrm>
          <a:off x="9358014" y="63745027"/>
          <a:ext cx="1633836" cy="1195063"/>
        </a:xfrm>
        <a:prstGeom prst="rect">
          <a:avLst/>
        </a:prstGeom>
      </xdr:spPr>
    </xdr:pic>
    <xdr:clientData/>
  </xdr:twoCellAnchor>
  <xdr:twoCellAnchor editAs="oneCell">
    <xdr:from>
      <xdr:col>6</xdr:col>
      <xdr:colOff>210765</xdr:colOff>
      <xdr:row>34</xdr:row>
      <xdr:rowOff>180048</xdr:rowOff>
    </xdr:from>
    <xdr:to>
      <xdr:col>6</xdr:col>
      <xdr:colOff>1700892</xdr:colOff>
      <xdr:row>34</xdr:row>
      <xdr:rowOff>1401536</xdr:rowOff>
    </xdr:to>
    <xdr:pic>
      <xdr:nvPicPr>
        <xdr:cNvPr id="27" name="Imagen 26">
          <a:extLst>
            <a:ext uri="{FF2B5EF4-FFF2-40B4-BE49-F238E27FC236}">
              <a16:creationId xmlns:a16="http://schemas.microsoft.com/office/drawing/2014/main" id="{E9635EF0-6E52-4CC6-B302-ED895743944A}"/>
            </a:ext>
          </a:extLst>
        </xdr:cNvPr>
        <xdr:cNvPicPr>
          <a:picLocks noChangeAspect="1"/>
        </xdr:cNvPicPr>
      </xdr:nvPicPr>
      <xdr:blipFill>
        <a:blip xmlns:r="http://schemas.openxmlformats.org/officeDocument/2006/relationships" r:embed="rId26"/>
        <a:stretch>
          <a:fillRect/>
        </a:stretch>
      </xdr:blipFill>
      <xdr:spPr>
        <a:xfrm>
          <a:off x="9392865" y="65378673"/>
          <a:ext cx="1490127" cy="1221488"/>
        </a:xfrm>
        <a:prstGeom prst="rect">
          <a:avLst/>
        </a:prstGeom>
      </xdr:spPr>
    </xdr:pic>
    <xdr:clientData/>
  </xdr:twoCellAnchor>
  <xdr:twoCellAnchor editAs="oneCell">
    <xdr:from>
      <xdr:col>6</xdr:col>
      <xdr:colOff>176894</xdr:colOff>
      <xdr:row>35</xdr:row>
      <xdr:rowOff>152364</xdr:rowOff>
    </xdr:from>
    <xdr:to>
      <xdr:col>7</xdr:col>
      <xdr:colOff>27214</xdr:colOff>
      <xdr:row>35</xdr:row>
      <xdr:rowOff>1347108</xdr:rowOff>
    </xdr:to>
    <xdr:pic>
      <xdr:nvPicPr>
        <xdr:cNvPr id="28" name="Imagen 27">
          <a:extLst>
            <a:ext uri="{FF2B5EF4-FFF2-40B4-BE49-F238E27FC236}">
              <a16:creationId xmlns:a16="http://schemas.microsoft.com/office/drawing/2014/main" id="{09D1369F-6230-4C5B-AA06-9B3E83D10039}"/>
            </a:ext>
          </a:extLst>
        </xdr:cNvPr>
        <xdr:cNvPicPr>
          <a:picLocks noChangeAspect="1"/>
        </xdr:cNvPicPr>
      </xdr:nvPicPr>
      <xdr:blipFill>
        <a:blip xmlns:r="http://schemas.openxmlformats.org/officeDocument/2006/relationships" r:embed="rId27"/>
        <a:stretch>
          <a:fillRect/>
        </a:stretch>
      </xdr:blipFill>
      <xdr:spPr>
        <a:xfrm>
          <a:off x="9358994" y="66970239"/>
          <a:ext cx="1660070" cy="1194744"/>
        </a:xfrm>
        <a:prstGeom prst="rect">
          <a:avLst/>
        </a:prstGeom>
      </xdr:spPr>
    </xdr:pic>
    <xdr:clientData/>
  </xdr:twoCellAnchor>
  <xdr:twoCellAnchor editAs="oneCell">
    <xdr:from>
      <xdr:col>6</xdr:col>
      <xdr:colOff>163285</xdr:colOff>
      <xdr:row>36</xdr:row>
      <xdr:rowOff>179735</xdr:rowOff>
    </xdr:from>
    <xdr:to>
      <xdr:col>6</xdr:col>
      <xdr:colOff>1741714</xdr:colOff>
      <xdr:row>36</xdr:row>
      <xdr:rowOff>1401537</xdr:rowOff>
    </xdr:to>
    <xdr:pic>
      <xdr:nvPicPr>
        <xdr:cNvPr id="29" name="Imagen 28">
          <a:extLst>
            <a:ext uri="{FF2B5EF4-FFF2-40B4-BE49-F238E27FC236}">
              <a16:creationId xmlns:a16="http://schemas.microsoft.com/office/drawing/2014/main" id="{1485CC7C-17FB-487E-A7AF-B409A1EF0C62}"/>
            </a:ext>
          </a:extLst>
        </xdr:cNvPr>
        <xdr:cNvPicPr>
          <a:picLocks noChangeAspect="1"/>
        </xdr:cNvPicPr>
      </xdr:nvPicPr>
      <xdr:blipFill>
        <a:blip xmlns:r="http://schemas.openxmlformats.org/officeDocument/2006/relationships" r:embed="rId28"/>
        <a:stretch>
          <a:fillRect/>
        </a:stretch>
      </xdr:blipFill>
      <xdr:spPr>
        <a:xfrm>
          <a:off x="9345385" y="68616860"/>
          <a:ext cx="1578429" cy="1221802"/>
        </a:xfrm>
        <a:prstGeom prst="rect">
          <a:avLst/>
        </a:prstGeom>
      </xdr:spPr>
    </xdr:pic>
    <xdr:clientData/>
  </xdr:twoCellAnchor>
  <xdr:twoCellAnchor editAs="oneCell">
    <xdr:from>
      <xdr:col>6</xdr:col>
      <xdr:colOff>181778</xdr:colOff>
      <xdr:row>37</xdr:row>
      <xdr:rowOff>165652</xdr:rowOff>
    </xdr:from>
    <xdr:to>
      <xdr:col>7</xdr:col>
      <xdr:colOff>40821</xdr:colOff>
      <xdr:row>37</xdr:row>
      <xdr:rowOff>1320411</xdr:rowOff>
    </xdr:to>
    <xdr:pic>
      <xdr:nvPicPr>
        <xdr:cNvPr id="30" name="Imagen 29">
          <a:extLst>
            <a:ext uri="{FF2B5EF4-FFF2-40B4-BE49-F238E27FC236}">
              <a16:creationId xmlns:a16="http://schemas.microsoft.com/office/drawing/2014/main" id="{32865E05-F7A7-42F3-832F-3F5F02C7ED65}"/>
            </a:ext>
          </a:extLst>
        </xdr:cNvPr>
        <xdr:cNvPicPr>
          <a:picLocks noChangeAspect="1"/>
        </xdr:cNvPicPr>
      </xdr:nvPicPr>
      <xdr:blipFill>
        <a:blip xmlns:r="http://schemas.openxmlformats.org/officeDocument/2006/relationships" r:embed="rId29"/>
        <a:stretch>
          <a:fillRect/>
        </a:stretch>
      </xdr:blipFill>
      <xdr:spPr>
        <a:xfrm>
          <a:off x="9363878" y="70222027"/>
          <a:ext cx="1668793" cy="1154759"/>
        </a:xfrm>
        <a:prstGeom prst="rect">
          <a:avLst/>
        </a:prstGeom>
      </xdr:spPr>
    </xdr:pic>
    <xdr:clientData/>
  </xdr:twoCellAnchor>
  <xdr:twoCellAnchor editAs="oneCell">
    <xdr:from>
      <xdr:col>6</xdr:col>
      <xdr:colOff>236178</xdr:colOff>
      <xdr:row>38</xdr:row>
      <xdr:rowOff>121157</xdr:rowOff>
    </xdr:from>
    <xdr:to>
      <xdr:col>6</xdr:col>
      <xdr:colOff>1687286</xdr:colOff>
      <xdr:row>38</xdr:row>
      <xdr:rowOff>1551215</xdr:rowOff>
    </xdr:to>
    <xdr:pic>
      <xdr:nvPicPr>
        <xdr:cNvPr id="31" name="Imagen 30">
          <a:extLst>
            <a:ext uri="{FF2B5EF4-FFF2-40B4-BE49-F238E27FC236}">
              <a16:creationId xmlns:a16="http://schemas.microsoft.com/office/drawing/2014/main" id="{6DD022E8-DF4F-4BDC-8C9F-5D89964579F6}"/>
            </a:ext>
          </a:extLst>
        </xdr:cNvPr>
        <xdr:cNvPicPr>
          <a:picLocks noChangeAspect="1"/>
        </xdr:cNvPicPr>
      </xdr:nvPicPr>
      <xdr:blipFill rotWithShape="1">
        <a:blip xmlns:r="http://schemas.openxmlformats.org/officeDocument/2006/relationships" r:embed="rId30"/>
        <a:srcRect r="17406"/>
        <a:stretch/>
      </xdr:blipFill>
      <xdr:spPr>
        <a:xfrm>
          <a:off x="9418278" y="71796782"/>
          <a:ext cx="1451108" cy="1430058"/>
        </a:xfrm>
        <a:prstGeom prst="rect">
          <a:avLst/>
        </a:prstGeom>
      </xdr:spPr>
    </xdr:pic>
    <xdr:clientData/>
  </xdr:twoCellAnchor>
  <xdr:twoCellAnchor editAs="oneCell">
    <xdr:from>
      <xdr:col>6</xdr:col>
      <xdr:colOff>233885</xdr:colOff>
      <xdr:row>39</xdr:row>
      <xdr:rowOff>177682</xdr:rowOff>
    </xdr:from>
    <xdr:to>
      <xdr:col>6</xdr:col>
      <xdr:colOff>1700893</xdr:colOff>
      <xdr:row>39</xdr:row>
      <xdr:rowOff>1387930</xdr:rowOff>
    </xdr:to>
    <xdr:pic>
      <xdr:nvPicPr>
        <xdr:cNvPr id="32" name="Imagen 31">
          <a:extLst>
            <a:ext uri="{FF2B5EF4-FFF2-40B4-BE49-F238E27FC236}">
              <a16:creationId xmlns:a16="http://schemas.microsoft.com/office/drawing/2014/main" id="{A5392576-E3D1-45DA-AEDD-3579CE54214A}"/>
            </a:ext>
          </a:extLst>
        </xdr:cNvPr>
        <xdr:cNvPicPr>
          <a:picLocks noChangeAspect="1"/>
        </xdr:cNvPicPr>
      </xdr:nvPicPr>
      <xdr:blipFill>
        <a:blip xmlns:r="http://schemas.openxmlformats.org/officeDocument/2006/relationships" r:embed="rId31"/>
        <a:stretch>
          <a:fillRect/>
        </a:stretch>
      </xdr:blipFill>
      <xdr:spPr>
        <a:xfrm>
          <a:off x="9415985" y="73472557"/>
          <a:ext cx="1467008" cy="1210248"/>
        </a:xfrm>
        <a:prstGeom prst="rect">
          <a:avLst/>
        </a:prstGeom>
      </xdr:spPr>
    </xdr:pic>
    <xdr:clientData/>
  </xdr:twoCellAnchor>
  <xdr:twoCellAnchor editAs="oneCell">
    <xdr:from>
      <xdr:col>6</xdr:col>
      <xdr:colOff>288312</xdr:colOff>
      <xdr:row>40</xdr:row>
      <xdr:rowOff>163286</xdr:rowOff>
    </xdr:from>
    <xdr:to>
      <xdr:col>6</xdr:col>
      <xdr:colOff>1687286</xdr:colOff>
      <xdr:row>40</xdr:row>
      <xdr:rowOff>1374322</xdr:rowOff>
    </xdr:to>
    <xdr:pic>
      <xdr:nvPicPr>
        <xdr:cNvPr id="33" name="Imagen 32">
          <a:extLst>
            <a:ext uri="{FF2B5EF4-FFF2-40B4-BE49-F238E27FC236}">
              <a16:creationId xmlns:a16="http://schemas.microsoft.com/office/drawing/2014/main" id="{E9FB0370-C2DF-42FB-890B-878AE94CC116}"/>
            </a:ext>
          </a:extLst>
        </xdr:cNvPr>
        <xdr:cNvPicPr>
          <a:picLocks noChangeAspect="1"/>
        </xdr:cNvPicPr>
      </xdr:nvPicPr>
      <xdr:blipFill rotWithShape="1">
        <a:blip xmlns:r="http://schemas.openxmlformats.org/officeDocument/2006/relationships" r:embed="rId32"/>
        <a:srcRect t="8801"/>
        <a:stretch/>
      </xdr:blipFill>
      <xdr:spPr>
        <a:xfrm>
          <a:off x="9470412" y="75077411"/>
          <a:ext cx="1398974" cy="1211036"/>
        </a:xfrm>
        <a:prstGeom prst="rect">
          <a:avLst/>
        </a:prstGeom>
      </xdr:spPr>
    </xdr:pic>
    <xdr:clientData/>
  </xdr:twoCellAnchor>
  <xdr:twoCellAnchor editAs="oneCell">
    <xdr:from>
      <xdr:col>6</xdr:col>
      <xdr:colOff>316712</xdr:colOff>
      <xdr:row>41</xdr:row>
      <xdr:rowOff>218502</xdr:rowOff>
    </xdr:from>
    <xdr:to>
      <xdr:col>6</xdr:col>
      <xdr:colOff>1741714</xdr:colOff>
      <xdr:row>41</xdr:row>
      <xdr:rowOff>1428750</xdr:rowOff>
    </xdr:to>
    <xdr:pic>
      <xdr:nvPicPr>
        <xdr:cNvPr id="34" name="Imagen 33">
          <a:extLst>
            <a:ext uri="{FF2B5EF4-FFF2-40B4-BE49-F238E27FC236}">
              <a16:creationId xmlns:a16="http://schemas.microsoft.com/office/drawing/2014/main" id="{FC6E08AF-0B2F-44FF-8051-0C0BCBC0AD2D}"/>
            </a:ext>
          </a:extLst>
        </xdr:cNvPr>
        <xdr:cNvPicPr>
          <a:picLocks noChangeAspect="1"/>
        </xdr:cNvPicPr>
      </xdr:nvPicPr>
      <xdr:blipFill>
        <a:blip xmlns:r="http://schemas.openxmlformats.org/officeDocument/2006/relationships" r:embed="rId33"/>
        <a:stretch>
          <a:fillRect/>
        </a:stretch>
      </xdr:blipFill>
      <xdr:spPr>
        <a:xfrm>
          <a:off x="9498812" y="76751877"/>
          <a:ext cx="1425002" cy="1210248"/>
        </a:xfrm>
        <a:prstGeom prst="rect">
          <a:avLst/>
        </a:prstGeom>
      </xdr:spPr>
    </xdr:pic>
    <xdr:clientData/>
  </xdr:twoCellAnchor>
  <xdr:twoCellAnchor editAs="oneCell">
    <xdr:from>
      <xdr:col>6</xdr:col>
      <xdr:colOff>207065</xdr:colOff>
      <xdr:row>42</xdr:row>
      <xdr:rowOff>218502</xdr:rowOff>
    </xdr:from>
    <xdr:to>
      <xdr:col>6</xdr:col>
      <xdr:colOff>1728107</xdr:colOff>
      <xdr:row>42</xdr:row>
      <xdr:rowOff>1455965</xdr:rowOff>
    </xdr:to>
    <xdr:pic>
      <xdr:nvPicPr>
        <xdr:cNvPr id="35" name="Imagen 34">
          <a:extLst>
            <a:ext uri="{FF2B5EF4-FFF2-40B4-BE49-F238E27FC236}">
              <a16:creationId xmlns:a16="http://schemas.microsoft.com/office/drawing/2014/main" id="{B6E082D7-24E0-47FB-B90F-5C43929656F0}"/>
            </a:ext>
          </a:extLst>
        </xdr:cNvPr>
        <xdr:cNvPicPr>
          <a:picLocks noChangeAspect="1"/>
        </xdr:cNvPicPr>
      </xdr:nvPicPr>
      <xdr:blipFill>
        <a:blip xmlns:r="http://schemas.openxmlformats.org/officeDocument/2006/relationships" r:embed="rId34"/>
        <a:stretch>
          <a:fillRect/>
        </a:stretch>
      </xdr:blipFill>
      <xdr:spPr>
        <a:xfrm>
          <a:off x="9389165" y="78371127"/>
          <a:ext cx="1521042" cy="1237463"/>
        </a:xfrm>
        <a:prstGeom prst="rect">
          <a:avLst/>
        </a:prstGeom>
      </xdr:spPr>
    </xdr:pic>
    <xdr:clientData/>
  </xdr:twoCellAnchor>
  <xdr:twoCellAnchor editAs="oneCell">
    <xdr:from>
      <xdr:col>6</xdr:col>
      <xdr:colOff>258536</xdr:colOff>
      <xdr:row>45</xdr:row>
      <xdr:rowOff>404244</xdr:rowOff>
    </xdr:from>
    <xdr:to>
      <xdr:col>6</xdr:col>
      <xdr:colOff>1632857</xdr:colOff>
      <xdr:row>45</xdr:row>
      <xdr:rowOff>1945821</xdr:rowOff>
    </xdr:to>
    <xdr:pic>
      <xdr:nvPicPr>
        <xdr:cNvPr id="36" name="Imagen 35">
          <a:extLst>
            <a:ext uri="{FF2B5EF4-FFF2-40B4-BE49-F238E27FC236}">
              <a16:creationId xmlns:a16="http://schemas.microsoft.com/office/drawing/2014/main" id="{D3BC8355-A8E8-4E38-A68E-70696BF38F30}"/>
            </a:ext>
          </a:extLst>
        </xdr:cNvPr>
        <xdr:cNvPicPr>
          <a:picLocks noChangeAspect="1"/>
        </xdr:cNvPicPr>
      </xdr:nvPicPr>
      <xdr:blipFill>
        <a:blip xmlns:r="http://schemas.openxmlformats.org/officeDocument/2006/relationships" r:embed="rId35"/>
        <a:stretch>
          <a:fillRect/>
        </a:stretch>
      </xdr:blipFill>
      <xdr:spPr>
        <a:xfrm>
          <a:off x="9440636" y="83414619"/>
          <a:ext cx="1374321" cy="1541577"/>
        </a:xfrm>
        <a:prstGeom prst="rect">
          <a:avLst/>
        </a:prstGeom>
      </xdr:spPr>
    </xdr:pic>
    <xdr:clientData/>
  </xdr:twoCellAnchor>
  <xdr:twoCellAnchor editAs="oneCell">
    <xdr:from>
      <xdr:col>6</xdr:col>
      <xdr:colOff>143564</xdr:colOff>
      <xdr:row>46</xdr:row>
      <xdr:rowOff>170089</xdr:rowOff>
    </xdr:from>
    <xdr:to>
      <xdr:col>6</xdr:col>
      <xdr:colOff>1741714</xdr:colOff>
      <xdr:row>46</xdr:row>
      <xdr:rowOff>1270248</xdr:rowOff>
    </xdr:to>
    <xdr:pic>
      <xdr:nvPicPr>
        <xdr:cNvPr id="37" name="Imagen 36">
          <a:extLst>
            <a:ext uri="{FF2B5EF4-FFF2-40B4-BE49-F238E27FC236}">
              <a16:creationId xmlns:a16="http://schemas.microsoft.com/office/drawing/2014/main" id="{CF0E2377-3901-4C06-AF3B-E3EA48674BEB}"/>
            </a:ext>
          </a:extLst>
        </xdr:cNvPr>
        <xdr:cNvPicPr>
          <a:picLocks noChangeAspect="1"/>
        </xdr:cNvPicPr>
      </xdr:nvPicPr>
      <xdr:blipFill>
        <a:blip xmlns:r="http://schemas.openxmlformats.org/officeDocument/2006/relationships" r:embed="rId36"/>
        <a:stretch>
          <a:fillRect/>
        </a:stretch>
      </xdr:blipFill>
      <xdr:spPr>
        <a:xfrm>
          <a:off x="9325664" y="85647439"/>
          <a:ext cx="1598150" cy="1100159"/>
        </a:xfrm>
        <a:prstGeom prst="rect">
          <a:avLst/>
        </a:prstGeom>
      </xdr:spPr>
    </xdr:pic>
    <xdr:clientData/>
  </xdr:twoCellAnchor>
  <xdr:twoCellAnchor editAs="oneCell">
    <xdr:from>
      <xdr:col>6</xdr:col>
      <xdr:colOff>260276</xdr:colOff>
      <xdr:row>47</xdr:row>
      <xdr:rowOff>272143</xdr:rowOff>
    </xdr:from>
    <xdr:to>
      <xdr:col>6</xdr:col>
      <xdr:colOff>1673678</xdr:colOff>
      <xdr:row>47</xdr:row>
      <xdr:rowOff>1592036</xdr:rowOff>
    </xdr:to>
    <xdr:pic>
      <xdr:nvPicPr>
        <xdr:cNvPr id="38" name="Imagen 37">
          <a:extLst>
            <a:ext uri="{FF2B5EF4-FFF2-40B4-BE49-F238E27FC236}">
              <a16:creationId xmlns:a16="http://schemas.microsoft.com/office/drawing/2014/main" id="{F9D774D4-37AC-4E8E-90B2-7BAEA256DE35}"/>
            </a:ext>
          </a:extLst>
        </xdr:cNvPr>
        <xdr:cNvPicPr>
          <a:picLocks noChangeAspect="1"/>
        </xdr:cNvPicPr>
      </xdr:nvPicPr>
      <xdr:blipFill>
        <a:blip xmlns:r="http://schemas.openxmlformats.org/officeDocument/2006/relationships" r:embed="rId37"/>
        <a:stretch>
          <a:fillRect/>
        </a:stretch>
      </xdr:blipFill>
      <xdr:spPr>
        <a:xfrm>
          <a:off x="9442376" y="87168718"/>
          <a:ext cx="1413402" cy="1319893"/>
        </a:xfrm>
        <a:prstGeom prst="rect">
          <a:avLst/>
        </a:prstGeom>
      </xdr:spPr>
    </xdr:pic>
    <xdr:clientData/>
  </xdr:twoCellAnchor>
  <xdr:twoCellAnchor editAs="oneCell">
    <xdr:from>
      <xdr:col>6</xdr:col>
      <xdr:colOff>322655</xdr:colOff>
      <xdr:row>44</xdr:row>
      <xdr:rowOff>180959</xdr:rowOff>
    </xdr:from>
    <xdr:to>
      <xdr:col>6</xdr:col>
      <xdr:colOff>1698575</xdr:colOff>
      <xdr:row>44</xdr:row>
      <xdr:rowOff>1469573</xdr:rowOff>
    </xdr:to>
    <xdr:pic>
      <xdr:nvPicPr>
        <xdr:cNvPr id="39" name="Imagen 38">
          <a:extLst>
            <a:ext uri="{FF2B5EF4-FFF2-40B4-BE49-F238E27FC236}">
              <a16:creationId xmlns:a16="http://schemas.microsoft.com/office/drawing/2014/main" id="{F24946E1-F2F4-476C-B4E3-0C91C0599C37}"/>
            </a:ext>
          </a:extLst>
        </xdr:cNvPr>
        <xdr:cNvPicPr>
          <a:picLocks noChangeAspect="1"/>
        </xdr:cNvPicPr>
      </xdr:nvPicPr>
      <xdr:blipFill>
        <a:blip xmlns:r="http://schemas.openxmlformats.org/officeDocument/2006/relationships" r:embed="rId38"/>
        <a:stretch>
          <a:fillRect/>
        </a:stretch>
      </xdr:blipFill>
      <xdr:spPr>
        <a:xfrm>
          <a:off x="9504755" y="81572084"/>
          <a:ext cx="1375920" cy="1288614"/>
        </a:xfrm>
        <a:prstGeom prst="rect">
          <a:avLst/>
        </a:prstGeom>
      </xdr:spPr>
    </xdr:pic>
    <xdr:clientData/>
  </xdr:twoCellAnchor>
  <xdr:twoCellAnchor editAs="oneCell">
    <xdr:from>
      <xdr:col>6</xdr:col>
      <xdr:colOff>116386</xdr:colOff>
      <xdr:row>51</xdr:row>
      <xdr:rowOff>151057</xdr:rowOff>
    </xdr:from>
    <xdr:to>
      <xdr:col>6</xdr:col>
      <xdr:colOff>1687285</xdr:colOff>
      <xdr:row>51</xdr:row>
      <xdr:rowOff>1578428</xdr:rowOff>
    </xdr:to>
    <xdr:pic>
      <xdr:nvPicPr>
        <xdr:cNvPr id="40" name="Imagen 39">
          <a:extLst>
            <a:ext uri="{FF2B5EF4-FFF2-40B4-BE49-F238E27FC236}">
              <a16:creationId xmlns:a16="http://schemas.microsoft.com/office/drawing/2014/main" id="{D81EDB23-FE7E-458F-84ED-519E959851A0}"/>
            </a:ext>
          </a:extLst>
        </xdr:cNvPr>
        <xdr:cNvPicPr>
          <a:picLocks noChangeAspect="1"/>
        </xdr:cNvPicPr>
      </xdr:nvPicPr>
      <xdr:blipFill rotWithShape="1">
        <a:blip xmlns:r="http://schemas.openxmlformats.org/officeDocument/2006/relationships" r:embed="rId39"/>
        <a:srcRect b="8181"/>
        <a:stretch/>
      </xdr:blipFill>
      <xdr:spPr>
        <a:xfrm>
          <a:off x="9298486" y="93429382"/>
          <a:ext cx="1570899" cy="1427371"/>
        </a:xfrm>
        <a:prstGeom prst="rect">
          <a:avLst/>
        </a:prstGeom>
      </xdr:spPr>
    </xdr:pic>
    <xdr:clientData/>
  </xdr:twoCellAnchor>
  <xdr:twoCellAnchor editAs="oneCell">
    <xdr:from>
      <xdr:col>6</xdr:col>
      <xdr:colOff>176893</xdr:colOff>
      <xdr:row>52</xdr:row>
      <xdr:rowOff>0</xdr:rowOff>
    </xdr:from>
    <xdr:to>
      <xdr:col>6</xdr:col>
      <xdr:colOff>1700893</xdr:colOff>
      <xdr:row>52</xdr:row>
      <xdr:rowOff>1577659</xdr:rowOff>
    </xdr:to>
    <xdr:pic>
      <xdr:nvPicPr>
        <xdr:cNvPr id="41" name="Imagen 40">
          <a:extLst>
            <a:ext uri="{FF2B5EF4-FFF2-40B4-BE49-F238E27FC236}">
              <a16:creationId xmlns:a16="http://schemas.microsoft.com/office/drawing/2014/main" id="{8877BC6B-6E97-442B-A2B3-BCD11C4B83AA}"/>
            </a:ext>
          </a:extLst>
        </xdr:cNvPr>
        <xdr:cNvPicPr>
          <a:picLocks noChangeAspect="1"/>
        </xdr:cNvPicPr>
      </xdr:nvPicPr>
      <xdr:blipFill>
        <a:blip xmlns:r="http://schemas.openxmlformats.org/officeDocument/2006/relationships" r:embed="rId40"/>
        <a:stretch>
          <a:fillRect/>
        </a:stretch>
      </xdr:blipFill>
      <xdr:spPr>
        <a:xfrm>
          <a:off x="9358993" y="94992825"/>
          <a:ext cx="1524000" cy="1577659"/>
        </a:xfrm>
        <a:prstGeom prst="rect">
          <a:avLst/>
        </a:prstGeom>
      </xdr:spPr>
    </xdr:pic>
    <xdr:clientData/>
  </xdr:twoCellAnchor>
  <xdr:twoCellAnchor editAs="oneCell">
    <xdr:from>
      <xdr:col>6</xdr:col>
      <xdr:colOff>149678</xdr:colOff>
      <xdr:row>52</xdr:row>
      <xdr:rowOff>184803</xdr:rowOff>
    </xdr:from>
    <xdr:to>
      <xdr:col>6</xdr:col>
      <xdr:colOff>1700893</xdr:colOff>
      <xdr:row>52</xdr:row>
      <xdr:rowOff>1401534</xdr:rowOff>
    </xdr:to>
    <xdr:pic>
      <xdr:nvPicPr>
        <xdr:cNvPr id="42" name="Imagen 41">
          <a:extLst>
            <a:ext uri="{FF2B5EF4-FFF2-40B4-BE49-F238E27FC236}">
              <a16:creationId xmlns:a16="http://schemas.microsoft.com/office/drawing/2014/main" id="{240F6BD0-5851-4E5A-BBE8-D750CB392184}"/>
            </a:ext>
          </a:extLst>
        </xdr:cNvPr>
        <xdr:cNvPicPr>
          <a:picLocks noChangeAspect="1"/>
        </xdr:cNvPicPr>
      </xdr:nvPicPr>
      <xdr:blipFill>
        <a:blip xmlns:r="http://schemas.openxmlformats.org/officeDocument/2006/relationships" r:embed="rId41"/>
        <a:stretch>
          <a:fillRect/>
        </a:stretch>
      </xdr:blipFill>
      <xdr:spPr>
        <a:xfrm>
          <a:off x="9331778" y="95177628"/>
          <a:ext cx="1551215" cy="1216731"/>
        </a:xfrm>
        <a:prstGeom prst="rect">
          <a:avLst/>
        </a:prstGeom>
      </xdr:spPr>
    </xdr:pic>
    <xdr:clientData/>
  </xdr:twoCellAnchor>
  <xdr:twoCellAnchor editAs="oneCell">
    <xdr:from>
      <xdr:col>6</xdr:col>
      <xdr:colOff>290833</xdr:colOff>
      <xdr:row>53</xdr:row>
      <xdr:rowOff>136070</xdr:rowOff>
    </xdr:from>
    <xdr:to>
      <xdr:col>6</xdr:col>
      <xdr:colOff>1483179</xdr:colOff>
      <xdr:row>53</xdr:row>
      <xdr:rowOff>1584265</xdr:rowOff>
    </xdr:to>
    <xdr:pic>
      <xdr:nvPicPr>
        <xdr:cNvPr id="43" name="Imagen 42">
          <a:extLst>
            <a:ext uri="{FF2B5EF4-FFF2-40B4-BE49-F238E27FC236}">
              <a16:creationId xmlns:a16="http://schemas.microsoft.com/office/drawing/2014/main" id="{15DF0ECF-83A0-4E14-92E2-B0ED2FAB1052}"/>
            </a:ext>
          </a:extLst>
        </xdr:cNvPr>
        <xdr:cNvPicPr>
          <a:picLocks noChangeAspect="1"/>
        </xdr:cNvPicPr>
      </xdr:nvPicPr>
      <xdr:blipFill rotWithShape="1">
        <a:blip xmlns:r="http://schemas.openxmlformats.org/officeDocument/2006/relationships" r:embed="rId42"/>
        <a:srcRect b="7832"/>
        <a:stretch/>
      </xdr:blipFill>
      <xdr:spPr>
        <a:xfrm>
          <a:off x="9472933" y="96729095"/>
          <a:ext cx="1192346" cy="1448195"/>
        </a:xfrm>
        <a:prstGeom prst="rect">
          <a:avLst/>
        </a:prstGeom>
      </xdr:spPr>
    </xdr:pic>
    <xdr:clientData/>
  </xdr:twoCellAnchor>
  <xdr:twoCellAnchor editAs="oneCell">
    <xdr:from>
      <xdr:col>6</xdr:col>
      <xdr:colOff>317106</xdr:colOff>
      <xdr:row>54</xdr:row>
      <xdr:rowOff>108857</xdr:rowOff>
    </xdr:from>
    <xdr:to>
      <xdr:col>6</xdr:col>
      <xdr:colOff>1755322</xdr:colOff>
      <xdr:row>54</xdr:row>
      <xdr:rowOff>1483494</xdr:rowOff>
    </xdr:to>
    <xdr:pic>
      <xdr:nvPicPr>
        <xdr:cNvPr id="44" name="Imagen 43">
          <a:extLst>
            <a:ext uri="{FF2B5EF4-FFF2-40B4-BE49-F238E27FC236}">
              <a16:creationId xmlns:a16="http://schemas.microsoft.com/office/drawing/2014/main" id="{6733C94E-BCDF-48A8-850D-A30CDEACA8A8}"/>
            </a:ext>
          </a:extLst>
        </xdr:cNvPr>
        <xdr:cNvPicPr>
          <a:picLocks noChangeAspect="1"/>
        </xdr:cNvPicPr>
      </xdr:nvPicPr>
      <xdr:blipFill>
        <a:blip xmlns:r="http://schemas.openxmlformats.org/officeDocument/2006/relationships" r:embed="rId43"/>
        <a:stretch>
          <a:fillRect/>
        </a:stretch>
      </xdr:blipFill>
      <xdr:spPr>
        <a:xfrm>
          <a:off x="9499206" y="98302082"/>
          <a:ext cx="1438216" cy="1374637"/>
        </a:xfrm>
        <a:prstGeom prst="rect">
          <a:avLst/>
        </a:prstGeom>
      </xdr:spPr>
    </xdr:pic>
    <xdr:clientData/>
  </xdr:twoCellAnchor>
  <xdr:twoCellAnchor editAs="oneCell">
    <xdr:from>
      <xdr:col>6</xdr:col>
      <xdr:colOff>122466</xdr:colOff>
      <xdr:row>55</xdr:row>
      <xdr:rowOff>312965</xdr:rowOff>
    </xdr:from>
    <xdr:to>
      <xdr:col>7</xdr:col>
      <xdr:colOff>13608</xdr:colOff>
      <xdr:row>55</xdr:row>
      <xdr:rowOff>1333501</xdr:rowOff>
    </xdr:to>
    <xdr:pic>
      <xdr:nvPicPr>
        <xdr:cNvPr id="45" name="Imagen 44">
          <a:extLst>
            <a:ext uri="{FF2B5EF4-FFF2-40B4-BE49-F238E27FC236}">
              <a16:creationId xmlns:a16="http://schemas.microsoft.com/office/drawing/2014/main" id="{BD358780-374F-40E2-B702-412F535DBA5C}"/>
            </a:ext>
          </a:extLst>
        </xdr:cNvPr>
        <xdr:cNvPicPr>
          <a:picLocks noChangeAspect="1"/>
        </xdr:cNvPicPr>
      </xdr:nvPicPr>
      <xdr:blipFill rotWithShape="1">
        <a:blip xmlns:r="http://schemas.openxmlformats.org/officeDocument/2006/relationships" r:embed="rId44"/>
        <a:srcRect l="7226" t="15044" r="14896" b="15249"/>
        <a:stretch/>
      </xdr:blipFill>
      <xdr:spPr>
        <a:xfrm>
          <a:off x="9304566" y="100106390"/>
          <a:ext cx="1700892" cy="1020536"/>
        </a:xfrm>
        <a:prstGeom prst="rect">
          <a:avLst/>
        </a:prstGeom>
      </xdr:spPr>
    </xdr:pic>
    <xdr:clientData/>
  </xdr:twoCellAnchor>
  <xdr:twoCellAnchor editAs="oneCell">
    <xdr:from>
      <xdr:col>6</xdr:col>
      <xdr:colOff>198726</xdr:colOff>
      <xdr:row>57</xdr:row>
      <xdr:rowOff>110435</xdr:rowOff>
    </xdr:from>
    <xdr:to>
      <xdr:col>6</xdr:col>
      <xdr:colOff>1755322</xdr:colOff>
      <xdr:row>57</xdr:row>
      <xdr:rowOff>1360715</xdr:rowOff>
    </xdr:to>
    <xdr:pic>
      <xdr:nvPicPr>
        <xdr:cNvPr id="46" name="Imagen 45">
          <a:extLst>
            <a:ext uri="{FF2B5EF4-FFF2-40B4-BE49-F238E27FC236}">
              <a16:creationId xmlns:a16="http://schemas.microsoft.com/office/drawing/2014/main" id="{0B5A734D-5C5F-4D05-8E7B-D96F1B4352F1}"/>
            </a:ext>
          </a:extLst>
        </xdr:cNvPr>
        <xdr:cNvPicPr>
          <a:picLocks noChangeAspect="1"/>
        </xdr:cNvPicPr>
      </xdr:nvPicPr>
      <xdr:blipFill>
        <a:blip xmlns:r="http://schemas.openxmlformats.org/officeDocument/2006/relationships" r:embed="rId45"/>
        <a:stretch>
          <a:fillRect/>
        </a:stretch>
      </xdr:blipFill>
      <xdr:spPr>
        <a:xfrm>
          <a:off x="9380826" y="102961385"/>
          <a:ext cx="1556596" cy="1250280"/>
        </a:xfrm>
        <a:prstGeom prst="rect">
          <a:avLst/>
        </a:prstGeom>
      </xdr:spPr>
    </xdr:pic>
    <xdr:clientData/>
  </xdr:twoCellAnchor>
  <xdr:twoCellAnchor editAs="oneCell">
    <xdr:from>
      <xdr:col>6</xdr:col>
      <xdr:colOff>132236</xdr:colOff>
      <xdr:row>58</xdr:row>
      <xdr:rowOff>163286</xdr:rowOff>
    </xdr:from>
    <xdr:to>
      <xdr:col>6</xdr:col>
      <xdr:colOff>1741714</xdr:colOff>
      <xdr:row>58</xdr:row>
      <xdr:rowOff>1755321</xdr:rowOff>
    </xdr:to>
    <xdr:pic>
      <xdr:nvPicPr>
        <xdr:cNvPr id="47" name="Imagen 46">
          <a:extLst>
            <a:ext uri="{FF2B5EF4-FFF2-40B4-BE49-F238E27FC236}">
              <a16:creationId xmlns:a16="http://schemas.microsoft.com/office/drawing/2014/main" id="{C5ADC7B7-9A79-4728-B009-F17198B6D6B5}"/>
            </a:ext>
          </a:extLst>
        </xdr:cNvPr>
        <xdr:cNvPicPr>
          <a:picLocks noChangeAspect="1"/>
        </xdr:cNvPicPr>
      </xdr:nvPicPr>
      <xdr:blipFill>
        <a:blip xmlns:r="http://schemas.openxmlformats.org/officeDocument/2006/relationships" r:embed="rId46"/>
        <a:stretch>
          <a:fillRect/>
        </a:stretch>
      </xdr:blipFill>
      <xdr:spPr>
        <a:xfrm>
          <a:off x="9314336" y="104471561"/>
          <a:ext cx="1609478" cy="1592035"/>
        </a:xfrm>
        <a:prstGeom prst="rect">
          <a:avLst/>
        </a:prstGeom>
      </xdr:spPr>
    </xdr:pic>
    <xdr:clientData/>
  </xdr:twoCellAnchor>
  <xdr:twoCellAnchor editAs="oneCell">
    <xdr:from>
      <xdr:col>6</xdr:col>
      <xdr:colOff>231321</xdr:colOff>
      <xdr:row>59</xdr:row>
      <xdr:rowOff>124238</xdr:rowOff>
    </xdr:from>
    <xdr:to>
      <xdr:col>6</xdr:col>
      <xdr:colOff>1768928</xdr:colOff>
      <xdr:row>59</xdr:row>
      <xdr:rowOff>1316980</xdr:rowOff>
    </xdr:to>
    <xdr:pic>
      <xdr:nvPicPr>
        <xdr:cNvPr id="48" name="Imagen 47">
          <a:extLst>
            <a:ext uri="{FF2B5EF4-FFF2-40B4-BE49-F238E27FC236}">
              <a16:creationId xmlns:a16="http://schemas.microsoft.com/office/drawing/2014/main" id="{C42F4DF6-7509-44DF-9B45-91AC0B933F26}"/>
            </a:ext>
          </a:extLst>
        </xdr:cNvPr>
        <xdr:cNvPicPr>
          <a:picLocks noChangeAspect="1"/>
        </xdr:cNvPicPr>
      </xdr:nvPicPr>
      <xdr:blipFill rotWithShape="1">
        <a:blip xmlns:r="http://schemas.openxmlformats.org/officeDocument/2006/relationships" r:embed="rId47"/>
        <a:srcRect l="4926"/>
        <a:stretch/>
      </xdr:blipFill>
      <xdr:spPr>
        <a:xfrm>
          <a:off x="9413421" y="106423238"/>
          <a:ext cx="1537607" cy="1192742"/>
        </a:xfrm>
        <a:prstGeom prst="rect">
          <a:avLst/>
        </a:prstGeom>
      </xdr:spPr>
    </xdr:pic>
    <xdr:clientData/>
  </xdr:twoCellAnchor>
  <xdr:twoCellAnchor editAs="oneCell">
    <xdr:from>
      <xdr:col>6</xdr:col>
      <xdr:colOff>146272</xdr:colOff>
      <xdr:row>60</xdr:row>
      <xdr:rowOff>160571</xdr:rowOff>
    </xdr:from>
    <xdr:to>
      <xdr:col>6</xdr:col>
      <xdr:colOff>1741715</xdr:colOff>
      <xdr:row>60</xdr:row>
      <xdr:rowOff>1706924</xdr:rowOff>
    </xdr:to>
    <xdr:pic>
      <xdr:nvPicPr>
        <xdr:cNvPr id="49" name="Imagen 48">
          <a:extLst>
            <a:ext uri="{FF2B5EF4-FFF2-40B4-BE49-F238E27FC236}">
              <a16:creationId xmlns:a16="http://schemas.microsoft.com/office/drawing/2014/main" id="{C5D1761E-EFDC-49F5-844D-662304E788FD}"/>
            </a:ext>
          </a:extLst>
        </xdr:cNvPr>
        <xdr:cNvPicPr>
          <a:picLocks noChangeAspect="1"/>
        </xdr:cNvPicPr>
      </xdr:nvPicPr>
      <xdr:blipFill>
        <a:blip xmlns:r="http://schemas.openxmlformats.org/officeDocument/2006/relationships" r:embed="rId48"/>
        <a:stretch>
          <a:fillRect/>
        </a:stretch>
      </xdr:blipFill>
      <xdr:spPr>
        <a:xfrm>
          <a:off x="9328372" y="107916896"/>
          <a:ext cx="1595443" cy="1546353"/>
        </a:xfrm>
        <a:prstGeom prst="rect">
          <a:avLst/>
        </a:prstGeom>
      </xdr:spPr>
    </xdr:pic>
    <xdr:clientData/>
  </xdr:twoCellAnchor>
  <xdr:twoCellAnchor editAs="oneCell">
    <xdr:from>
      <xdr:col>6</xdr:col>
      <xdr:colOff>218748</xdr:colOff>
      <xdr:row>61</xdr:row>
      <xdr:rowOff>176893</xdr:rowOff>
    </xdr:from>
    <xdr:to>
      <xdr:col>6</xdr:col>
      <xdr:colOff>1673679</xdr:colOff>
      <xdr:row>61</xdr:row>
      <xdr:rowOff>1292679</xdr:rowOff>
    </xdr:to>
    <xdr:pic>
      <xdr:nvPicPr>
        <xdr:cNvPr id="50" name="Imagen 49">
          <a:extLst>
            <a:ext uri="{FF2B5EF4-FFF2-40B4-BE49-F238E27FC236}">
              <a16:creationId xmlns:a16="http://schemas.microsoft.com/office/drawing/2014/main" id="{2BE033E1-AB6D-4CF4-B7FD-0A7BCF097E77}"/>
            </a:ext>
          </a:extLst>
        </xdr:cNvPr>
        <xdr:cNvPicPr>
          <a:picLocks noChangeAspect="1"/>
        </xdr:cNvPicPr>
      </xdr:nvPicPr>
      <xdr:blipFill>
        <a:blip xmlns:r="http://schemas.openxmlformats.org/officeDocument/2006/relationships" r:embed="rId49"/>
        <a:stretch>
          <a:fillRect/>
        </a:stretch>
      </xdr:blipFill>
      <xdr:spPr>
        <a:xfrm>
          <a:off x="9400848" y="109733443"/>
          <a:ext cx="1454931" cy="1115786"/>
        </a:xfrm>
        <a:prstGeom prst="rect">
          <a:avLst/>
        </a:prstGeom>
      </xdr:spPr>
    </xdr:pic>
    <xdr:clientData/>
  </xdr:twoCellAnchor>
  <xdr:twoCellAnchor editAs="oneCell">
    <xdr:from>
      <xdr:col>6</xdr:col>
      <xdr:colOff>112132</xdr:colOff>
      <xdr:row>62</xdr:row>
      <xdr:rowOff>381001</xdr:rowOff>
    </xdr:from>
    <xdr:to>
      <xdr:col>6</xdr:col>
      <xdr:colOff>1768930</xdr:colOff>
      <xdr:row>62</xdr:row>
      <xdr:rowOff>1609765</xdr:rowOff>
    </xdr:to>
    <xdr:pic>
      <xdr:nvPicPr>
        <xdr:cNvPr id="51" name="Imagen 50">
          <a:extLst>
            <a:ext uri="{FF2B5EF4-FFF2-40B4-BE49-F238E27FC236}">
              <a16:creationId xmlns:a16="http://schemas.microsoft.com/office/drawing/2014/main" id="{DC12C944-4376-4963-B5B5-66E748510702}"/>
            </a:ext>
          </a:extLst>
        </xdr:cNvPr>
        <xdr:cNvPicPr>
          <a:picLocks noChangeAspect="1"/>
        </xdr:cNvPicPr>
      </xdr:nvPicPr>
      <xdr:blipFill>
        <a:blip xmlns:r="http://schemas.openxmlformats.org/officeDocument/2006/relationships" r:embed="rId50"/>
        <a:stretch>
          <a:fillRect/>
        </a:stretch>
      </xdr:blipFill>
      <xdr:spPr>
        <a:xfrm>
          <a:off x="9294232" y="111394876"/>
          <a:ext cx="1656798" cy="1228764"/>
        </a:xfrm>
        <a:prstGeom prst="rect">
          <a:avLst/>
        </a:prstGeom>
      </xdr:spPr>
    </xdr:pic>
    <xdr:clientData/>
  </xdr:twoCellAnchor>
  <xdr:twoCellAnchor editAs="oneCell">
    <xdr:from>
      <xdr:col>6</xdr:col>
      <xdr:colOff>163286</xdr:colOff>
      <xdr:row>16</xdr:row>
      <xdr:rowOff>331372</xdr:rowOff>
    </xdr:from>
    <xdr:to>
      <xdr:col>6</xdr:col>
      <xdr:colOff>1768929</xdr:colOff>
      <xdr:row>16</xdr:row>
      <xdr:rowOff>1471083</xdr:rowOff>
    </xdr:to>
    <xdr:pic>
      <xdr:nvPicPr>
        <xdr:cNvPr id="52" name="Imagen 51">
          <a:extLst>
            <a:ext uri="{FF2B5EF4-FFF2-40B4-BE49-F238E27FC236}">
              <a16:creationId xmlns:a16="http://schemas.microsoft.com/office/drawing/2014/main" id="{C2E88C5B-80E1-4697-B48D-91573F635DFE}"/>
            </a:ext>
          </a:extLst>
        </xdr:cNvPr>
        <xdr:cNvPicPr>
          <a:picLocks noChangeAspect="1"/>
        </xdr:cNvPicPr>
      </xdr:nvPicPr>
      <xdr:blipFill>
        <a:blip xmlns:r="http://schemas.openxmlformats.org/officeDocument/2006/relationships" r:embed="rId51"/>
        <a:stretch>
          <a:fillRect/>
        </a:stretch>
      </xdr:blipFill>
      <xdr:spPr>
        <a:xfrm>
          <a:off x="9345386" y="31097122"/>
          <a:ext cx="1605643" cy="1139711"/>
        </a:xfrm>
        <a:prstGeom prst="rect">
          <a:avLst/>
        </a:prstGeom>
      </xdr:spPr>
    </xdr:pic>
    <xdr:clientData/>
  </xdr:twoCellAnchor>
  <xdr:twoCellAnchor editAs="oneCell">
    <xdr:from>
      <xdr:col>6</xdr:col>
      <xdr:colOff>227974</xdr:colOff>
      <xdr:row>17</xdr:row>
      <xdr:rowOff>585106</xdr:rowOff>
    </xdr:from>
    <xdr:to>
      <xdr:col>7</xdr:col>
      <xdr:colOff>27215</xdr:colOff>
      <xdr:row>17</xdr:row>
      <xdr:rowOff>1717941</xdr:rowOff>
    </xdr:to>
    <xdr:pic>
      <xdr:nvPicPr>
        <xdr:cNvPr id="53" name="Imagen 52">
          <a:extLst>
            <a:ext uri="{FF2B5EF4-FFF2-40B4-BE49-F238E27FC236}">
              <a16:creationId xmlns:a16="http://schemas.microsoft.com/office/drawing/2014/main" id="{F1C857D7-D7D7-4B6E-B286-D2CF34E46A6E}"/>
            </a:ext>
          </a:extLst>
        </xdr:cNvPr>
        <xdr:cNvPicPr>
          <a:picLocks noChangeAspect="1"/>
        </xdr:cNvPicPr>
      </xdr:nvPicPr>
      <xdr:blipFill rotWithShape="1">
        <a:blip xmlns:r="http://schemas.openxmlformats.org/officeDocument/2006/relationships" r:embed="rId52"/>
        <a:srcRect t="15217"/>
        <a:stretch/>
      </xdr:blipFill>
      <xdr:spPr>
        <a:xfrm>
          <a:off x="9410074" y="33493981"/>
          <a:ext cx="1608991" cy="1132835"/>
        </a:xfrm>
        <a:prstGeom prst="rect">
          <a:avLst/>
        </a:prstGeom>
      </xdr:spPr>
    </xdr:pic>
    <xdr:clientData/>
  </xdr:twoCellAnchor>
  <xdr:twoCellAnchor editAs="oneCell">
    <xdr:from>
      <xdr:col>6</xdr:col>
      <xdr:colOff>489858</xdr:colOff>
      <xdr:row>18</xdr:row>
      <xdr:rowOff>666750</xdr:rowOff>
    </xdr:from>
    <xdr:to>
      <xdr:col>7</xdr:col>
      <xdr:colOff>0</xdr:colOff>
      <xdr:row>18</xdr:row>
      <xdr:rowOff>1950970</xdr:rowOff>
    </xdr:to>
    <xdr:pic>
      <xdr:nvPicPr>
        <xdr:cNvPr id="54" name="Imagen 53">
          <a:extLst>
            <a:ext uri="{FF2B5EF4-FFF2-40B4-BE49-F238E27FC236}">
              <a16:creationId xmlns:a16="http://schemas.microsoft.com/office/drawing/2014/main" id="{1D6715F1-D2D4-4FA7-9B2A-9C26DFC0AD66}"/>
            </a:ext>
          </a:extLst>
        </xdr:cNvPr>
        <xdr:cNvPicPr>
          <a:picLocks noChangeAspect="1"/>
        </xdr:cNvPicPr>
      </xdr:nvPicPr>
      <xdr:blipFill rotWithShape="1">
        <a:blip xmlns:r="http://schemas.openxmlformats.org/officeDocument/2006/relationships" r:embed="rId53"/>
        <a:srcRect l="15888" t="12195" r="14953"/>
        <a:stretch/>
      </xdr:blipFill>
      <xdr:spPr>
        <a:xfrm>
          <a:off x="9671958" y="35823525"/>
          <a:ext cx="1319892" cy="1284220"/>
        </a:xfrm>
        <a:prstGeom prst="rect">
          <a:avLst/>
        </a:prstGeom>
      </xdr:spPr>
    </xdr:pic>
    <xdr:clientData/>
  </xdr:twoCellAnchor>
  <xdr:twoCellAnchor editAs="oneCell">
    <xdr:from>
      <xdr:col>6</xdr:col>
      <xdr:colOff>394608</xdr:colOff>
      <xdr:row>19</xdr:row>
      <xdr:rowOff>489857</xdr:rowOff>
    </xdr:from>
    <xdr:to>
      <xdr:col>6</xdr:col>
      <xdr:colOff>1728108</xdr:colOff>
      <xdr:row>19</xdr:row>
      <xdr:rowOff>1756680</xdr:rowOff>
    </xdr:to>
    <xdr:pic>
      <xdr:nvPicPr>
        <xdr:cNvPr id="55" name="Imagen 54">
          <a:extLst>
            <a:ext uri="{FF2B5EF4-FFF2-40B4-BE49-F238E27FC236}">
              <a16:creationId xmlns:a16="http://schemas.microsoft.com/office/drawing/2014/main" id="{C480695B-66F9-4325-BBBD-62814C9F466B}"/>
            </a:ext>
          </a:extLst>
        </xdr:cNvPr>
        <xdr:cNvPicPr>
          <a:picLocks noChangeAspect="1"/>
        </xdr:cNvPicPr>
      </xdr:nvPicPr>
      <xdr:blipFill rotWithShape="1">
        <a:blip xmlns:r="http://schemas.openxmlformats.org/officeDocument/2006/relationships" r:embed="rId54"/>
        <a:srcRect l="11712" t="14540" r="16216" b="17940"/>
        <a:stretch/>
      </xdr:blipFill>
      <xdr:spPr>
        <a:xfrm>
          <a:off x="9576708" y="37894532"/>
          <a:ext cx="1333500" cy="1266823"/>
        </a:xfrm>
        <a:prstGeom prst="rect">
          <a:avLst/>
        </a:prstGeom>
      </xdr:spPr>
    </xdr:pic>
    <xdr:clientData/>
  </xdr:twoCellAnchor>
  <xdr:twoCellAnchor editAs="oneCell">
    <xdr:from>
      <xdr:col>6</xdr:col>
      <xdr:colOff>244928</xdr:colOff>
      <xdr:row>50</xdr:row>
      <xdr:rowOff>163285</xdr:rowOff>
    </xdr:from>
    <xdr:to>
      <xdr:col>6</xdr:col>
      <xdr:colOff>1524001</xdr:colOff>
      <xdr:row>50</xdr:row>
      <xdr:rowOff>1483179</xdr:rowOff>
    </xdr:to>
    <xdr:pic>
      <xdr:nvPicPr>
        <xdr:cNvPr id="56" name="Imagen 55">
          <a:extLst>
            <a:ext uri="{FF2B5EF4-FFF2-40B4-BE49-F238E27FC236}">
              <a16:creationId xmlns:a16="http://schemas.microsoft.com/office/drawing/2014/main" id="{4782F3EA-3ABF-49C2-82FF-CDDF623193A8}"/>
            </a:ext>
          </a:extLst>
        </xdr:cNvPr>
        <xdr:cNvPicPr>
          <a:picLocks noChangeAspect="1" noChangeArrowheads="1"/>
        </xdr:cNvPicPr>
      </xdr:nvPicPr>
      <xdr:blipFill rotWithShape="1">
        <a:blip xmlns:r="http://schemas.openxmlformats.org/officeDocument/2006/relationships" r:embed="rId55" cstate="print">
          <a:extLst>
            <a:ext uri="{28A0092B-C50C-407E-A947-70E740481C1C}">
              <a14:useLocalDpi xmlns:a14="http://schemas.microsoft.com/office/drawing/2010/main" val="0"/>
            </a:ext>
          </a:extLst>
        </a:blip>
        <a:srcRect l="12057" r="11937" b="11225"/>
        <a:stretch/>
      </xdr:blipFill>
      <xdr:spPr bwMode="auto">
        <a:xfrm>
          <a:off x="9427028" y="91774735"/>
          <a:ext cx="1279073" cy="13198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381000</xdr:colOff>
      <xdr:row>48</xdr:row>
      <xdr:rowOff>258536</xdr:rowOff>
    </xdr:from>
    <xdr:to>
      <xdr:col>6</xdr:col>
      <xdr:colOff>1455965</xdr:colOff>
      <xdr:row>48</xdr:row>
      <xdr:rowOff>1455964</xdr:rowOff>
    </xdr:to>
    <xdr:pic>
      <xdr:nvPicPr>
        <xdr:cNvPr id="57" name="Imagen 56">
          <a:extLst>
            <a:ext uri="{FF2B5EF4-FFF2-40B4-BE49-F238E27FC236}">
              <a16:creationId xmlns:a16="http://schemas.microsoft.com/office/drawing/2014/main" id="{0AD832FA-6D0B-4170-8013-ED1E120A467E}"/>
            </a:ext>
          </a:extLst>
        </xdr:cNvPr>
        <xdr:cNvPicPr>
          <a:picLocks noChangeAspect="1"/>
        </xdr:cNvPicPr>
      </xdr:nvPicPr>
      <xdr:blipFill>
        <a:blip xmlns:r="http://schemas.openxmlformats.org/officeDocument/2006/relationships" r:embed="rId56"/>
        <a:stretch>
          <a:fillRect/>
        </a:stretch>
      </xdr:blipFill>
      <xdr:spPr>
        <a:xfrm>
          <a:off x="9563100" y="88917236"/>
          <a:ext cx="1074965" cy="1197428"/>
        </a:xfrm>
        <a:prstGeom prst="rect">
          <a:avLst/>
        </a:prstGeom>
      </xdr:spPr>
    </xdr:pic>
    <xdr:clientData/>
  </xdr:twoCellAnchor>
  <xdr:twoCellAnchor editAs="oneCell">
    <xdr:from>
      <xdr:col>6</xdr:col>
      <xdr:colOff>408214</xdr:colOff>
      <xdr:row>49</xdr:row>
      <xdr:rowOff>40822</xdr:rowOff>
    </xdr:from>
    <xdr:to>
      <xdr:col>6</xdr:col>
      <xdr:colOff>1442357</xdr:colOff>
      <xdr:row>49</xdr:row>
      <xdr:rowOff>1347107</xdr:rowOff>
    </xdr:to>
    <xdr:pic>
      <xdr:nvPicPr>
        <xdr:cNvPr id="58" name="Imagen 57">
          <a:extLst>
            <a:ext uri="{FF2B5EF4-FFF2-40B4-BE49-F238E27FC236}">
              <a16:creationId xmlns:a16="http://schemas.microsoft.com/office/drawing/2014/main" id="{913CC6A5-2ED9-4AF7-B64C-7BCF565D6D4F}"/>
            </a:ext>
          </a:extLst>
        </xdr:cNvPr>
        <xdr:cNvPicPr>
          <a:picLocks noChangeAspect="1"/>
        </xdr:cNvPicPr>
      </xdr:nvPicPr>
      <xdr:blipFill>
        <a:blip xmlns:r="http://schemas.openxmlformats.org/officeDocument/2006/relationships" r:embed="rId56"/>
        <a:stretch>
          <a:fillRect/>
        </a:stretch>
      </xdr:blipFill>
      <xdr:spPr>
        <a:xfrm>
          <a:off x="9590314" y="90271147"/>
          <a:ext cx="1034143" cy="1306285"/>
        </a:xfrm>
        <a:prstGeom prst="rect">
          <a:avLst/>
        </a:prstGeom>
      </xdr:spPr>
    </xdr:pic>
    <xdr:clientData/>
  </xdr:twoCellAnchor>
  <xdr:twoCellAnchor>
    <xdr:from>
      <xdr:col>6</xdr:col>
      <xdr:colOff>312963</xdr:colOff>
      <xdr:row>43</xdr:row>
      <xdr:rowOff>272143</xdr:rowOff>
    </xdr:from>
    <xdr:to>
      <xdr:col>6</xdr:col>
      <xdr:colOff>1728106</xdr:colOff>
      <xdr:row>43</xdr:row>
      <xdr:rowOff>1338943</xdr:rowOff>
    </xdr:to>
    <xdr:pic>
      <xdr:nvPicPr>
        <xdr:cNvPr id="59" name="Imagen 229">
          <a:extLst>
            <a:ext uri="{FF2B5EF4-FFF2-40B4-BE49-F238E27FC236}">
              <a16:creationId xmlns:a16="http://schemas.microsoft.com/office/drawing/2014/main" id="{AC648832-70A9-4D2D-A8CC-0B6F56BBC7C1}"/>
            </a:ext>
          </a:extLst>
        </xdr:cNvPr>
        <xdr:cNvPicPr>
          <a:picLocks noChangeAspect="1" noChangeArrowheads="1"/>
        </xdr:cNvPicPr>
      </xdr:nvPicPr>
      <xdr:blipFill>
        <a:blip xmlns:r="http://schemas.openxmlformats.org/officeDocument/2006/relationships" r:embed="rId57" cstate="print">
          <a:extLst>
            <a:ext uri="{28A0092B-C50C-407E-A947-70E740481C1C}">
              <a14:useLocalDpi xmlns:a14="http://schemas.microsoft.com/office/drawing/2010/main" val="0"/>
            </a:ext>
          </a:extLst>
        </a:blip>
        <a:srcRect/>
        <a:stretch>
          <a:fillRect/>
        </a:stretch>
      </xdr:blipFill>
      <xdr:spPr bwMode="auto">
        <a:xfrm>
          <a:off x="9495063" y="80044018"/>
          <a:ext cx="1415143" cy="106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204107</xdr:colOff>
      <xdr:row>24</xdr:row>
      <xdr:rowOff>149679</xdr:rowOff>
    </xdr:from>
    <xdr:to>
      <xdr:col>6</xdr:col>
      <xdr:colOff>1646007</xdr:colOff>
      <xdr:row>24</xdr:row>
      <xdr:rowOff>1442357</xdr:rowOff>
    </xdr:to>
    <xdr:pic>
      <xdr:nvPicPr>
        <xdr:cNvPr id="60" name="Imagen 59">
          <a:extLst>
            <a:ext uri="{FF2B5EF4-FFF2-40B4-BE49-F238E27FC236}">
              <a16:creationId xmlns:a16="http://schemas.microsoft.com/office/drawing/2014/main" id="{F2864E5B-CF5D-4078-BF0C-8013218E6CE8}"/>
            </a:ext>
          </a:extLst>
        </xdr:cNvPr>
        <xdr:cNvPicPr>
          <a:picLocks noChangeAspect="1" noChangeArrowheads="1"/>
        </xdr:cNvPicPr>
      </xdr:nvPicPr>
      <xdr:blipFill>
        <a:blip xmlns:r="http://schemas.openxmlformats.org/officeDocument/2006/relationships" r:embed="rId58">
          <a:extLst>
            <a:ext uri="{28A0092B-C50C-407E-A947-70E740481C1C}">
              <a14:useLocalDpi xmlns:a14="http://schemas.microsoft.com/office/drawing/2010/main" val="0"/>
            </a:ext>
          </a:extLst>
        </a:blip>
        <a:srcRect/>
        <a:stretch>
          <a:fillRect/>
        </a:stretch>
      </xdr:blipFill>
      <xdr:spPr bwMode="auto">
        <a:xfrm>
          <a:off x="9386207" y="45898254"/>
          <a:ext cx="1441900" cy="12926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37829</xdr:colOff>
      <xdr:row>56</xdr:row>
      <xdr:rowOff>272143</xdr:rowOff>
    </xdr:from>
    <xdr:to>
      <xdr:col>7</xdr:col>
      <xdr:colOff>27214</xdr:colOff>
      <xdr:row>56</xdr:row>
      <xdr:rowOff>1168854</xdr:rowOff>
    </xdr:to>
    <xdr:pic>
      <xdr:nvPicPr>
        <xdr:cNvPr id="61" name="Imagen 60">
          <a:extLst>
            <a:ext uri="{FF2B5EF4-FFF2-40B4-BE49-F238E27FC236}">
              <a16:creationId xmlns:a16="http://schemas.microsoft.com/office/drawing/2014/main" id="{462B5602-C2E8-4F71-8E62-46BF6FA91D89}"/>
            </a:ext>
          </a:extLst>
        </xdr:cNvPr>
        <xdr:cNvPicPr>
          <a:picLocks noChangeAspect="1" noChangeArrowheads="1"/>
        </xdr:cNvPicPr>
      </xdr:nvPicPr>
      <xdr:blipFill>
        <a:blip xmlns:r="http://schemas.openxmlformats.org/officeDocument/2006/relationships" r:embed="rId59">
          <a:extLst>
            <a:ext uri="{28A0092B-C50C-407E-A947-70E740481C1C}">
              <a14:useLocalDpi xmlns:a14="http://schemas.microsoft.com/office/drawing/2010/main" val="0"/>
            </a:ext>
          </a:extLst>
        </a:blip>
        <a:srcRect/>
        <a:stretch>
          <a:fillRect/>
        </a:stretch>
      </xdr:blipFill>
      <xdr:spPr bwMode="auto">
        <a:xfrm>
          <a:off x="9219929" y="101665768"/>
          <a:ext cx="1799135" cy="8967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343476</xdr:colOff>
      <xdr:row>23</xdr:row>
      <xdr:rowOff>163286</xdr:rowOff>
    </xdr:from>
    <xdr:to>
      <xdr:col>6</xdr:col>
      <xdr:colOff>1619250</xdr:colOff>
      <xdr:row>23</xdr:row>
      <xdr:rowOff>1401536</xdr:rowOff>
    </xdr:to>
    <xdr:pic>
      <xdr:nvPicPr>
        <xdr:cNvPr id="62" name="Imagen 61">
          <a:extLst>
            <a:ext uri="{FF2B5EF4-FFF2-40B4-BE49-F238E27FC236}">
              <a16:creationId xmlns:a16="http://schemas.microsoft.com/office/drawing/2014/main" id="{45168C2D-7D33-4B1D-A36D-C2A1A1F89829}"/>
            </a:ext>
          </a:extLst>
        </xdr:cNvPr>
        <xdr:cNvPicPr>
          <a:picLocks noChangeAspect="1"/>
        </xdr:cNvPicPr>
      </xdr:nvPicPr>
      <xdr:blipFill>
        <a:blip xmlns:r="http://schemas.openxmlformats.org/officeDocument/2006/relationships" r:embed="rId60"/>
        <a:stretch>
          <a:fillRect/>
        </a:stretch>
      </xdr:blipFill>
      <xdr:spPr>
        <a:xfrm>
          <a:off x="9525576" y="44292611"/>
          <a:ext cx="1275774" cy="12382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337457</xdr:colOff>
      <xdr:row>9</xdr:row>
      <xdr:rowOff>276225</xdr:rowOff>
    </xdr:from>
    <xdr:to>
      <xdr:col>7</xdr:col>
      <xdr:colOff>1661432</xdr:colOff>
      <xdr:row>9</xdr:row>
      <xdr:rowOff>1066800</xdr:rowOff>
    </xdr:to>
    <xdr:pic>
      <xdr:nvPicPr>
        <xdr:cNvPr id="2" name="Imagen 30">
          <a:extLst>
            <a:ext uri="{FF2B5EF4-FFF2-40B4-BE49-F238E27FC236}">
              <a16:creationId xmlns:a16="http://schemas.microsoft.com/office/drawing/2014/main" id="{00000000-0008-0000-0100-0000D65D02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805557" y="9944100"/>
          <a:ext cx="132397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57150</xdr:colOff>
      <xdr:row>12</xdr:row>
      <xdr:rowOff>238125</xdr:rowOff>
    </xdr:from>
    <xdr:to>
      <xdr:col>7</xdr:col>
      <xdr:colOff>1371600</xdr:colOff>
      <xdr:row>12</xdr:row>
      <xdr:rowOff>1123950</xdr:rowOff>
    </xdr:to>
    <xdr:pic>
      <xdr:nvPicPr>
        <xdr:cNvPr id="3" name="Imagen 31">
          <a:extLst>
            <a:ext uri="{FF2B5EF4-FFF2-40B4-BE49-F238E27FC236}">
              <a16:creationId xmlns:a16="http://schemas.microsoft.com/office/drawing/2014/main" id="{00000000-0008-0000-0100-0000D75D0200}"/>
            </a:ext>
            <a:ext uri="{147F2762-F138-4A5C-976F-8EAC2B608ADB}">
              <a16:predDERef xmlns:a16="http://schemas.microsoft.com/office/drawing/2014/main" pred="{00000000-0008-0000-0100-0000D65D02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885" t="4288" r="4277" b="5432"/>
        <a:stretch>
          <a:fillRect/>
        </a:stretch>
      </xdr:blipFill>
      <xdr:spPr bwMode="auto">
        <a:xfrm>
          <a:off x="11525250" y="13763625"/>
          <a:ext cx="1314450"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161925</xdr:colOff>
      <xdr:row>86</xdr:row>
      <xdr:rowOff>323850</xdr:rowOff>
    </xdr:from>
    <xdr:to>
      <xdr:col>7</xdr:col>
      <xdr:colOff>1476375</xdr:colOff>
      <xdr:row>86</xdr:row>
      <xdr:rowOff>857250</xdr:rowOff>
    </xdr:to>
    <xdr:pic>
      <xdr:nvPicPr>
        <xdr:cNvPr id="4" name="Imagen 69">
          <a:extLst>
            <a:ext uri="{FF2B5EF4-FFF2-40B4-BE49-F238E27FC236}">
              <a16:creationId xmlns:a16="http://schemas.microsoft.com/office/drawing/2014/main" id="{00000000-0008-0000-0100-0000DB5D02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630025" y="113528475"/>
          <a:ext cx="131445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152400</xdr:colOff>
      <xdr:row>87</xdr:row>
      <xdr:rowOff>323850</xdr:rowOff>
    </xdr:from>
    <xdr:to>
      <xdr:col>7</xdr:col>
      <xdr:colOff>1457325</xdr:colOff>
      <xdr:row>87</xdr:row>
      <xdr:rowOff>857250</xdr:rowOff>
    </xdr:to>
    <xdr:pic>
      <xdr:nvPicPr>
        <xdr:cNvPr id="5" name="Imagen 70">
          <a:extLst>
            <a:ext uri="{FF2B5EF4-FFF2-40B4-BE49-F238E27FC236}">
              <a16:creationId xmlns:a16="http://schemas.microsoft.com/office/drawing/2014/main" id="{00000000-0008-0000-0100-0000DC5D02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1620500" y="115166775"/>
          <a:ext cx="13049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152400</xdr:colOff>
      <xdr:row>92</xdr:row>
      <xdr:rowOff>342900</xdr:rowOff>
    </xdr:from>
    <xdr:to>
      <xdr:col>7</xdr:col>
      <xdr:colOff>1457325</xdr:colOff>
      <xdr:row>92</xdr:row>
      <xdr:rowOff>866775</xdr:rowOff>
    </xdr:to>
    <xdr:pic>
      <xdr:nvPicPr>
        <xdr:cNvPr id="6" name="Imagen 73">
          <a:extLst>
            <a:ext uri="{FF2B5EF4-FFF2-40B4-BE49-F238E27FC236}">
              <a16:creationId xmlns:a16="http://schemas.microsoft.com/office/drawing/2014/main" id="{00000000-0008-0000-0100-0000DD5D02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1620500" y="121615200"/>
          <a:ext cx="1304925"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161925</xdr:colOff>
      <xdr:row>6</xdr:row>
      <xdr:rowOff>114300</xdr:rowOff>
    </xdr:from>
    <xdr:to>
      <xdr:col>7</xdr:col>
      <xdr:colOff>1438275</xdr:colOff>
      <xdr:row>6</xdr:row>
      <xdr:rowOff>1171575</xdr:rowOff>
    </xdr:to>
    <xdr:pic>
      <xdr:nvPicPr>
        <xdr:cNvPr id="7" name="Imagen 98">
          <a:extLst>
            <a:ext uri="{FF2B5EF4-FFF2-40B4-BE49-F238E27FC236}">
              <a16:creationId xmlns:a16="http://schemas.microsoft.com/office/drawing/2014/main" id="{00000000-0008-0000-0100-0000EB5D02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1630025" y="5924550"/>
          <a:ext cx="1276350"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152400</xdr:colOff>
      <xdr:row>7</xdr:row>
      <xdr:rowOff>114300</xdr:rowOff>
    </xdr:from>
    <xdr:to>
      <xdr:col>7</xdr:col>
      <xdr:colOff>1447800</xdr:colOff>
      <xdr:row>7</xdr:row>
      <xdr:rowOff>1076325</xdr:rowOff>
    </xdr:to>
    <xdr:pic>
      <xdr:nvPicPr>
        <xdr:cNvPr id="8" name="Imagen 103" descr="Resultado de imagen para pancarta">
          <a:extLst>
            <a:ext uri="{FF2B5EF4-FFF2-40B4-BE49-F238E27FC236}">
              <a16:creationId xmlns:a16="http://schemas.microsoft.com/office/drawing/2014/main" id="{00000000-0008-0000-0100-0000EF5D02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1620500" y="7210425"/>
          <a:ext cx="1295400"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314325</xdr:colOff>
      <xdr:row>8</xdr:row>
      <xdr:rowOff>161925</xdr:rowOff>
    </xdr:from>
    <xdr:to>
      <xdr:col>7</xdr:col>
      <xdr:colOff>1323975</xdr:colOff>
      <xdr:row>8</xdr:row>
      <xdr:rowOff>1162050</xdr:rowOff>
    </xdr:to>
    <xdr:pic>
      <xdr:nvPicPr>
        <xdr:cNvPr id="9" name="Imagen 131">
          <a:extLst>
            <a:ext uri="{FF2B5EF4-FFF2-40B4-BE49-F238E27FC236}">
              <a16:creationId xmlns:a16="http://schemas.microsoft.com/office/drawing/2014/main" id="{00000000-0008-0000-0100-0000FD5D02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11782425" y="8543925"/>
          <a:ext cx="100965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219075</xdr:colOff>
      <xdr:row>98</xdr:row>
      <xdr:rowOff>76200</xdr:rowOff>
    </xdr:from>
    <xdr:to>
      <xdr:col>7</xdr:col>
      <xdr:colOff>1400175</xdr:colOff>
      <xdr:row>98</xdr:row>
      <xdr:rowOff>904875</xdr:rowOff>
    </xdr:to>
    <xdr:pic>
      <xdr:nvPicPr>
        <xdr:cNvPr id="10" name="Imagen 153">
          <a:extLst>
            <a:ext uri="{FF2B5EF4-FFF2-40B4-BE49-F238E27FC236}">
              <a16:creationId xmlns:a16="http://schemas.microsoft.com/office/drawing/2014/main" id="{00000000-0008-0000-0100-00000F5E0200}"/>
            </a:ext>
            <a:ext uri="{147F2762-F138-4A5C-976F-8EAC2B608ADB}">
              <a16:predDERef xmlns:a16="http://schemas.microsoft.com/office/drawing/2014/main" pred="{00000000-0008-0000-0100-00000E5E02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11687175" y="129063750"/>
          <a:ext cx="118110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57150</xdr:colOff>
      <xdr:row>99</xdr:row>
      <xdr:rowOff>85725</xdr:rowOff>
    </xdr:from>
    <xdr:to>
      <xdr:col>7</xdr:col>
      <xdr:colOff>1504950</xdr:colOff>
      <xdr:row>99</xdr:row>
      <xdr:rowOff>1095375</xdr:rowOff>
    </xdr:to>
    <xdr:pic>
      <xdr:nvPicPr>
        <xdr:cNvPr id="11" name="Imagen 154" descr="Resultado de imagen para camiseta polo publicidad">
          <a:extLst>
            <a:ext uri="{FF2B5EF4-FFF2-40B4-BE49-F238E27FC236}">
              <a16:creationId xmlns:a16="http://schemas.microsoft.com/office/drawing/2014/main" id="{00000000-0008-0000-0100-0000105E0200}"/>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11525250" y="130101975"/>
          <a:ext cx="14478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76200</xdr:colOff>
      <xdr:row>10</xdr:row>
      <xdr:rowOff>161925</xdr:rowOff>
    </xdr:from>
    <xdr:to>
      <xdr:col>7</xdr:col>
      <xdr:colOff>1514475</xdr:colOff>
      <xdr:row>10</xdr:row>
      <xdr:rowOff>981075</xdr:rowOff>
    </xdr:to>
    <xdr:pic>
      <xdr:nvPicPr>
        <xdr:cNvPr id="12" name="Imagen 168">
          <a:extLst>
            <a:ext uri="{FF2B5EF4-FFF2-40B4-BE49-F238E27FC236}">
              <a16:creationId xmlns:a16="http://schemas.microsoft.com/office/drawing/2014/main" id="{00000000-0008-0000-0100-0000125E02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11544300" y="11115675"/>
          <a:ext cx="1438275"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133350</xdr:colOff>
      <xdr:row>11</xdr:row>
      <xdr:rowOff>180975</xdr:rowOff>
    </xdr:from>
    <xdr:to>
      <xdr:col>7</xdr:col>
      <xdr:colOff>1457325</xdr:colOff>
      <xdr:row>11</xdr:row>
      <xdr:rowOff>1066800</xdr:rowOff>
    </xdr:to>
    <xdr:pic>
      <xdr:nvPicPr>
        <xdr:cNvPr id="13" name="Imagen 169">
          <a:extLst>
            <a:ext uri="{FF2B5EF4-FFF2-40B4-BE49-F238E27FC236}">
              <a16:creationId xmlns:a16="http://schemas.microsoft.com/office/drawing/2014/main" id="{00000000-0008-0000-0100-0000135E0200}"/>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11601450" y="12420600"/>
          <a:ext cx="1323975"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200025</xdr:colOff>
      <xdr:row>13</xdr:row>
      <xdr:rowOff>133350</xdr:rowOff>
    </xdr:from>
    <xdr:to>
      <xdr:col>7</xdr:col>
      <xdr:colOff>1428750</xdr:colOff>
      <xdr:row>13</xdr:row>
      <xdr:rowOff>1057275</xdr:rowOff>
    </xdr:to>
    <xdr:pic>
      <xdr:nvPicPr>
        <xdr:cNvPr id="14" name="Imagen 170">
          <a:extLst>
            <a:ext uri="{FF2B5EF4-FFF2-40B4-BE49-F238E27FC236}">
              <a16:creationId xmlns:a16="http://schemas.microsoft.com/office/drawing/2014/main" id="{00000000-0008-0000-0100-0000145E0200}"/>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11668125" y="15373350"/>
          <a:ext cx="1228725"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152400</xdr:colOff>
      <xdr:row>14</xdr:row>
      <xdr:rowOff>247650</xdr:rowOff>
    </xdr:from>
    <xdr:to>
      <xdr:col>7</xdr:col>
      <xdr:colOff>1504950</xdr:colOff>
      <xdr:row>14</xdr:row>
      <xdr:rowOff>1000125</xdr:rowOff>
    </xdr:to>
    <xdr:pic>
      <xdr:nvPicPr>
        <xdr:cNvPr id="15" name="Imagen 175">
          <a:extLst>
            <a:ext uri="{FF2B5EF4-FFF2-40B4-BE49-F238E27FC236}">
              <a16:creationId xmlns:a16="http://schemas.microsoft.com/office/drawing/2014/main" id="{00000000-0008-0000-0100-0000155E0200}"/>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11620500" y="16773525"/>
          <a:ext cx="1352550"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114300</xdr:colOff>
      <xdr:row>15</xdr:row>
      <xdr:rowOff>142875</xdr:rowOff>
    </xdr:from>
    <xdr:to>
      <xdr:col>7</xdr:col>
      <xdr:colOff>1381125</xdr:colOff>
      <xdr:row>15</xdr:row>
      <xdr:rowOff>1076325</xdr:rowOff>
    </xdr:to>
    <xdr:pic>
      <xdr:nvPicPr>
        <xdr:cNvPr id="16" name="Imagen 176">
          <a:extLst>
            <a:ext uri="{FF2B5EF4-FFF2-40B4-BE49-F238E27FC236}">
              <a16:creationId xmlns:a16="http://schemas.microsoft.com/office/drawing/2014/main" id="{00000000-0008-0000-0100-0000165E0200}"/>
            </a:ext>
          </a:extLst>
        </xdr:cNvPr>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11582400" y="17954625"/>
          <a:ext cx="12668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390525</xdr:colOff>
      <xdr:row>22</xdr:row>
      <xdr:rowOff>142875</xdr:rowOff>
    </xdr:from>
    <xdr:to>
      <xdr:col>7</xdr:col>
      <xdr:colOff>1228725</xdr:colOff>
      <xdr:row>22</xdr:row>
      <xdr:rowOff>1123950</xdr:rowOff>
    </xdr:to>
    <xdr:pic>
      <xdr:nvPicPr>
        <xdr:cNvPr id="17" name="Imagen 193">
          <a:extLst>
            <a:ext uri="{FF2B5EF4-FFF2-40B4-BE49-F238E27FC236}">
              <a16:creationId xmlns:a16="http://schemas.microsoft.com/office/drawing/2014/main" id="{00000000-0008-0000-0100-0000205E0200}"/>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11858625" y="27051000"/>
          <a:ext cx="838200"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352425</xdr:colOff>
      <xdr:row>23</xdr:row>
      <xdr:rowOff>114300</xdr:rowOff>
    </xdr:from>
    <xdr:to>
      <xdr:col>7</xdr:col>
      <xdr:colOff>1276350</xdr:colOff>
      <xdr:row>23</xdr:row>
      <xdr:rowOff>1085850</xdr:rowOff>
    </xdr:to>
    <xdr:pic>
      <xdr:nvPicPr>
        <xdr:cNvPr id="18" name="Imagen 194">
          <a:extLst>
            <a:ext uri="{FF2B5EF4-FFF2-40B4-BE49-F238E27FC236}">
              <a16:creationId xmlns:a16="http://schemas.microsoft.com/office/drawing/2014/main" id="{00000000-0008-0000-0100-0000215E02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11820525" y="28308300"/>
          <a:ext cx="923925"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247650</xdr:colOff>
      <xdr:row>24</xdr:row>
      <xdr:rowOff>161925</xdr:rowOff>
    </xdr:from>
    <xdr:to>
      <xdr:col>7</xdr:col>
      <xdr:colOff>1381125</xdr:colOff>
      <xdr:row>24</xdr:row>
      <xdr:rowOff>1152525</xdr:rowOff>
    </xdr:to>
    <xdr:pic>
      <xdr:nvPicPr>
        <xdr:cNvPr id="19" name="Imagen 196">
          <a:extLst>
            <a:ext uri="{FF2B5EF4-FFF2-40B4-BE49-F238E27FC236}">
              <a16:creationId xmlns:a16="http://schemas.microsoft.com/office/drawing/2014/main" id="{00000000-0008-0000-0100-0000235E0200}"/>
            </a:ext>
          </a:extLst>
        </xdr:cNvPr>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11715750" y="29641800"/>
          <a:ext cx="1133475" cy="990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299358</xdr:colOff>
      <xdr:row>26</xdr:row>
      <xdr:rowOff>381000</xdr:rowOff>
    </xdr:from>
    <xdr:to>
      <xdr:col>7</xdr:col>
      <xdr:colOff>1169534</xdr:colOff>
      <xdr:row>26</xdr:row>
      <xdr:rowOff>1932214</xdr:rowOff>
    </xdr:to>
    <xdr:pic>
      <xdr:nvPicPr>
        <xdr:cNvPr id="20" name="Imagen 199">
          <a:extLst>
            <a:ext uri="{FF2B5EF4-FFF2-40B4-BE49-F238E27FC236}">
              <a16:creationId xmlns:a16="http://schemas.microsoft.com/office/drawing/2014/main" id="{00000000-0008-0000-0100-0000265E0200}"/>
            </a:ext>
            <a:ext uri="{147F2762-F138-4A5C-976F-8EAC2B608ADB}">
              <a16:predDERef xmlns:a16="http://schemas.microsoft.com/office/drawing/2014/main" pred="{00000000-0008-0000-0100-0000255E0200}"/>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11767458" y="32432625"/>
          <a:ext cx="870176" cy="15512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257175</xdr:colOff>
      <xdr:row>27</xdr:row>
      <xdr:rowOff>85725</xdr:rowOff>
    </xdr:from>
    <xdr:to>
      <xdr:col>7</xdr:col>
      <xdr:colOff>1352550</xdr:colOff>
      <xdr:row>27</xdr:row>
      <xdr:rowOff>1143000</xdr:rowOff>
    </xdr:to>
    <xdr:pic>
      <xdr:nvPicPr>
        <xdr:cNvPr id="21" name="Imagen 200">
          <a:extLst>
            <a:ext uri="{FF2B5EF4-FFF2-40B4-BE49-F238E27FC236}">
              <a16:creationId xmlns:a16="http://schemas.microsoft.com/office/drawing/2014/main" id="{00000000-0008-0000-0100-0000275E0200}"/>
            </a:ext>
          </a:extLst>
        </xdr:cNvPr>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11725275" y="34766250"/>
          <a:ext cx="1095375"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381000</xdr:colOff>
      <xdr:row>28</xdr:row>
      <xdr:rowOff>228600</xdr:rowOff>
    </xdr:from>
    <xdr:to>
      <xdr:col>7</xdr:col>
      <xdr:colOff>1085850</xdr:colOff>
      <xdr:row>28</xdr:row>
      <xdr:rowOff>1104900</xdr:rowOff>
    </xdr:to>
    <xdr:pic>
      <xdr:nvPicPr>
        <xdr:cNvPr id="22" name="Imagen 201">
          <a:extLst>
            <a:ext uri="{FF2B5EF4-FFF2-40B4-BE49-F238E27FC236}">
              <a16:creationId xmlns:a16="http://schemas.microsoft.com/office/drawing/2014/main" id="{00000000-0008-0000-0100-0000285E0200}"/>
            </a:ext>
          </a:extLst>
        </xdr:cNvPr>
        <xdr:cNvPicPr>
          <a:picLocks noChangeAspect="1" noChangeArrowheads="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11849100" y="36195000"/>
          <a:ext cx="70485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180975</xdr:colOff>
      <xdr:row>29</xdr:row>
      <xdr:rowOff>114300</xdr:rowOff>
    </xdr:from>
    <xdr:to>
      <xdr:col>7</xdr:col>
      <xdr:colOff>1371600</xdr:colOff>
      <xdr:row>29</xdr:row>
      <xdr:rowOff>1114425</xdr:rowOff>
    </xdr:to>
    <xdr:pic>
      <xdr:nvPicPr>
        <xdr:cNvPr id="23" name="Imagen 203">
          <a:extLst>
            <a:ext uri="{FF2B5EF4-FFF2-40B4-BE49-F238E27FC236}">
              <a16:creationId xmlns:a16="http://schemas.microsoft.com/office/drawing/2014/main" id="{00000000-0008-0000-0100-00002A5E0200}"/>
            </a:ext>
          </a:extLst>
        </xdr:cNvPr>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11649075" y="37366575"/>
          <a:ext cx="119062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180975</xdr:colOff>
      <xdr:row>30</xdr:row>
      <xdr:rowOff>114300</xdr:rowOff>
    </xdr:from>
    <xdr:to>
      <xdr:col>7</xdr:col>
      <xdr:colOff>1409700</xdr:colOff>
      <xdr:row>30</xdr:row>
      <xdr:rowOff>1095375</xdr:rowOff>
    </xdr:to>
    <xdr:pic>
      <xdr:nvPicPr>
        <xdr:cNvPr id="24" name="Imagen 204">
          <a:extLst>
            <a:ext uri="{FF2B5EF4-FFF2-40B4-BE49-F238E27FC236}">
              <a16:creationId xmlns:a16="http://schemas.microsoft.com/office/drawing/2014/main" id="{00000000-0008-0000-0100-00002B5E0200}"/>
            </a:ext>
          </a:extLst>
        </xdr:cNvPr>
        <xdr:cNvPicPr>
          <a:picLocks noChangeAspect="1" noChangeArrowheads="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11649075" y="38652450"/>
          <a:ext cx="12287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142875</xdr:colOff>
      <xdr:row>31</xdr:row>
      <xdr:rowOff>171450</xdr:rowOff>
    </xdr:from>
    <xdr:to>
      <xdr:col>7</xdr:col>
      <xdr:colOff>1438275</xdr:colOff>
      <xdr:row>31</xdr:row>
      <xdr:rowOff>1104900</xdr:rowOff>
    </xdr:to>
    <xdr:pic>
      <xdr:nvPicPr>
        <xdr:cNvPr id="25" name="Imagen 205">
          <a:extLst>
            <a:ext uri="{FF2B5EF4-FFF2-40B4-BE49-F238E27FC236}">
              <a16:creationId xmlns:a16="http://schemas.microsoft.com/office/drawing/2014/main" id="{00000000-0008-0000-0100-00002C5E0200}"/>
            </a:ext>
          </a:extLst>
        </xdr:cNvPr>
        <xdr:cNvPicPr>
          <a:picLocks noChangeAspect="1" noChangeArrowheads="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11610975" y="39995475"/>
          <a:ext cx="1295400"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57150</xdr:colOff>
      <xdr:row>32</xdr:row>
      <xdr:rowOff>66675</xdr:rowOff>
    </xdr:from>
    <xdr:to>
      <xdr:col>7</xdr:col>
      <xdr:colOff>1495425</xdr:colOff>
      <xdr:row>32</xdr:row>
      <xdr:rowOff>1143000</xdr:rowOff>
    </xdr:to>
    <xdr:pic>
      <xdr:nvPicPr>
        <xdr:cNvPr id="26" name="Imagen 207">
          <a:extLst>
            <a:ext uri="{FF2B5EF4-FFF2-40B4-BE49-F238E27FC236}">
              <a16:creationId xmlns:a16="http://schemas.microsoft.com/office/drawing/2014/main" id="{00000000-0008-0000-0100-00002E5E0200}"/>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11525250" y="41176575"/>
          <a:ext cx="143827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152400</xdr:colOff>
      <xdr:row>100</xdr:row>
      <xdr:rowOff>38100</xdr:rowOff>
    </xdr:from>
    <xdr:to>
      <xdr:col>7</xdr:col>
      <xdr:colOff>1352550</xdr:colOff>
      <xdr:row>100</xdr:row>
      <xdr:rowOff>1143000</xdr:rowOff>
    </xdr:to>
    <xdr:pic>
      <xdr:nvPicPr>
        <xdr:cNvPr id="27" name="Imagen 217">
          <a:extLst>
            <a:ext uri="{FF2B5EF4-FFF2-40B4-BE49-F238E27FC236}">
              <a16:creationId xmlns:a16="http://schemas.microsoft.com/office/drawing/2014/main" id="{00000000-0008-0000-0100-0000345E0200}"/>
            </a:ext>
          </a:extLst>
        </xdr:cNvPr>
        <xdr:cNvPicPr>
          <a:picLocks noChangeAspect="1" noChangeArrowheads="1"/>
        </xdr:cNvPicPr>
      </xdr:nvPicPr>
      <xdr:blipFill>
        <a:blip xmlns:r="http://schemas.openxmlformats.org/officeDocument/2006/relationships" r:embed="rId26">
          <a:extLst>
            <a:ext uri="{28A0092B-C50C-407E-A947-70E740481C1C}">
              <a14:useLocalDpi xmlns:a14="http://schemas.microsoft.com/office/drawing/2010/main" val="0"/>
            </a:ext>
          </a:extLst>
        </a:blip>
        <a:srcRect/>
        <a:stretch>
          <a:fillRect/>
        </a:stretch>
      </xdr:blipFill>
      <xdr:spPr bwMode="auto">
        <a:xfrm>
          <a:off x="11620500" y="131083050"/>
          <a:ext cx="1200150" cy="990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114300</xdr:colOff>
      <xdr:row>101</xdr:row>
      <xdr:rowOff>57150</xdr:rowOff>
    </xdr:from>
    <xdr:to>
      <xdr:col>7</xdr:col>
      <xdr:colOff>1400175</xdr:colOff>
      <xdr:row>101</xdr:row>
      <xdr:rowOff>1171575</xdr:rowOff>
    </xdr:to>
    <xdr:pic>
      <xdr:nvPicPr>
        <xdr:cNvPr id="28" name="Imagen 218">
          <a:extLst>
            <a:ext uri="{FF2B5EF4-FFF2-40B4-BE49-F238E27FC236}">
              <a16:creationId xmlns:a16="http://schemas.microsoft.com/office/drawing/2014/main" id="{00000000-0008-0000-0100-0000355E0200}"/>
            </a:ext>
          </a:extLst>
        </xdr:cNvPr>
        <xdr:cNvPicPr>
          <a:picLocks noChangeAspect="1" noChangeArrowheads="1"/>
        </xdr:cNvPicPr>
      </xdr:nvPicPr>
      <xdr:blipFill>
        <a:blip xmlns:r="http://schemas.openxmlformats.org/officeDocument/2006/relationships" r:embed="rId27">
          <a:extLst>
            <a:ext uri="{28A0092B-C50C-407E-A947-70E740481C1C}">
              <a14:useLocalDpi xmlns:a14="http://schemas.microsoft.com/office/drawing/2010/main" val="0"/>
            </a:ext>
          </a:extLst>
        </a:blip>
        <a:srcRect/>
        <a:stretch>
          <a:fillRect/>
        </a:stretch>
      </xdr:blipFill>
      <xdr:spPr bwMode="auto">
        <a:xfrm>
          <a:off x="11582400" y="132130800"/>
          <a:ext cx="1285875"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200025</xdr:colOff>
      <xdr:row>33</xdr:row>
      <xdr:rowOff>57150</xdr:rowOff>
    </xdr:from>
    <xdr:to>
      <xdr:col>7</xdr:col>
      <xdr:colOff>1400175</xdr:colOff>
      <xdr:row>33</xdr:row>
      <xdr:rowOff>1133475</xdr:rowOff>
    </xdr:to>
    <xdr:pic>
      <xdr:nvPicPr>
        <xdr:cNvPr id="29" name="Imagen 230">
          <a:extLst>
            <a:ext uri="{FF2B5EF4-FFF2-40B4-BE49-F238E27FC236}">
              <a16:creationId xmlns:a16="http://schemas.microsoft.com/office/drawing/2014/main" id="{00000000-0008-0000-0100-00003D5E0200}"/>
            </a:ext>
          </a:extLst>
        </xdr:cNvPr>
        <xdr:cNvPicPr>
          <a:picLocks noChangeAspect="1" noChangeArrowheads="1"/>
        </xdr:cNvPicPr>
      </xdr:nvPicPr>
      <xdr:blipFill>
        <a:blip xmlns:r="http://schemas.openxmlformats.org/officeDocument/2006/relationships" r:embed="rId28">
          <a:extLst>
            <a:ext uri="{28A0092B-C50C-407E-A947-70E740481C1C}">
              <a14:useLocalDpi xmlns:a14="http://schemas.microsoft.com/office/drawing/2010/main" val="0"/>
            </a:ext>
          </a:extLst>
        </a:blip>
        <a:srcRect/>
        <a:stretch>
          <a:fillRect/>
        </a:stretch>
      </xdr:blipFill>
      <xdr:spPr bwMode="auto">
        <a:xfrm>
          <a:off x="11668125" y="42452925"/>
          <a:ext cx="120015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104775</xdr:colOff>
      <xdr:row>34</xdr:row>
      <xdr:rowOff>95250</xdr:rowOff>
    </xdr:from>
    <xdr:to>
      <xdr:col>7</xdr:col>
      <xdr:colOff>1514475</xdr:colOff>
      <xdr:row>34</xdr:row>
      <xdr:rowOff>1143000</xdr:rowOff>
    </xdr:to>
    <xdr:pic>
      <xdr:nvPicPr>
        <xdr:cNvPr id="30" name="Imagen 231">
          <a:extLst>
            <a:ext uri="{FF2B5EF4-FFF2-40B4-BE49-F238E27FC236}">
              <a16:creationId xmlns:a16="http://schemas.microsoft.com/office/drawing/2014/main" id="{00000000-0008-0000-0100-00003E5E0200}"/>
            </a:ext>
          </a:extLst>
        </xdr:cNvPr>
        <xdr:cNvPicPr>
          <a:picLocks noChangeAspect="1" noChangeArrowheads="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a:fillRect/>
        </a:stretch>
      </xdr:blipFill>
      <xdr:spPr bwMode="auto">
        <a:xfrm>
          <a:off x="11572875" y="43776900"/>
          <a:ext cx="14097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257175</xdr:colOff>
      <xdr:row>35</xdr:row>
      <xdr:rowOff>57150</xdr:rowOff>
    </xdr:from>
    <xdr:to>
      <xdr:col>7</xdr:col>
      <xdr:colOff>1323975</xdr:colOff>
      <xdr:row>35</xdr:row>
      <xdr:rowOff>1133475</xdr:rowOff>
    </xdr:to>
    <xdr:pic>
      <xdr:nvPicPr>
        <xdr:cNvPr id="31" name="Imagen 233">
          <a:extLst>
            <a:ext uri="{FF2B5EF4-FFF2-40B4-BE49-F238E27FC236}">
              <a16:creationId xmlns:a16="http://schemas.microsoft.com/office/drawing/2014/main" id="{00000000-0008-0000-0100-0000405E0200}"/>
            </a:ext>
          </a:extLst>
        </xdr:cNvPr>
        <xdr:cNvPicPr>
          <a:picLocks noChangeAspect="1" noChangeArrowheads="1"/>
        </xdr:cNvPicPr>
      </xdr:nvPicPr>
      <xdr:blipFill>
        <a:blip xmlns:r="http://schemas.openxmlformats.org/officeDocument/2006/relationships" r:embed="rId30">
          <a:extLst>
            <a:ext uri="{28A0092B-C50C-407E-A947-70E740481C1C}">
              <a14:useLocalDpi xmlns:a14="http://schemas.microsoft.com/office/drawing/2010/main" val="0"/>
            </a:ext>
          </a:extLst>
        </a:blip>
        <a:srcRect/>
        <a:stretch>
          <a:fillRect/>
        </a:stretch>
      </xdr:blipFill>
      <xdr:spPr bwMode="auto">
        <a:xfrm>
          <a:off x="11725275" y="45024675"/>
          <a:ext cx="10668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76200</xdr:colOff>
      <xdr:row>36</xdr:row>
      <xdr:rowOff>85725</xdr:rowOff>
    </xdr:from>
    <xdr:to>
      <xdr:col>7</xdr:col>
      <xdr:colOff>1447800</xdr:colOff>
      <xdr:row>36</xdr:row>
      <xdr:rowOff>1076325</xdr:rowOff>
    </xdr:to>
    <xdr:pic>
      <xdr:nvPicPr>
        <xdr:cNvPr id="32" name="Imagen 235">
          <a:extLst>
            <a:ext uri="{FF2B5EF4-FFF2-40B4-BE49-F238E27FC236}">
              <a16:creationId xmlns:a16="http://schemas.microsoft.com/office/drawing/2014/main" id="{00000000-0008-0000-0100-0000425E0200}"/>
            </a:ext>
          </a:extLst>
        </xdr:cNvPr>
        <xdr:cNvPicPr>
          <a:picLocks noChangeAspect="1" noChangeArrowheads="1"/>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a:fillRect/>
        </a:stretch>
      </xdr:blipFill>
      <xdr:spPr bwMode="auto">
        <a:xfrm>
          <a:off x="11544300" y="46339125"/>
          <a:ext cx="1371600" cy="990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95250</xdr:colOff>
      <xdr:row>54</xdr:row>
      <xdr:rowOff>361950</xdr:rowOff>
    </xdr:from>
    <xdr:to>
      <xdr:col>7</xdr:col>
      <xdr:colOff>1400175</xdr:colOff>
      <xdr:row>54</xdr:row>
      <xdr:rowOff>914400</xdr:rowOff>
    </xdr:to>
    <xdr:pic>
      <xdr:nvPicPr>
        <xdr:cNvPr id="33" name="Imagen 286">
          <a:extLst>
            <a:ext uri="{FF2B5EF4-FFF2-40B4-BE49-F238E27FC236}">
              <a16:creationId xmlns:a16="http://schemas.microsoft.com/office/drawing/2014/main" id="{00000000-0008-0000-0100-00004F5E0200}"/>
            </a:ext>
          </a:extLst>
        </xdr:cNvPr>
        <xdr:cNvPicPr>
          <a:picLocks noChangeAspect="1" noChangeArrowheads="1"/>
        </xdr:cNvPicPr>
      </xdr:nvPicPr>
      <xdr:blipFill>
        <a:blip xmlns:r="http://schemas.openxmlformats.org/officeDocument/2006/relationships" r:embed="rId32" cstate="print">
          <a:extLst>
            <a:ext uri="{28A0092B-C50C-407E-A947-70E740481C1C}">
              <a14:useLocalDpi xmlns:a14="http://schemas.microsoft.com/office/drawing/2010/main" val="0"/>
            </a:ext>
          </a:extLst>
        </a:blip>
        <a:srcRect/>
        <a:stretch>
          <a:fillRect/>
        </a:stretch>
      </xdr:blipFill>
      <xdr:spPr bwMode="auto">
        <a:xfrm>
          <a:off x="11563350" y="72237600"/>
          <a:ext cx="1304925"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161925</xdr:colOff>
      <xdr:row>56</xdr:row>
      <xdr:rowOff>102394</xdr:rowOff>
    </xdr:from>
    <xdr:to>
      <xdr:col>7</xdr:col>
      <xdr:colOff>1466850</xdr:colOff>
      <xdr:row>56</xdr:row>
      <xdr:rowOff>1207294</xdr:rowOff>
    </xdr:to>
    <xdr:pic>
      <xdr:nvPicPr>
        <xdr:cNvPr id="34" name="Imagen 291">
          <a:extLst>
            <a:ext uri="{FF2B5EF4-FFF2-40B4-BE49-F238E27FC236}">
              <a16:creationId xmlns:a16="http://schemas.microsoft.com/office/drawing/2014/main" id="{00000000-0008-0000-0100-0000515E0200}"/>
            </a:ext>
          </a:extLst>
        </xdr:cNvPr>
        <xdr:cNvPicPr>
          <a:picLocks noChangeAspect="1" noChangeArrowheads="1"/>
        </xdr:cNvPicPr>
      </xdr:nvPicPr>
      <xdr:blipFill>
        <a:blip xmlns:r="http://schemas.openxmlformats.org/officeDocument/2006/relationships" r:embed="rId33">
          <a:extLst>
            <a:ext uri="{28A0092B-C50C-407E-A947-70E740481C1C}">
              <a14:useLocalDpi xmlns:a14="http://schemas.microsoft.com/office/drawing/2010/main" val="0"/>
            </a:ext>
          </a:extLst>
        </a:blip>
        <a:srcRect/>
        <a:stretch>
          <a:fillRect/>
        </a:stretch>
      </xdr:blipFill>
      <xdr:spPr bwMode="auto">
        <a:xfrm>
          <a:off x="11630025" y="74730769"/>
          <a:ext cx="1304925" cy="1104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152400</xdr:colOff>
      <xdr:row>57</xdr:row>
      <xdr:rowOff>95250</xdr:rowOff>
    </xdr:from>
    <xdr:to>
      <xdr:col>7</xdr:col>
      <xdr:colOff>1485900</xdr:colOff>
      <xdr:row>57</xdr:row>
      <xdr:rowOff>1123950</xdr:rowOff>
    </xdr:to>
    <xdr:pic>
      <xdr:nvPicPr>
        <xdr:cNvPr id="35" name="Imagen 292">
          <a:extLst>
            <a:ext uri="{FF2B5EF4-FFF2-40B4-BE49-F238E27FC236}">
              <a16:creationId xmlns:a16="http://schemas.microsoft.com/office/drawing/2014/main" id="{00000000-0008-0000-0100-0000525E0200}"/>
            </a:ext>
          </a:extLst>
        </xdr:cNvPr>
        <xdr:cNvPicPr>
          <a:picLocks noChangeAspect="1" noChangeArrowheads="1"/>
        </xdr:cNvPicPr>
      </xdr:nvPicPr>
      <xdr:blipFill>
        <a:blip xmlns:r="http://schemas.openxmlformats.org/officeDocument/2006/relationships" r:embed="rId34">
          <a:extLst>
            <a:ext uri="{28A0092B-C50C-407E-A947-70E740481C1C}">
              <a14:useLocalDpi xmlns:a14="http://schemas.microsoft.com/office/drawing/2010/main" val="0"/>
            </a:ext>
          </a:extLst>
        </a:blip>
        <a:srcRect/>
        <a:stretch>
          <a:fillRect/>
        </a:stretch>
      </xdr:blipFill>
      <xdr:spPr bwMode="auto">
        <a:xfrm>
          <a:off x="11620500" y="76009500"/>
          <a:ext cx="1333500" cy="1028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266700</xdr:colOff>
      <xdr:row>58</xdr:row>
      <xdr:rowOff>28575</xdr:rowOff>
    </xdr:from>
    <xdr:to>
      <xdr:col>7</xdr:col>
      <xdr:colOff>1323975</xdr:colOff>
      <xdr:row>58</xdr:row>
      <xdr:rowOff>1162050</xdr:rowOff>
    </xdr:to>
    <xdr:pic>
      <xdr:nvPicPr>
        <xdr:cNvPr id="36" name="Imagen 293">
          <a:extLst>
            <a:ext uri="{FF2B5EF4-FFF2-40B4-BE49-F238E27FC236}">
              <a16:creationId xmlns:a16="http://schemas.microsoft.com/office/drawing/2014/main" id="{00000000-0008-0000-0100-0000535E0200}"/>
            </a:ext>
          </a:extLst>
        </xdr:cNvPr>
        <xdr:cNvPicPr>
          <a:picLocks noChangeAspect="1" noChangeArrowheads="1"/>
        </xdr:cNvPicPr>
      </xdr:nvPicPr>
      <xdr:blipFill>
        <a:blip xmlns:r="http://schemas.openxmlformats.org/officeDocument/2006/relationships" r:embed="rId35">
          <a:extLst>
            <a:ext uri="{28A0092B-C50C-407E-A947-70E740481C1C}">
              <a14:useLocalDpi xmlns:a14="http://schemas.microsoft.com/office/drawing/2010/main" val="0"/>
            </a:ext>
          </a:extLst>
        </a:blip>
        <a:srcRect/>
        <a:stretch>
          <a:fillRect/>
        </a:stretch>
      </xdr:blipFill>
      <xdr:spPr bwMode="auto">
        <a:xfrm>
          <a:off x="11734800" y="77228700"/>
          <a:ext cx="1057275" cy="1133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266700</xdr:colOff>
      <xdr:row>59</xdr:row>
      <xdr:rowOff>38100</xdr:rowOff>
    </xdr:from>
    <xdr:to>
      <xdr:col>7</xdr:col>
      <xdr:colOff>1304925</xdr:colOff>
      <xdr:row>59</xdr:row>
      <xdr:rowOff>1219200</xdr:rowOff>
    </xdr:to>
    <xdr:pic>
      <xdr:nvPicPr>
        <xdr:cNvPr id="37" name="Imagen 294" descr="Imagen relacionada">
          <a:extLst>
            <a:ext uri="{FF2B5EF4-FFF2-40B4-BE49-F238E27FC236}">
              <a16:creationId xmlns:a16="http://schemas.microsoft.com/office/drawing/2014/main" id="{00000000-0008-0000-0100-0000545E0200}"/>
            </a:ext>
          </a:extLst>
        </xdr:cNvPr>
        <xdr:cNvPicPr>
          <a:picLocks noChangeAspect="1" noChangeArrowheads="1"/>
        </xdr:cNvPicPr>
      </xdr:nvPicPr>
      <xdr:blipFill>
        <a:blip xmlns:r="http://schemas.openxmlformats.org/officeDocument/2006/relationships" r:embed="rId36" cstate="print">
          <a:extLst>
            <a:ext uri="{28A0092B-C50C-407E-A947-70E740481C1C}">
              <a14:useLocalDpi xmlns:a14="http://schemas.microsoft.com/office/drawing/2010/main" val="0"/>
            </a:ext>
          </a:extLst>
        </a:blip>
        <a:srcRect/>
        <a:stretch>
          <a:fillRect/>
        </a:stretch>
      </xdr:blipFill>
      <xdr:spPr bwMode="auto">
        <a:xfrm>
          <a:off x="11734800" y="78524100"/>
          <a:ext cx="1038225"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123825</xdr:colOff>
      <xdr:row>60</xdr:row>
      <xdr:rowOff>104775</xdr:rowOff>
    </xdr:from>
    <xdr:to>
      <xdr:col>7</xdr:col>
      <xdr:colOff>1381125</xdr:colOff>
      <xdr:row>60</xdr:row>
      <xdr:rowOff>1133475</xdr:rowOff>
    </xdr:to>
    <xdr:pic>
      <xdr:nvPicPr>
        <xdr:cNvPr id="38" name="Imagen 295">
          <a:extLst>
            <a:ext uri="{FF2B5EF4-FFF2-40B4-BE49-F238E27FC236}">
              <a16:creationId xmlns:a16="http://schemas.microsoft.com/office/drawing/2014/main" id="{00000000-0008-0000-0100-0000555E02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11591925" y="79876650"/>
          <a:ext cx="1257300" cy="1028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66675</xdr:colOff>
      <xdr:row>61</xdr:row>
      <xdr:rowOff>66675</xdr:rowOff>
    </xdr:from>
    <xdr:to>
      <xdr:col>7</xdr:col>
      <xdr:colOff>1495425</xdr:colOff>
      <xdr:row>61</xdr:row>
      <xdr:rowOff>1171575</xdr:rowOff>
    </xdr:to>
    <xdr:pic>
      <xdr:nvPicPr>
        <xdr:cNvPr id="39" name="Imagen 296">
          <a:extLst>
            <a:ext uri="{FF2B5EF4-FFF2-40B4-BE49-F238E27FC236}">
              <a16:creationId xmlns:a16="http://schemas.microsoft.com/office/drawing/2014/main" id="{00000000-0008-0000-0100-0000565E0200}"/>
            </a:ext>
          </a:extLst>
        </xdr:cNvPr>
        <xdr:cNvPicPr>
          <a:picLocks noChangeAspect="1" noChangeArrowheads="1"/>
        </xdr:cNvPicPr>
      </xdr:nvPicPr>
      <xdr:blipFill>
        <a:blip xmlns:r="http://schemas.openxmlformats.org/officeDocument/2006/relationships" r:embed="rId38">
          <a:extLst>
            <a:ext uri="{28A0092B-C50C-407E-A947-70E740481C1C}">
              <a14:useLocalDpi xmlns:a14="http://schemas.microsoft.com/office/drawing/2010/main" val="0"/>
            </a:ext>
          </a:extLst>
        </a:blip>
        <a:srcRect/>
        <a:stretch>
          <a:fillRect/>
        </a:stretch>
      </xdr:blipFill>
      <xdr:spPr bwMode="auto">
        <a:xfrm>
          <a:off x="11534775" y="81124425"/>
          <a:ext cx="1428750" cy="1104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76200</xdr:colOff>
      <xdr:row>62</xdr:row>
      <xdr:rowOff>95250</xdr:rowOff>
    </xdr:from>
    <xdr:to>
      <xdr:col>7</xdr:col>
      <xdr:colOff>1466850</xdr:colOff>
      <xdr:row>62</xdr:row>
      <xdr:rowOff>1200150</xdr:rowOff>
    </xdr:to>
    <xdr:pic>
      <xdr:nvPicPr>
        <xdr:cNvPr id="40" name="Imagen 297">
          <a:extLst>
            <a:ext uri="{FF2B5EF4-FFF2-40B4-BE49-F238E27FC236}">
              <a16:creationId xmlns:a16="http://schemas.microsoft.com/office/drawing/2014/main" id="{00000000-0008-0000-0100-0000575E0200}"/>
            </a:ext>
          </a:extLst>
        </xdr:cNvPr>
        <xdr:cNvPicPr>
          <a:picLocks noChangeAspect="1" noChangeArrowheads="1"/>
        </xdr:cNvPicPr>
      </xdr:nvPicPr>
      <xdr:blipFill>
        <a:blip xmlns:r="http://schemas.openxmlformats.org/officeDocument/2006/relationships" r:embed="rId39" cstate="print">
          <a:extLst>
            <a:ext uri="{28A0092B-C50C-407E-A947-70E740481C1C}">
              <a14:useLocalDpi xmlns:a14="http://schemas.microsoft.com/office/drawing/2010/main" val="0"/>
            </a:ext>
          </a:extLst>
        </a:blip>
        <a:srcRect/>
        <a:stretch>
          <a:fillRect/>
        </a:stretch>
      </xdr:blipFill>
      <xdr:spPr bwMode="auto">
        <a:xfrm>
          <a:off x="11544300" y="82438875"/>
          <a:ext cx="1390650" cy="1104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114300</xdr:colOff>
      <xdr:row>63</xdr:row>
      <xdr:rowOff>85725</xdr:rowOff>
    </xdr:from>
    <xdr:to>
      <xdr:col>7</xdr:col>
      <xdr:colOff>1533525</xdr:colOff>
      <xdr:row>63</xdr:row>
      <xdr:rowOff>1123950</xdr:rowOff>
    </xdr:to>
    <xdr:pic>
      <xdr:nvPicPr>
        <xdr:cNvPr id="41" name="Imagen 298">
          <a:extLst>
            <a:ext uri="{FF2B5EF4-FFF2-40B4-BE49-F238E27FC236}">
              <a16:creationId xmlns:a16="http://schemas.microsoft.com/office/drawing/2014/main" id="{00000000-0008-0000-0100-0000585E0200}"/>
            </a:ext>
          </a:extLst>
        </xdr:cNvPr>
        <xdr:cNvPicPr>
          <a:picLocks noChangeAspect="1" noChangeArrowheads="1"/>
        </xdr:cNvPicPr>
      </xdr:nvPicPr>
      <xdr:blipFill>
        <a:blip xmlns:r="http://schemas.openxmlformats.org/officeDocument/2006/relationships" r:embed="rId40" cstate="print">
          <a:extLst>
            <a:ext uri="{28A0092B-C50C-407E-A947-70E740481C1C}">
              <a14:useLocalDpi xmlns:a14="http://schemas.microsoft.com/office/drawing/2010/main" val="0"/>
            </a:ext>
          </a:extLst>
        </a:blip>
        <a:srcRect/>
        <a:stretch>
          <a:fillRect/>
        </a:stretch>
      </xdr:blipFill>
      <xdr:spPr bwMode="auto">
        <a:xfrm>
          <a:off x="11582400" y="83715225"/>
          <a:ext cx="1419225" cy="1038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66675</xdr:colOff>
      <xdr:row>64</xdr:row>
      <xdr:rowOff>66675</xdr:rowOff>
    </xdr:from>
    <xdr:to>
      <xdr:col>7</xdr:col>
      <xdr:colOff>1504950</xdr:colOff>
      <xdr:row>64</xdr:row>
      <xdr:rowOff>1171575</xdr:rowOff>
    </xdr:to>
    <xdr:pic>
      <xdr:nvPicPr>
        <xdr:cNvPr id="42" name="Imagen 300">
          <a:extLst>
            <a:ext uri="{FF2B5EF4-FFF2-40B4-BE49-F238E27FC236}">
              <a16:creationId xmlns:a16="http://schemas.microsoft.com/office/drawing/2014/main" id="{00000000-0008-0000-0100-0000595E0200}"/>
            </a:ext>
          </a:extLst>
        </xdr:cNvPr>
        <xdr:cNvPicPr>
          <a:picLocks noChangeAspect="1" noChangeArrowheads="1"/>
        </xdr:cNvPicPr>
      </xdr:nvPicPr>
      <xdr:blipFill>
        <a:blip xmlns:r="http://schemas.openxmlformats.org/officeDocument/2006/relationships" r:embed="rId41" cstate="print">
          <a:extLst>
            <a:ext uri="{28A0092B-C50C-407E-A947-70E740481C1C}">
              <a14:useLocalDpi xmlns:a14="http://schemas.microsoft.com/office/drawing/2010/main" val="0"/>
            </a:ext>
          </a:extLst>
        </a:blip>
        <a:srcRect/>
        <a:stretch>
          <a:fillRect/>
        </a:stretch>
      </xdr:blipFill>
      <xdr:spPr bwMode="auto">
        <a:xfrm>
          <a:off x="11534775" y="84982050"/>
          <a:ext cx="1438275" cy="1104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142875</xdr:colOff>
      <xdr:row>65</xdr:row>
      <xdr:rowOff>381000</xdr:rowOff>
    </xdr:from>
    <xdr:to>
      <xdr:col>7</xdr:col>
      <xdr:colOff>1447800</xdr:colOff>
      <xdr:row>65</xdr:row>
      <xdr:rowOff>923925</xdr:rowOff>
    </xdr:to>
    <xdr:pic>
      <xdr:nvPicPr>
        <xdr:cNvPr id="43" name="Imagen 301">
          <a:extLst>
            <a:ext uri="{FF2B5EF4-FFF2-40B4-BE49-F238E27FC236}">
              <a16:creationId xmlns:a16="http://schemas.microsoft.com/office/drawing/2014/main" id="{00000000-0008-0000-0100-00005A5E0200}"/>
            </a:ext>
          </a:extLst>
        </xdr:cNvPr>
        <xdr:cNvPicPr>
          <a:picLocks noChangeAspect="1" noChangeArrowheads="1"/>
        </xdr:cNvPicPr>
      </xdr:nvPicPr>
      <xdr:blipFill>
        <a:blip xmlns:r="http://schemas.openxmlformats.org/officeDocument/2006/relationships" r:embed="rId42" cstate="print">
          <a:extLst>
            <a:ext uri="{28A0092B-C50C-407E-A947-70E740481C1C}">
              <a14:useLocalDpi xmlns:a14="http://schemas.microsoft.com/office/drawing/2010/main" val="0"/>
            </a:ext>
          </a:extLst>
        </a:blip>
        <a:srcRect/>
        <a:stretch>
          <a:fillRect/>
        </a:stretch>
      </xdr:blipFill>
      <xdr:spPr bwMode="auto">
        <a:xfrm>
          <a:off x="11610975" y="86582250"/>
          <a:ext cx="130492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133350</xdr:colOff>
      <xdr:row>66</xdr:row>
      <xdr:rowOff>314325</xdr:rowOff>
    </xdr:from>
    <xdr:to>
      <xdr:col>7</xdr:col>
      <xdr:colOff>1438275</xdr:colOff>
      <xdr:row>66</xdr:row>
      <xdr:rowOff>866775</xdr:rowOff>
    </xdr:to>
    <xdr:pic>
      <xdr:nvPicPr>
        <xdr:cNvPr id="44" name="Imagen 302">
          <a:extLst>
            <a:ext uri="{FF2B5EF4-FFF2-40B4-BE49-F238E27FC236}">
              <a16:creationId xmlns:a16="http://schemas.microsoft.com/office/drawing/2014/main" id="{00000000-0008-0000-0100-00005B5E0200}"/>
            </a:ext>
          </a:extLst>
        </xdr:cNvPr>
        <xdr:cNvPicPr>
          <a:picLocks noChangeAspect="1" noChangeArrowheads="1"/>
        </xdr:cNvPicPr>
      </xdr:nvPicPr>
      <xdr:blipFill>
        <a:blip xmlns:r="http://schemas.openxmlformats.org/officeDocument/2006/relationships" r:embed="rId43" cstate="print">
          <a:extLst>
            <a:ext uri="{28A0092B-C50C-407E-A947-70E740481C1C}">
              <a14:useLocalDpi xmlns:a14="http://schemas.microsoft.com/office/drawing/2010/main" val="0"/>
            </a:ext>
          </a:extLst>
        </a:blip>
        <a:srcRect/>
        <a:stretch>
          <a:fillRect/>
        </a:stretch>
      </xdr:blipFill>
      <xdr:spPr bwMode="auto">
        <a:xfrm>
          <a:off x="11601450" y="87801450"/>
          <a:ext cx="1304925"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142875</xdr:colOff>
      <xdr:row>67</xdr:row>
      <xdr:rowOff>371475</xdr:rowOff>
    </xdr:from>
    <xdr:to>
      <xdr:col>7</xdr:col>
      <xdr:colOff>1447800</xdr:colOff>
      <xdr:row>67</xdr:row>
      <xdr:rowOff>923925</xdr:rowOff>
    </xdr:to>
    <xdr:pic>
      <xdr:nvPicPr>
        <xdr:cNvPr id="45" name="Imagen 303">
          <a:extLst>
            <a:ext uri="{FF2B5EF4-FFF2-40B4-BE49-F238E27FC236}">
              <a16:creationId xmlns:a16="http://schemas.microsoft.com/office/drawing/2014/main" id="{00000000-0008-0000-0100-00005C5E0200}"/>
            </a:ext>
          </a:extLst>
        </xdr:cNvPr>
        <xdr:cNvPicPr>
          <a:picLocks noChangeAspect="1" noChangeArrowheads="1"/>
        </xdr:cNvPicPr>
      </xdr:nvPicPr>
      <xdr:blipFill>
        <a:blip xmlns:r="http://schemas.openxmlformats.org/officeDocument/2006/relationships" r:embed="rId44" cstate="print">
          <a:extLst>
            <a:ext uri="{28A0092B-C50C-407E-A947-70E740481C1C}">
              <a14:useLocalDpi xmlns:a14="http://schemas.microsoft.com/office/drawing/2010/main" val="0"/>
            </a:ext>
          </a:extLst>
        </a:blip>
        <a:srcRect/>
        <a:stretch>
          <a:fillRect/>
        </a:stretch>
      </xdr:blipFill>
      <xdr:spPr bwMode="auto">
        <a:xfrm>
          <a:off x="11610975" y="89144475"/>
          <a:ext cx="1304925"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409575</xdr:colOff>
      <xdr:row>68</xdr:row>
      <xdr:rowOff>245268</xdr:rowOff>
    </xdr:from>
    <xdr:to>
      <xdr:col>7</xdr:col>
      <xdr:colOff>1714500</xdr:colOff>
      <xdr:row>68</xdr:row>
      <xdr:rowOff>797718</xdr:rowOff>
    </xdr:to>
    <xdr:pic>
      <xdr:nvPicPr>
        <xdr:cNvPr id="46" name="Imagen 304">
          <a:extLst>
            <a:ext uri="{FF2B5EF4-FFF2-40B4-BE49-F238E27FC236}">
              <a16:creationId xmlns:a16="http://schemas.microsoft.com/office/drawing/2014/main" id="{00000000-0008-0000-0100-00005D5E0200}"/>
            </a:ext>
          </a:extLst>
        </xdr:cNvPr>
        <xdr:cNvPicPr>
          <a:picLocks noChangeAspect="1" noChangeArrowheads="1"/>
        </xdr:cNvPicPr>
      </xdr:nvPicPr>
      <xdr:blipFill>
        <a:blip xmlns:r="http://schemas.openxmlformats.org/officeDocument/2006/relationships" r:embed="rId45" cstate="print">
          <a:extLst>
            <a:ext uri="{28A0092B-C50C-407E-A947-70E740481C1C}">
              <a14:useLocalDpi xmlns:a14="http://schemas.microsoft.com/office/drawing/2010/main" val="0"/>
            </a:ext>
          </a:extLst>
        </a:blip>
        <a:srcRect/>
        <a:stretch>
          <a:fillRect/>
        </a:stretch>
      </xdr:blipFill>
      <xdr:spPr bwMode="auto">
        <a:xfrm>
          <a:off x="11877675" y="90304143"/>
          <a:ext cx="1304925"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114300</xdr:colOff>
      <xdr:row>69</xdr:row>
      <xdr:rowOff>352425</xdr:rowOff>
    </xdr:from>
    <xdr:to>
      <xdr:col>7</xdr:col>
      <xdr:colOff>1419225</xdr:colOff>
      <xdr:row>69</xdr:row>
      <xdr:rowOff>885825</xdr:rowOff>
    </xdr:to>
    <xdr:pic>
      <xdr:nvPicPr>
        <xdr:cNvPr id="47" name="Imagen 306">
          <a:extLst>
            <a:ext uri="{FF2B5EF4-FFF2-40B4-BE49-F238E27FC236}">
              <a16:creationId xmlns:a16="http://schemas.microsoft.com/office/drawing/2014/main" id="{00000000-0008-0000-0100-00005E5E02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1582400" y="91697175"/>
          <a:ext cx="13049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114300</xdr:colOff>
      <xdr:row>70</xdr:row>
      <xdr:rowOff>371475</xdr:rowOff>
    </xdr:from>
    <xdr:to>
      <xdr:col>7</xdr:col>
      <xdr:colOff>1419225</xdr:colOff>
      <xdr:row>70</xdr:row>
      <xdr:rowOff>904875</xdr:rowOff>
    </xdr:to>
    <xdr:pic>
      <xdr:nvPicPr>
        <xdr:cNvPr id="48" name="Imagen 307">
          <a:extLst>
            <a:ext uri="{FF2B5EF4-FFF2-40B4-BE49-F238E27FC236}">
              <a16:creationId xmlns:a16="http://schemas.microsoft.com/office/drawing/2014/main" id="{00000000-0008-0000-0100-00005F5E02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1582400" y="93002100"/>
          <a:ext cx="13049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95250</xdr:colOff>
      <xdr:row>71</xdr:row>
      <xdr:rowOff>352425</xdr:rowOff>
    </xdr:from>
    <xdr:to>
      <xdr:col>7</xdr:col>
      <xdr:colOff>1400175</xdr:colOff>
      <xdr:row>71</xdr:row>
      <xdr:rowOff>876300</xdr:rowOff>
    </xdr:to>
    <xdr:pic>
      <xdr:nvPicPr>
        <xdr:cNvPr id="49" name="Imagen 308">
          <a:extLst>
            <a:ext uri="{FF2B5EF4-FFF2-40B4-BE49-F238E27FC236}">
              <a16:creationId xmlns:a16="http://schemas.microsoft.com/office/drawing/2014/main" id="{00000000-0008-0000-0100-0000605E0200}"/>
            </a:ext>
          </a:extLst>
        </xdr:cNvPr>
        <xdr:cNvPicPr>
          <a:picLocks noChangeAspect="1" noChangeArrowheads="1"/>
        </xdr:cNvPicPr>
      </xdr:nvPicPr>
      <xdr:blipFill>
        <a:blip xmlns:r="http://schemas.openxmlformats.org/officeDocument/2006/relationships" r:embed="rId46" cstate="print">
          <a:extLst>
            <a:ext uri="{28A0092B-C50C-407E-A947-70E740481C1C}">
              <a14:useLocalDpi xmlns:a14="http://schemas.microsoft.com/office/drawing/2010/main" val="0"/>
            </a:ext>
          </a:extLst>
        </a:blip>
        <a:srcRect/>
        <a:stretch>
          <a:fillRect/>
        </a:stretch>
      </xdr:blipFill>
      <xdr:spPr bwMode="auto">
        <a:xfrm>
          <a:off x="11563350" y="94268925"/>
          <a:ext cx="1304925"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104775</xdr:colOff>
      <xdr:row>72</xdr:row>
      <xdr:rowOff>352425</xdr:rowOff>
    </xdr:from>
    <xdr:to>
      <xdr:col>7</xdr:col>
      <xdr:colOff>1409700</xdr:colOff>
      <xdr:row>72</xdr:row>
      <xdr:rowOff>876300</xdr:rowOff>
    </xdr:to>
    <xdr:pic>
      <xdr:nvPicPr>
        <xdr:cNvPr id="50" name="Imagen 309">
          <a:extLst>
            <a:ext uri="{FF2B5EF4-FFF2-40B4-BE49-F238E27FC236}">
              <a16:creationId xmlns:a16="http://schemas.microsoft.com/office/drawing/2014/main" id="{00000000-0008-0000-0100-0000615E0200}"/>
            </a:ext>
          </a:extLst>
        </xdr:cNvPr>
        <xdr:cNvPicPr>
          <a:picLocks noChangeAspect="1" noChangeArrowheads="1"/>
        </xdr:cNvPicPr>
      </xdr:nvPicPr>
      <xdr:blipFill>
        <a:blip xmlns:r="http://schemas.openxmlformats.org/officeDocument/2006/relationships" r:embed="rId47" cstate="print">
          <a:extLst>
            <a:ext uri="{28A0092B-C50C-407E-A947-70E740481C1C}">
              <a14:useLocalDpi xmlns:a14="http://schemas.microsoft.com/office/drawing/2010/main" val="0"/>
            </a:ext>
          </a:extLst>
        </a:blip>
        <a:srcRect/>
        <a:stretch>
          <a:fillRect/>
        </a:stretch>
      </xdr:blipFill>
      <xdr:spPr bwMode="auto">
        <a:xfrm>
          <a:off x="11572875" y="95554800"/>
          <a:ext cx="1304925"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171450</xdr:colOff>
      <xdr:row>73</xdr:row>
      <xdr:rowOff>352425</xdr:rowOff>
    </xdr:from>
    <xdr:to>
      <xdr:col>7</xdr:col>
      <xdr:colOff>1476375</xdr:colOff>
      <xdr:row>73</xdr:row>
      <xdr:rowOff>876300</xdr:rowOff>
    </xdr:to>
    <xdr:pic>
      <xdr:nvPicPr>
        <xdr:cNvPr id="51" name="Imagen 310">
          <a:extLst>
            <a:ext uri="{FF2B5EF4-FFF2-40B4-BE49-F238E27FC236}">
              <a16:creationId xmlns:a16="http://schemas.microsoft.com/office/drawing/2014/main" id="{00000000-0008-0000-0100-0000625E0200}"/>
            </a:ext>
          </a:extLst>
        </xdr:cNvPr>
        <xdr:cNvPicPr>
          <a:picLocks noChangeAspect="1" noChangeArrowheads="1"/>
        </xdr:cNvPicPr>
      </xdr:nvPicPr>
      <xdr:blipFill>
        <a:blip xmlns:r="http://schemas.openxmlformats.org/officeDocument/2006/relationships" r:embed="rId48" cstate="print">
          <a:extLst>
            <a:ext uri="{28A0092B-C50C-407E-A947-70E740481C1C}">
              <a14:useLocalDpi xmlns:a14="http://schemas.microsoft.com/office/drawing/2010/main" val="0"/>
            </a:ext>
          </a:extLst>
        </a:blip>
        <a:srcRect/>
        <a:stretch>
          <a:fillRect/>
        </a:stretch>
      </xdr:blipFill>
      <xdr:spPr bwMode="auto">
        <a:xfrm>
          <a:off x="11639550" y="96840675"/>
          <a:ext cx="1304925"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152400</xdr:colOff>
      <xdr:row>74</xdr:row>
      <xdr:rowOff>114300</xdr:rowOff>
    </xdr:from>
    <xdr:to>
      <xdr:col>7</xdr:col>
      <xdr:colOff>1476375</xdr:colOff>
      <xdr:row>74</xdr:row>
      <xdr:rowOff>1133475</xdr:rowOff>
    </xdr:to>
    <xdr:pic>
      <xdr:nvPicPr>
        <xdr:cNvPr id="52" name="Imagen 311" descr="Resultado de imagen para agua en botella con gas">
          <a:extLst>
            <a:ext uri="{FF2B5EF4-FFF2-40B4-BE49-F238E27FC236}">
              <a16:creationId xmlns:a16="http://schemas.microsoft.com/office/drawing/2014/main" id="{00000000-0008-0000-0100-0000635E0200}"/>
            </a:ext>
          </a:extLst>
        </xdr:cNvPr>
        <xdr:cNvPicPr>
          <a:picLocks noChangeAspect="1" noChangeArrowheads="1"/>
        </xdr:cNvPicPr>
      </xdr:nvPicPr>
      <xdr:blipFill>
        <a:blip xmlns:r="http://schemas.openxmlformats.org/officeDocument/2006/relationships" r:embed="rId49">
          <a:extLst>
            <a:ext uri="{28A0092B-C50C-407E-A947-70E740481C1C}">
              <a14:useLocalDpi xmlns:a14="http://schemas.microsoft.com/office/drawing/2010/main" val="0"/>
            </a:ext>
          </a:extLst>
        </a:blip>
        <a:srcRect/>
        <a:stretch>
          <a:fillRect/>
        </a:stretch>
      </xdr:blipFill>
      <xdr:spPr bwMode="auto">
        <a:xfrm>
          <a:off x="11620500" y="97888425"/>
          <a:ext cx="1323975"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476250</xdr:colOff>
      <xdr:row>77</xdr:row>
      <xdr:rowOff>66675</xdr:rowOff>
    </xdr:from>
    <xdr:to>
      <xdr:col>7</xdr:col>
      <xdr:colOff>1019175</xdr:colOff>
      <xdr:row>77</xdr:row>
      <xdr:rowOff>1066800</xdr:rowOff>
    </xdr:to>
    <xdr:pic>
      <xdr:nvPicPr>
        <xdr:cNvPr id="53" name="Imagen 312">
          <a:extLst>
            <a:ext uri="{FF2B5EF4-FFF2-40B4-BE49-F238E27FC236}">
              <a16:creationId xmlns:a16="http://schemas.microsoft.com/office/drawing/2014/main" id="{00000000-0008-0000-0100-0000645E0200}"/>
            </a:ext>
          </a:extLst>
        </xdr:cNvPr>
        <xdr:cNvPicPr>
          <a:picLocks noChangeAspect="1" noChangeArrowheads="1"/>
        </xdr:cNvPicPr>
      </xdr:nvPicPr>
      <xdr:blipFill>
        <a:blip xmlns:r="http://schemas.openxmlformats.org/officeDocument/2006/relationships" r:embed="rId50" cstate="print">
          <a:extLst>
            <a:ext uri="{28A0092B-C50C-407E-A947-70E740481C1C}">
              <a14:useLocalDpi xmlns:a14="http://schemas.microsoft.com/office/drawing/2010/main" val="0"/>
            </a:ext>
          </a:extLst>
        </a:blip>
        <a:srcRect/>
        <a:stretch>
          <a:fillRect/>
        </a:stretch>
      </xdr:blipFill>
      <xdr:spPr bwMode="auto">
        <a:xfrm>
          <a:off x="11944350" y="101698425"/>
          <a:ext cx="54292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409575</xdr:colOff>
      <xdr:row>75</xdr:row>
      <xdr:rowOff>104775</xdr:rowOff>
    </xdr:from>
    <xdr:to>
      <xdr:col>7</xdr:col>
      <xdr:colOff>1219200</xdr:colOff>
      <xdr:row>75</xdr:row>
      <xdr:rowOff>952500</xdr:rowOff>
    </xdr:to>
    <xdr:pic>
      <xdr:nvPicPr>
        <xdr:cNvPr id="54" name="Imagen 313">
          <a:extLst>
            <a:ext uri="{FF2B5EF4-FFF2-40B4-BE49-F238E27FC236}">
              <a16:creationId xmlns:a16="http://schemas.microsoft.com/office/drawing/2014/main" id="{00000000-0008-0000-0100-0000655E0200}"/>
            </a:ext>
          </a:extLst>
        </xdr:cNvPr>
        <xdr:cNvPicPr>
          <a:picLocks noChangeAspect="1" noChangeArrowheads="1"/>
        </xdr:cNvPicPr>
      </xdr:nvPicPr>
      <xdr:blipFill>
        <a:blip xmlns:r="http://schemas.openxmlformats.org/officeDocument/2006/relationships" r:embed="rId51" cstate="print">
          <a:extLst>
            <a:ext uri="{28A0092B-C50C-407E-A947-70E740481C1C}">
              <a14:useLocalDpi xmlns:a14="http://schemas.microsoft.com/office/drawing/2010/main" val="0"/>
            </a:ext>
          </a:extLst>
        </a:blip>
        <a:srcRect/>
        <a:stretch>
          <a:fillRect/>
        </a:stretch>
      </xdr:blipFill>
      <xdr:spPr bwMode="auto">
        <a:xfrm>
          <a:off x="11877675" y="99164775"/>
          <a:ext cx="809625" cy="847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349250</xdr:colOff>
      <xdr:row>76</xdr:row>
      <xdr:rowOff>133350</xdr:rowOff>
    </xdr:from>
    <xdr:to>
      <xdr:col>7</xdr:col>
      <xdr:colOff>1021292</xdr:colOff>
      <xdr:row>76</xdr:row>
      <xdr:rowOff>1057275</xdr:rowOff>
    </xdr:to>
    <xdr:pic>
      <xdr:nvPicPr>
        <xdr:cNvPr id="55" name="Imagen 314">
          <a:extLst>
            <a:ext uri="{FF2B5EF4-FFF2-40B4-BE49-F238E27FC236}">
              <a16:creationId xmlns:a16="http://schemas.microsoft.com/office/drawing/2014/main" id="{00000000-0008-0000-0100-0000665E0200}"/>
            </a:ext>
          </a:extLst>
        </xdr:cNvPr>
        <xdr:cNvPicPr>
          <a:picLocks noChangeAspect="1" noChangeArrowheads="1"/>
        </xdr:cNvPicPr>
      </xdr:nvPicPr>
      <xdr:blipFill>
        <a:blip xmlns:r="http://schemas.openxmlformats.org/officeDocument/2006/relationships" r:embed="rId52">
          <a:extLst>
            <a:ext uri="{28A0092B-C50C-407E-A947-70E740481C1C}">
              <a14:useLocalDpi xmlns:a14="http://schemas.microsoft.com/office/drawing/2010/main" val="0"/>
            </a:ext>
          </a:extLst>
        </a:blip>
        <a:srcRect/>
        <a:stretch>
          <a:fillRect/>
        </a:stretch>
      </xdr:blipFill>
      <xdr:spPr bwMode="auto">
        <a:xfrm>
          <a:off x="11817350" y="100479225"/>
          <a:ext cx="672042"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409575</xdr:colOff>
      <xdr:row>78</xdr:row>
      <xdr:rowOff>246593</xdr:rowOff>
    </xdr:from>
    <xdr:to>
      <xdr:col>7</xdr:col>
      <xdr:colOff>1227667</xdr:colOff>
      <xdr:row>78</xdr:row>
      <xdr:rowOff>1054807</xdr:rowOff>
    </xdr:to>
    <xdr:pic>
      <xdr:nvPicPr>
        <xdr:cNvPr id="56" name="Imagen 316">
          <a:extLst>
            <a:ext uri="{FF2B5EF4-FFF2-40B4-BE49-F238E27FC236}">
              <a16:creationId xmlns:a16="http://schemas.microsoft.com/office/drawing/2014/main" id="{00000000-0008-0000-0100-0000675E0200}"/>
            </a:ext>
          </a:extLst>
        </xdr:cNvPr>
        <xdr:cNvPicPr>
          <a:picLocks noChangeAspect="1" noChangeArrowheads="1"/>
        </xdr:cNvPicPr>
      </xdr:nvPicPr>
      <xdr:blipFill>
        <a:blip xmlns:r="http://schemas.openxmlformats.org/officeDocument/2006/relationships" r:embed="rId53" cstate="print">
          <a:extLst>
            <a:ext uri="{28A0092B-C50C-407E-A947-70E740481C1C}">
              <a14:useLocalDpi xmlns:a14="http://schemas.microsoft.com/office/drawing/2010/main" val="0"/>
            </a:ext>
          </a:extLst>
        </a:blip>
        <a:srcRect/>
        <a:stretch>
          <a:fillRect/>
        </a:stretch>
      </xdr:blipFill>
      <xdr:spPr bwMode="auto">
        <a:xfrm>
          <a:off x="11877675" y="103164218"/>
          <a:ext cx="818092" cy="8082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152400</xdr:colOff>
      <xdr:row>79</xdr:row>
      <xdr:rowOff>333375</xdr:rowOff>
    </xdr:from>
    <xdr:to>
      <xdr:col>7</xdr:col>
      <xdr:colOff>1457325</xdr:colOff>
      <xdr:row>79</xdr:row>
      <xdr:rowOff>857250</xdr:rowOff>
    </xdr:to>
    <xdr:pic>
      <xdr:nvPicPr>
        <xdr:cNvPr id="57" name="Imagen 320">
          <a:extLst>
            <a:ext uri="{FF2B5EF4-FFF2-40B4-BE49-F238E27FC236}">
              <a16:creationId xmlns:a16="http://schemas.microsoft.com/office/drawing/2014/main" id="{00000000-0008-0000-0100-00006A5E02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1620500" y="104536875"/>
          <a:ext cx="1304925"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227239</xdr:colOff>
      <xdr:row>80</xdr:row>
      <xdr:rowOff>375557</xdr:rowOff>
    </xdr:from>
    <xdr:to>
      <xdr:col>7</xdr:col>
      <xdr:colOff>1532164</xdr:colOff>
      <xdr:row>80</xdr:row>
      <xdr:rowOff>908957</xdr:rowOff>
    </xdr:to>
    <xdr:pic>
      <xdr:nvPicPr>
        <xdr:cNvPr id="58" name="Imagen 321">
          <a:extLst>
            <a:ext uri="{FF2B5EF4-FFF2-40B4-BE49-F238E27FC236}">
              <a16:creationId xmlns:a16="http://schemas.microsoft.com/office/drawing/2014/main" id="{00000000-0008-0000-0100-00006B5E02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1695339" y="105864932"/>
          <a:ext cx="13049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85725</xdr:colOff>
      <xdr:row>88</xdr:row>
      <xdr:rowOff>180975</xdr:rowOff>
    </xdr:from>
    <xdr:to>
      <xdr:col>7</xdr:col>
      <xdr:colOff>1457325</xdr:colOff>
      <xdr:row>88</xdr:row>
      <xdr:rowOff>1028700</xdr:rowOff>
    </xdr:to>
    <xdr:pic>
      <xdr:nvPicPr>
        <xdr:cNvPr id="59" name="Imagen 323">
          <a:extLst>
            <a:ext uri="{FF2B5EF4-FFF2-40B4-BE49-F238E27FC236}">
              <a16:creationId xmlns:a16="http://schemas.microsoft.com/office/drawing/2014/main" id="{00000000-0008-0000-0100-00006C5E0200}"/>
            </a:ext>
          </a:extLst>
        </xdr:cNvPr>
        <xdr:cNvPicPr>
          <a:picLocks noChangeAspect="1" noChangeArrowheads="1"/>
        </xdr:cNvPicPr>
      </xdr:nvPicPr>
      <xdr:blipFill>
        <a:blip xmlns:r="http://schemas.openxmlformats.org/officeDocument/2006/relationships" r:embed="rId54">
          <a:extLst>
            <a:ext uri="{28A0092B-C50C-407E-A947-70E740481C1C}">
              <a14:useLocalDpi xmlns:a14="http://schemas.microsoft.com/office/drawing/2010/main" val="0"/>
            </a:ext>
          </a:extLst>
        </a:blip>
        <a:srcRect/>
        <a:stretch>
          <a:fillRect/>
        </a:stretch>
      </xdr:blipFill>
      <xdr:spPr bwMode="auto">
        <a:xfrm>
          <a:off x="11553825" y="116309775"/>
          <a:ext cx="1371600" cy="847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133350</xdr:colOff>
      <xdr:row>89</xdr:row>
      <xdr:rowOff>133350</xdr:rowOff>
    </xdr:from>
    <xdr:to>
      <xdr:col>7</xdr:col>
      <xdr:colOff>1485900</xdr:colOff>
      <xdr:row>89</xdr:row>
      <xdr:rowOff>1066800</xdr:rowOff>
    </xdr:to>
    <xdr:pic>
      <xdr:nvPicPr>
        <xdr:cNvPr id="60" name="Imagen 324">
          <a:extLst>
            <a:ext uri="{FF2B5EF4-FFF2-40B4-BE49-F238E27FC236}">
              <a16:creationId xmlns:a16="http://schemas.microsoft.com/office/drawing/2014/main" id="{00000000-0008-0000-0100-00006D5E0200}"/>
            </a:ext>
          </a:extLst>
        </xdr:cNvPr>
        <xdr:cNvPicPr>
          <a:picLocks noChangeAspect="1" noChangeArrowheads="1"/>
        </xdr:cNvPicPr>
      </xdr:nvPicPr>
      <xdr:blipFill>
        <a:blip xmlns:r="http://schemas.openxmlformats.org/officeDocument/2006/relationships" r:embed="rId55" cstate="print">
          <a:extLst>
            <a:ext uri="{28A0092B-C50C-407E-A947-70E740481C1C}">
              <a14:useLocalDpi xmlns:a14="http://schemas.microsoft.com/office/drawing/2010/main" val="0"/>
            </a:ext>
          </a:extLst>
        </a:blip>
        <a:srcRect/>
        <a:stretch>
          <a:fillRect/>
        </a:stretch>
      </xdr:blipFill>
      <xdr:spPr bwMode="auto">
        <a:xfrm>
          <a:off x="11601450" y="117548025"/>
          <a:ext cx="1352550"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161925</xdr:colOff>
      <xdr:row>90</xdr:row>
      <xdr:rowOff>161925</xdr:rowOff>
    </xdr:from>
    <xdr:to>
      <xdr:col>7</xdr:col>
      <xdr:colOff>1419225</xdr:colOff>
      <xdr:row>90</xdr:row>
      <xdr:rowOff>1095375</xdr:rowOff>
    </xdr:to>
    <xdr:pic>
      <xdr:nvPicPr>
        <xdr:cNvPr id="61" name="Imagen 325">
          <a:extLst>
            <a:ext uri="{FF2B5EF4-FFF2-40B4-BE49-F238E27FC236}">
              <a16:creationId xmlns:a16="http://schemas.microsoft.com/office/drawing/2014/main" id="{00000000-0008-0000-0100-00006E5E0200}"/>
            </a:ext>
          </a:extLst>
        </xdr:cNvPr>
        <xdr:cNvPicPr>
          <a:picLocks noChangeAspect="1" noChangeArrowheads="1"/>
        </xdr:cNvPicPr>
      </xdr:nvPicPr>
      <xdr:blipFill>
        <a:blip xmlns:r="http://schemas.openxmlformats.org/officeDocument/2006/relationships" r:embed="rId56" cstate="print">
          <a:extLst>
            <a:ext uri="{28A0092B-C50C-407E-A947-70E740481C1C}">
              <a14:useLocalDpi xmlns:a14="http://schemas.microsoft.com/office/drawing/2010/main" val="0"/>
            </a:ext>
          </a:extLst>
        </a:blip>
        <a:srcRect/>
        <a:stretch>
          <a:fillRect/>
        </a:stretch>
      </xdr:blipFill>
      <xdr:spPr bwMode="auto">
        <a:xfrm>
          <a:off x="11630025" y="118862475"/>
          <a:ext cx="1257300"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123825</xdr:colOff>
      <xdr:row>91</xdr:row>
      <xdr:rowOff>95250</xdr:rowOff>
    </xdr:from>
    <xdr:to>
      <xdr:col>7</xdr:col>
      <xdr:colOff>1476375</xdr:colOff>
      <xdr:row>91</xdr:row>
      <xdr:rowOff>1085850</xdr:rowOff>
    </xdr:to>
    <xdr:pic>
      <xdr:nvPicPr>
        <xdr:cNvPr id="62" name="Imagen 326">
          <a:extLst>
            <a:ext uri="{FF2B5EF4-FFF2-40B4-BE49-F238E27FC236}">
              <a16:creationId xmlns:a16="http://schemas.microsoft.com/office/drawing/2014/main" id="{00000000-0008-0000-0100-00006F5E0200}"/>
            </a:ext>
          </a:extLst>
        </xdr:cNvPr>
        <xdr:cNvPicPr>
          <a:picLocks noChangeAspect="1" noChangeArrowheads="1"/>
        </xdr:cNvPicPr>
      </xdr:nvPicPr>
      <xdr:blipFill>
        <a:blip xmlns:r="http://schemas.openxmlformats.org/officeDocument/2006/relationships" r:embed="rId57" cstate="print">
          <a:extLst>
            <a:ext uri="{28A0092B-C50C-407E-A947-70E740481C1C}">
              <a14:useLocalDpi xmlns:a14="http://schemas.microsoft.com/office/drawing/2010/main" val="0"/>
            </a:ext>
          </a:extLst>
        </a:blip>
        <a:srcRect/>
        <a:stretch>
          <a:fillRect/>
        </a:stretch>
      </xdr:blipFill>
      <xdr:spPr bwMode="auto">
        <a:xfrm>
          <a:off x="11591925" y="120081675"/>
          <a:ext cx="1352550" cy="990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114300</xdr:colOff>
      <xdr:row>94</xdr:row>
      <xdr:rowOff>361950</xdr:rowOff>
    </xdr:from>
    <xdr:to>
      <xdr:col>7</xdr:col>
      <xdr:colOff>1428750</xdr:colOff>
      <xdr:row>94</xdr:row>
      <xdr:rowOff>895350</xdr:rowOff>
    </xdr:to>
    <xdr:pic>
      <xdr:nvPicPr>
        <xdr:cNvPr id="63" name="Imagen 340">
          <a:extLst>
            <a:ext uri="{FF2B5EF4-FFF2-40B4-BE49-F238E27FC236}">
              <a16:creationId xmlns:a16="http://schemas.microsoft.com/office/drawing/2014/main" id="{00000000-0008-0000-0100-0000755E02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582400" y="124206000"/>
          <a:ext cx="131445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142875</xdr:colOff>
      <xdr:row>95</xdr:row>
      <xdr:rowOff>361950</xdr:rowOff>
    </xdr:from>
    <xdr:to>
      <xdr:col>7</xdr:col>
      <xdr:colOff>1447800</xdr:colOff>
      <xdr:row>95</xdr:row>
      <xdr:rowOff>895350</xdr:rowOff>
    </xdr:to>
    <xdr:pic>
      <xdr:nvPicPr>
        <xdr:cNvPr id="64" name="Imagen 341">
          <a:extLst>
            <a:ext uri="{FF2B5EF4-FFF2-40B4-BE49-F238E27FC236}">
              <a16:creationId xmlns:a16="http://schemas.microsoft.com/office/drawing/2014/main" id="{00000000-0008-0000-0100-0000765E02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1610975" y="125491875"/>
          <a:ext cx="13049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296636</xdr:colOff>
      <xdr:row>97</xdr:row>
      <xdr:rowOff>395968</xdr:rowOff>
    </xdr:from>
    <xdr:to>
      <xdr:col>7</xdr:col>
      <xdr:colOff>1601561</xdr:colOff>
      <xdr:row>97</xdr:row>
      <xdr:rowOff>948418</xdr:rowOff>
    </xdr:to>
    <xdr:pic>
      <xdr:nvPicPr>
        <xdr:cNvPr id="65" name="Imagen 348">
          <a:extLst>
            <a:ext uri="{FF2B5EF4-FFF2-40B4-BE49-F238E27FC236}">
              <a16:creationId xmlns:a16="http://schemas.microsoft.com/office/drawing/2014/main" id="{00000000-0008-0000-0100-0000775E0200}"/>
            </a:ext>
          </a:extLst>
        </xdr:cNvPr>
        <xdr:cNvPicPr>
          <a:picLocks noChangeAspect="1" noChangeArrowheads="1"/>
        </xdr:cNvPicPr>
      </xdr:nvPicPr>
      <xdr:blipFill>
        <a:blip xmlns:r="http://schemas.openxmlformats.org/officeDocument/2006/relationships" r:embed="rId58" cstate="print">
          <a:extLst>
            <a:ext uri="{28A0092B-C50C-407E-A947-70E740481C1C}">
              <a14:useLocalDpi xmlns:a14="http://schemas.microsoft.com/office/drawing/2010/main" val="0"/>
            </a:ext>
          </a:extLst>
        </a:blip>
        <a:srcRect/>
        <a:stretch>
          <a:fillRect/>
        </a:stretch>
      </xdr:blipFill>
      <xdr:spPr bwMode="auto">
        <a:xfrm>
          <a:off x="11764736" y="128097643"/>
          <a:ext cx="1304925"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219075</xdr:colOff>
      <xdr:row>19</xdr:row>
      <xdr:rowOff>228600</xdr:rowOff>
    </xdr:from>
    <xdr:to>
      <xdr:col>7</xdr:col>
      <xdr:colOff>1314450</xdr:colOff>
      <xdr:row>19</xdr:row>
      <xdr:rowOff>1057275</xdr:rowOff>
    </xdr:to>
    <xdr:pic>
      <xdr:nvPicPr>
        <xdr:cNvPr id="66" name="Imagen 1">
          <a:extLst>
            <a:ext uri="{FF2B5EF4-FFF2-40B4-BE49-F238E27FC236}">
              <a16:creationId xmlns:a16="http://schemas.microsoft.com/office/drawing/2014/main" id="{00000000-0008-0000-0100-0000825E0200}"/>
            </a:ext>
          </a:extLst>
        </xdr:cNvPr>
        <xdr:cNvPicPr>
          <a:picLocks noChangeAspect="1"/>
        </xdr:cNvPicPr>
      </xdr:nvPicPr>
      <xdr:blipFill>
        <a:blip xmlns:r="http://schemas.openxmlformats.org/officeDocument/2006/relationships" r:embed="rId59" cstate="print">
          <a:extLst>
            <a:ext uri="{28A0092B-C50C-407E-A947-70E740481C1C}">
              <a14:useLocalDpi xmlns:a14="http://schemas.microsoft.com/office/drawing/2010/main" val="0"/>
            </a:ext>
          </a:extLst>
        </a:blip>
        <a:srcRect/>
        <a:stretch>
          <a:fillRect/>
        </a:stretch>
      </xdr:blipFill>
      <xdr:spPr bwMode="auto">
        <a:xfrm>
          <a:off x="11687175" y="23279100"/>
          <a:ext cx="10953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209550</xdr:colOff>
      <xdr:row>21</xdr:row>
      <xdr:rowOff>219075</xdr:rowOff>
    </xdr:from>
    <xdr:to>
      <xdr:col>7</xdr:col>
      <xdr:colOff>1362075</xdr:colOff>
      <xdr:row>21</xdr:row>
      <xdr:rowOff>1028700</xdr:rowOff>
    </xdr:to>
    <xdr:pic>
      <xdr:nvPicPr>
        <xdr:cNvPr id="67" name="Imagen 2">
          <a:extLst>
            <a:ext uri="{FF2B5EF4-FFF2-40B4-BE49-F238E27FC236}">
              <a16:creationId xmlns:a16="http://schemas.microsoft.com/office/drawing/2014/main" id="{00000000-0008-0000-0100-0000835E0200}"/>
            </a:ext>
          </a:extLst>
        </xdr:cNvPr>
        <xdr:cNvPicPr>
          <a:picLocks noChangeAspect="1"/>
        </xdr:cNvPicPr>
      </xdr:nvPicPr>
      <xdr:blipFill>
        <a:blip xmlns:r="http://schemas.openxmlformats.org/officeDocument/2006/relationships" r:embed="rId60" cstate="print">
          <a:extLst>
            <a:ext uri="{28A0092B-C50C-407E-A947-70E740481C1C}">
              <a14:useLocalDpi xmlns:a14="http://schemas.microsoft.com/office/drawing/2010/main" val="0"/>
            </a:ext>
          </a:extLst>
        </a:blip>
        <a:srcRect/>
        <a:stretch>
          <a:fillRect/>
        </a:stretch>
      </xdr:blipFill>
      <xdr:spPr bwMode="auto">
        <a:xfrm>
          <a:off x="11677650" y="25841325"/>
          <a:ext cx="1152525"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200025</xdr:colOff>
      <xdr:row>93</xdr:row>
      <xdr:rowOff>171450</xdr:rowOff>
    </xdr:from>
    <xdr:to>
      <xdr:col>7</xdr:col>
      <xdr:colOff>1381125</xdr:colOff>
      <xdr:row>93</xdr:row>
      <xdr:rowOff>1047750</xdr:rowOff>
    </xdr:to>
    <xdr:pic>
      <xdr:nvPicPr>
        <xdr:cNvPr id="68" name="Imagen 1">
          <a:extLst>
            <a:ext uri="{FF2B5EF4-FFF2-40B4-BE49-F238E27FC236}">
              <a16:creationId xmlns:a16="http://schemas.microsoft.com/office/drawing/2014/main" id="{00000000-0008-0000-0100-00008D5E0200}"/>
            </a:ext>
          </a:extLst>
        </xdr:cNvPr>
        <xdr:cNvPicPr>
          <a:picLocks noChangeAspect="1"/>
        </xdr:cNvPicPr>
      </xdr:nvPicPr>
      <xdr:blipFill>
        <a:blip xmlns:r="http://schemas.openxmlformats.org/officeDocument/2006/relationships" r:embed="rId61" cstate="print">
          <a:extLst>
            <a:ext uri="{28A0092B-C50C-407E-A947-70E740481C1C}">
              <a14:useLocalDpi xmlns:a14="http://schemas.microsoft.com/office/drawing/2010/main" val="0"/>
            </a:ext>
          </a:extLst>
        </a:blip>
        <a:srcRect/>
        <a:stretch>
          <a:fillRect/>
        </a:stretch>
      </xdr:blipFill>
      <xdr:spPr bwMode="auto">
        <a:xfrm>
          <a:off x="11668125" y="122729625"/>
          <a:ext cx="11811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257175</xdr:colOff>
      <xdr:row>25</xdr:row>
      <xdr:rowOff>466725</xdr:rowOff>
    </xdr:from>
    <xdr:to>
      <xdr:col>7</xdr:col>
      <xdr:colOff>1285875</xdr:colOff>
      <xdr:row>25</xdr:row>
      <xdr:rowOff>819150</xdr:rowOff>
    </xdr:to>
    <xdr:pic>
      <xdr:nvPicPr>
        <xdr:cNvPr id="69" name="Imagen 1">
          <a:extLst>
            <a:ext uri="{FF2B5EF4-FFF2-40B4-BE49-F238E27FC236}">
              <a16:creationId xmlns:a16="http://schemas.microsoft.com/office/drawing/2014/main" id="{00000000-0008-0000-0100-0000945E0200}"/>
            </a:ext>
          </a:extLst>
        </xdr:cNvPr>
        <xdr:cNvPicPr>
          <a:picLocks noChangeAspect="1"/>
        </xdr:cNvPicPr>
      </xdr:nvPicPr>
      <xdr:blipFill>
        <a:blip xmlns:r="http://schemas.openxmlformats.org/officeDocument/2006/relationships" r:embed="rId62" cstate="print">
          <a:extLst>
            <a:ext uri="{28A0092B-C50C-407E-A947-70E740481C1C}">
              <a14:useLocalDpi xmlns:a14="http://schemas.microsoft.com/office/drawing/2010/main" val="0"/>
            </a:ext>
          </a:extLst>
        </a:blip>
        <a:srcRect/>
        <a:stretch>
          <a:fillRect/>
        </a:stretch>
      </xdr:blipFill>
      <xdr:spPr bwMode="auto">
        <a:xfrm>
          <a:off x="11725275" y="31232475"/>
          <a:ext cx="10287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114300</xdr:colOff>
      <xdr:row>103</xdr:row>
      <xdr:rowOff>0</xdr:rowOff>
    </xdr:from>
    <xdr:to>
      <xdr:col>7</xdr:col>
      <xdr:colOff>1419225</xdr:colOff>
      <xdr:row>103</xdr:row>
      <xdr:rowOff>0</xdr:rowOff>
    </xdr:to>
    <xdr:pic>
      <xdr:nvPicPr>
        <xdr:cNvPr id="70" name="Imagen 341">
          <a:extLst>
            <a:ext uri="{FF2B5EF4-FFF2-40B4-BE49-F238E27FC236}">
              <a16:creationId xmlns:a16="http://schemas.microsoft.com/office/drawing/2014/main" id="{00000000-0008-0000-0100-0000A45E02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1582400" y="134131050"/>
          <a:ext cx="1304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171450</xdr:colOff>
      <xdr:row>18</xdr:row>
      <xdr:rowOff>152400</xdr:rowOff>
    </xdr:from>
    <xdr:to>
      <xdr:col>7</xdr:col>
      <xdr:colOff>1400175</xdr:colOff>
      <xdr:row>18</xdr:row>
      <xdr:rowOff>1076325</xdr:rowOff>
    </xdr:to>
    <xdr:pic>
      <xdr:nvPicPr>
        <xdr:cNvPr id="71" name="Imagen 173">
          <a:extLst>
            <a:ext uri="{FF2B5EF4-FFF2-40B4-BE49-F238E27FC236}">
              <a16:creationId xmlns:a16="http://schemas.microsoft.com/office/drawing/2014/main" id="{00000000-0008-0000-0100-0000B55E0200}"/>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11639550" y="21821775"/>
          <a:ext cx="1228725"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133350</xdr:colOff>
      <xdr:row>16</xdr:row>
      <xdr:rowOff>276225</xdr:rowOff>
    </xdr:from>
    <xdr:to>
      <xdr:col>7</xdr:col>
      <xdr:colOff>1447800</xdr:colOff>
      <xdr:row>16</xdr:row>
      <xdr:rowOff>1038225</xdr:rowOff>
    </xdr:to>
    <xdr:pic>
      <xdr:nvPicPr>
        <xdr:cNvPr id="72" name="Imagen 2">
          <a:extLst>
            <a:ext uri="{FF2B5EF4-FFF2-40B4-BE49-F238E27FC236}">
              <a16:creationId xmlns:a16="http://schemas.microsoft.com/office/drawing/2014/main" id="{00000000-0008-0000-0100-0000B65E0200}"/>
            </a:ext>
          </a:extLst>
        </xdr:cNvPr>
        <xdr:cNvPicPr>
          <a:picLocks noChangeAspect="1" noChangeArrowheads="1"/>
        </xdr:cNvPicPr>
      </xdr:nvPicPr>
      <xdr:blipFill>
        <a:blip xmlns:r="http://schemas.openxmlformats.org/officeDocument/2006/relationships" r:embed="rId63" cstate="print">
          <a:extLst>
            <a:ext uri="{28A0092B-C50C-407E-A947-70E740481C1C}">
              <a14:useLocalDpi xmlns:a14="http://schemas.microsoft.com/office/drawing/2010/main" val="0"/>
            </a:ext>
          </a:extLst>
        </a:blip>
        <a:srcRect/>
        <a:stretch>
          <a:fillRect/>
        </a:stretch>
      </xdr:blipFill>
      <xdr:spPr bwMode="auto">
        <a:xfrm>
          <a:off x="11601450" y="19373850"/>
          <a:ext cx="131445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133350</xdr:colOff>
      <xdr:row>17</xdr:row>
      <xdr:rowOff>228600</xdr:rowOff>
    </xdr:from>
    <xdr:to>
      <xdr:col>7</xdr:col>
      <xdr:colOff>1447800</xdr:colOff>
      <xdr:row>17</xdr:row>
      <xdr:rowOff>990600</xdr:rowOff>
    </xdr:to>
    <xdr:pic>
      <xdr:nvPicPr>
        <xdr:cNvPr id="73" name="Imagen 4">
          <a:extLst>
            <a:ext uri="{FF2B5EF4-FFF2-40B4-BE49-F238E27FC236}">
              <a16:creationId xmlns:a16="http://schemas.microsoft.com/office/drawing/2014/main" id="{00000000-0008-0000-0100-0000B75E0200}"/>
            </a:ext>
          </a:extLst>
        </xdr:cNvPr>
        <xdr:cNvPicPr>
          <a:picLocks noChangeAspect="1" noChangeArrowheads="1"/>
        </xdr:cNvPicPr>
      </xdr:nvPicPr>
      <xdr:blipFill>
        <a:blip xmlns:r="http://schemas.openxmlformats.org/officeDocument/2006/relationships" r:embed="rId63" cstate="print">
          <a:extLst>
            <a:ext uri="{28A0092B-C50C-407E-A947-70E740481C1C}">
              <a14:useLocalDpi xmlns:a14="http://schemas.microsoft.com/office/drawing/2010/main" val="0"/>
            </a:ext>
          </a:extLst>
        </a:blip>
        <a:srcRect/>
        <a:stretch>
          <a:fillRect/>
        </a:stretch>
      </xdr:blipFill>
      <xdr:spPr bwMode="auto">
        <a:xfrm>
          <a:off x="11601450" y="20612100"/>
          <a:ext cx="131445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190500</xdr:colOff>
      <xdr:row>20</xdr:row>
      <xdr:rowOff>200025</xdr:rowOff>
    </xdr:from>
    <xdr:to>
      <xdr:col>7</xdr:col>
      <xdr:colOff>1449917</xdr:colOff>
      <xdr:row>20</xdr:row>
      <xdr:rowOff>1028700</xdr:rowOff>
    </xdr:to>
    <xdr:pic>
      <xdr:nvPicPr>
        <xdr:cNvPr id="74" name="Imagen 1">
          <a:extLst>
            <a:ext uri="{FF2B5EF4-FFF2-40B4-BE49-F238E27FC236}">
              <a16:creationId xmlns:a16="http://schemas.microsoft.com/office/drawing/2014/main" id="{00000000-0008-0000-0100-0000BF5E0200}"/>
            </a:ext>
          </a:extLst>
        </xdr:cNvPr>
        <xdr:cNvPicPr>
          <a:picLocks noChangeAspect="1"/>
        </xdr:cNvPicPr>
      </xdr:nvPicPr>
      <xdr:blipFill>
        <a:blip xmlns:r="http://schemas.openxmlformats.org/officeDocument/2006/relationships" r:embed="rId64" cstate="print">
          <a:extLst>
            <a:ext uri="{28A0092B-C50C-407E-A947-70E740481C1C}">
              <a14:useLocalDpi xmlns:a14="http://schemas.microsoft.com/office/drawing/2010/main" val="0"/>
            </a:ext>
          </a:extLst>
        </a:blip>
        <a:srcRect/>
        <a:stretch>
          <a:fillRect/>
        </a:stretch>
      </xdr:blipFill>
      <xdr:spPr bwMode="auto">
        <a:xfrm>
          <a:off x="11658600" y="24536400"/>
          <a:ext cx="1259417"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198436</xdr:colOff>
      <xdr:row>3</xdr:row>
      <xdr:rowOff>59531</xdr:rowOff>
    </xdr:from>
    <xdr:to>
      <xdr:col>7</xdr:col>
      <xdr:colOff>1093786</xdr:colOff>
      <xdr:row>3</xdr:row>
      <xdr:rowOff>833437</xdr:rowOff>
    </xdr:to>
    <xdr:pic>
      <xdr:nvPicPr>
        <xdr:cNvPr id="75" name="Imagen 208">
          <a:extLst>
            <a:ext uri="{FF2B5EF4-FFF2-40B4-BE49-F238E27FC236}">
              <a16:creationId xmlns:a16="http://schemas.microsoft.com/office/drawing/2014/main" id="{00000000-0008-0000-0100-000051010000}"/>
            </a:ext>
          </a:extLst>
        </xdr:cNvPr>
        <xdr:cNvPicPr>
          <a:picLocks noChangeAspect="1" noChangeArrowheads="1"/>
        </xdr:cNvPicPr>
      </xdr:nvPicPr>
      <xdr:blipFill>
        <a:blip xmlns:r="http://schemas.openxmlformats.org/officeDocument/2006/relationships" r:embed="rId65" cstate="print">
          <a:extLst>
            <a:ext uri="{28A0092B-C50C-407E-A947-70E740481C1C}">
              <a14:useLocalDpi xmlns:a14="http://schemas.microsoft.com/office/drawing/2010/main" val="0"/>
            </a:ext>
          </a:extLst>
        </a:blip>
        <a:srcRect/>
        <a:stretch>
          <a:fillRect/>
        </a:stretch>
      </xdr:blipFill>
      <xdr:spPr bwMode="auto">
        <a:xfrm>
          <a:off x="11666536" y="2250281"/>
          <a:ext cx="895350" cy="773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189177</xdr:colOff>
      <xdr:row>4</xdr:row>
      <xdr:rowOff>165365</xdr:rowOff>
    </xdr:from>
    <xdr:to>
      <xdr:col>7</xdr:col>
      <xdr:colOff>1255977</xdr:colOff>
      <xdr:row>4</xdr:row>
      <xdr:rowOff>1155965</xdr:rowOff>
    </xdr:to>
    <xdr:pic>
      <xdr:nvPicPr>
        <xdr:cNvPr id="76" name="Imagen 255">
          <a:extLst>
            <a:ext uri="{FF2B5EF4-FFF2-40B4-BE49-F238E27FC236}">
              <a16:creationId xmlns:a16="http://schemas.microsoft.com/office/drawing/2014/main" id="{00000000-0008-0000-0100-000052010000}"/>
            </a:ext>
          </a:extLst>
        </xdr:cNvPr>
        <xdr:cNvPicPr>
          <a:picLocks noChangeAspect="1" noChangeArrowheads="1"/>
        </xdr:cNvPicPr>
      </xdr:nvPicPr>
      <xdr:blipFill>
        <a:blip xmlns:r="http://schemas.openxmlformats.org/officeDocument/2006/relationships" r:embed="rId66" cstate="print">
          <a:extLst>
            <a:ext uri="{28A0092B-C50C-407E-A947-70E740481C1C}">
              <a14:useLocalDpi xmlns:a14="http://schemas.microsoft.com/office/drawing/2010/main" val="0"/>
            </a:ext>
          </a:extLst>
        </a:blip>
        <a:srcRect/>
        <a:stretch>
          <a:fillRect/>
        </a:stretch>
      </xdr:blipFill>
      <xdr:spPr bwMode="auto">
        <a:xfrm>
          <a:off x="11657277" y="3403865"/>
          <a:ext cx="1066800" cy="990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326761</xdr:colOff>
      <xdr:row>5</xdr:row>
      <xdr:rowOff>164041</xdr:rowOff>
    </xdr:from>
    <xdr:to>
      <xdr:col>7</xdr:col>
      <xdr:colOff>1003036</xdr:colOff>
      <xdr:row>5</xdr:row>
      <xdr:rowOff>1173691</xdr:rowOff>
    </xdr:to>
    <xdr:pic>
      <xdr:nvPicPr>
        <xdr:cNvPr id="77" name="Imagen 256">
          <a:extLst>
            <a:ext uri="{FF2B5EF4-FFF2-40B4-BE49-F238E27FC236}">
              <a16:creationId xmlns:a16="http://schemas.microsoft.com/office/drawing/2014/main" id="{00000000-0008-0000-0100-000056010000}"/>
            </a:ext>
          </a:extLst>
        </xdr:cNvPr>
        <xdr:cNvPicPr>
          <a:picLocks noChangeAspect="1" noChangeArrowheads="1"/>
        </xdr:cNvPicPr>
      </xdr:nvPicPr>
      <xdr:blipFill>
        <a:blip xmlns:r="http://schemas.openxmlformats.org/officeDocument/2006/relationships" r:embed="rId67">
          <a:extLst>
            <a:ext uri="{28A0092B-C50C-407E-A947-70E740481C1C}">
              <a14:useLocalDpi xmlns:a14="http://schemas.microsoft.com/office/drawing/2010/main" val="0"/>
            </a:ext>
          </a:extLst>
        </a:blip>
        <a:srcRect/>
        <a:stretch>
          <a:fillRect/>
        </a:stretch>
      </xdr:blipFill>
      <xdr:spPr bwMode="auto">
        <a:xfrm>
          <a:off x="11794861" y="4688416"/>
          <a:ext cx="676275"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257175</xdr:colOff>
      <xdr:row>27</xdr:row>
      <xdr:rowOff>85725</xdr:rowOff>
    </xdr:from>
    <xdr:to>
      <xdr:col>7</xdr:col>
      <xdr:colOff>1352550</xdr:colOff>
      <xdr:row>27</xdr:row>
      <xdr:rowOff>1143000</xdr:rowOff>
    </xdr:to>
    <xdr:pic>
      <xdr:nvPicPr>
        <xdr:cNvPr id="78" name="Imagen 200">
          <a:extLst>
            <a:ext uri="{FF2B5EF4-FFF2-40B4-BE49-F238E27FC236}">
              <a16:creationId xmlns:a16="http://schemas.microsoft.com/office/drawing/2014/main" id="{00000000-0008-0000-0100-000061010000}"/>
            </a:ext>
          </a:extLst>
        </xdr:cNvPr>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11725275" y="34766250"/>
          <a:ext cx="1095375"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381000</xdr:colOff>
      <xdr:row>28</xdr:row>
      <xdr:rowOff>228600</xdr:rowOff>
    </xdr:from>
    <xdr:to>
      <xdr:col>7</xdr:col>
      <xdr:colOff>1085850</xdr:colOff>
      <xdr:row>28</xdr:row>
      <xdr:rowOff>1104900</xdr:rowOff>
    </xdr:to>
    <xdr:pic>
      <xdr:nvPicPr>
        <xdr:cNvPr id="79" name="Imagen 201">
          <a:extLst>
            <a:ext uri="{FF2B5EF4-FFF2-40B4-BE49-F238E27FC236}">
              <a16:creationId xmlns:a16="http://schemas.microsoft.com/office/drawing/2014/main" id="{00000000-0008-0000-0100-000062010000}"/>
            </a:ext>
          </a:extLst>
        </xdr:cNvPr>
        <xdr:cNvPicPr>
          <a:picLocks noChangeAspect="1" noChangeArrowheads="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11849100" y="36195000"/>
          <a:ext cx="70485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180975</xdr:colOff>
      <xdr:row>29</xdr:row>
      <xdr:rowOff>114300</xdr:rowOff>
    </xdr:from>
    <xdr:to>
      <xdr:col>7</xdr:col>
      <xdr:colOff>1371600</xdr:colOff>
      <xdr:row>29</xdr:row>
      <xdr:rowOff>1114425</xdr:rowOff>
    </xdr:to>
    <xdr:pic>
      <xdr:nvPicPr>
        <xdr:cNvPr id="80" name="Imagen 203">
          <a:extLst>
            <a:ext uri="{FF2B5EF4-FFF2-40B4-BE49-F238E27FC236}">
              <a16:creationId xmlns:a16="http://schemas.microsoft.com/office/drawing/2014/main" id="{00000000-0008-0000-0100-000064010000}"/>
            </a:ext>
          </a:extLst>
        </xdr:cNvPr>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11649075" y="37366575"/>
          <a:ext cx="119062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180975</xdr:colOff>
      <xdr:row>30</xdr:row>
      <xdr:rowOff>114300</xdr:rowOff>
    </xdr:from>
    <xdr:to>
      <xdr:col>7</xdr:col>
      <xdr:colOff>1409700</xdr:colOff>
      <xdr:row>30</xdr:row>
      <xdr:rowOff>1095375</xdr:rowOff>
    </xdr:to>
    <xdr:pic>
      <xdr:nvPicPr>
        <xdr:cNvPr id="81" name="Imagen 204">
          <a:extLst>
            <a:ext uri="{FF2B5EF4-FFF2-40B4-BE49-F238E27FC236}">
              <a16:creationId xmlns:a16="http://schemas.microsoft.com/office/drawing/2014/main" id="{00000000-0008-0000-0100-000065010000}"/>
            </a:ext>
          </a:extLst>
        </xdr:cNvPr>
        <xdr:cNvPicPr>
          <a:picLocks noChangeAspect="1" noChangeArrowheads="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11649075" y="38652450"/>
          <a:ext cx="12287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142875</xdr:colOff>
      <xdr:row>31</xdr:row>
      <xdr:rowOff>171450</xdr:rowOff>
    </xdr:from>
    <xdr:to>
      <xdr:col>7</xdr:col>
      <xdr:colOff>1438275</xdr:colOff>
      <xdr:row>31</xdr:row>
      <xdr:rowOff>1104900</xdr:rowOff>
    </xdr:to>
    <xdr:pic>
      <xdr:nvPicPr>
        <xdr:cNvPr id="82" name="Imagen 205">
          <a:extLst>
            <a:ext uri="{FF2B5EF4-FFF2-40B4-BE49-F238E27FC236}">
              <a16:creationId xmlns:a16="http://schemas.microsoft.com/office/drawing/2014/main" id="{00000000-0008-0000-0100-00006B010000}"/>
            </a:ext>
          </a:extLst>
        </xdr:cNvPr>
        <xdr:cNvPicPr>
          <a:picLocks noChangeAspect="1" noChangeArrowheads="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11610975" y="39995475"/>
          <a:ext cx="1295400"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57150</xdr:colOff>
      <xdr:row>32</xdr:row>
      <xdr:rowOff>66675</xdr:rowOff>
    </xdr:from>
    <xdr:to>
      <xdr:col>7</xdr:col>
      <xdr:colOff>1495425</xdr:colOff>
      <xdr:row>32</xdr:row>
      <xdr:rowOff>1143000</xdr:rowOff>
    </xdr:to>
    <xdr:pic>
      <xdr:nvPicPr>
        <xdr:cNvPr id="83" name="Imagen 207">
          <a:extLst>
            <a:ext uri="{FF2B5EF4-FFF2-40B4-BE49-F238E27FC236}">
              <a16:creationId xmlns:a16="http://schemas.microsoft.com/office/drawing/2014/main" id="{00000000-0008-0000-0100-000071010000}"/>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11525250" y="41176575"/>
          <a:ext cx="143827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200025</xdr:colOff>
      <xdr:row>33</xdr:row>
      <xdr:rowOff>57150</xdr:rowOff>
    </xdr:from>
    <xdr:to>
      <xdr:col>7</xdr:col>
      <xdr:colOff>1400175</xdr:colOff>
      <xdr:row>33</xdr:row>
      <xdr:rowOff>1133475</xdr:rowOff>
    </xdr:to>
    <xdr:pic>
      <xdr:nvPicPr>
        <xdr:cNvPr id="84" name="Imagen 230">
          <a:extLst>
            <a:ext uri="{FF2B5EF4-FFF2-40B4-BE49-F238E27FC236}">
              <a16:creationId xmlns:a16="http://schemas.microsoft.com/office/drawing/2014/main" id="{00000000-0008-0000-0100-000080010000}"/>
            </a:ext>
          </a:extLst>
        </xdr:cNvPr>
        <xdr:cNvPicPr>
          <a:picLocks noChangeAspect="1" noChangeArrowheads="1"/>
        </xdr:cNvPicPr>
      </xdr:nvPicPr>
      <xdr:blipFill>
        <a:blip xmlns:r="http://schemas.openxmlformats.org/officeDocument/2006/relationships" r:embed="rId28">
          <a:extLst>
            <a:ext uri="{28A0092B-C50C-407E-A947-70E740481C1C}">
              <a14:useLocalDpi xmlns:a14="http://schemas.microsoft.com/office/drawing/2010/main" val="0"/>
            </a:ext>
          </a:extLst>
        </a:blip>
        <a:srcRect/>
        <a:stretch>
          <a:fillRect/>
        </a:stretch>
      </xdr:blipFill>
      <xdr:spPr bwMode="auto">
        <a:xfrm>
          <a:off x="11668125" y="42452925"/>
          <a:ext cx="120015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104775</xdr:colOff>
      <xdr:row>34</xdr:row>
      <xdr:rowOff>95250</xdr:rowOff>
    </xdr:from>
    <xdr:to>
      <xdr:col>7</xdr:col>
      <xdr:colOff>1514475</xdr:colOff>
      <xdr:row>34</xdr:row>
      <xdr:rowOff>1143000</xdr:rowOff>
    </xdr:to>
    <xdr:pic>
      <xdr:nvPicPr>
        <xdr:cNvPr id="85" name="Imagen 231">
          <a:extLst>
            <a:ext uri="{FF2B5EF4-FFF2-40B4-BE49-F238E27FC236}">
              <a16:creationId xmlns:a16="http://schemas.microsoft.com/office/drawing/2014/main" id="{00000000-0008-0000-0100-000081010000}"/>
            </a:ext>
          </a:extLst>
        </xdr:cNvPr>
        <xdr:cNvPicPr>
          <a:picLocks noChangeAspect="1" noChangeArrowheads="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a:fillRect/>
        </a:stretch>
      </xdr:blipFill>
      <xdr:spPr bwMode="auto">
        <a:xfrm>
          <a:off x="11572875" y="43776900"/>
          <a:ext cx="14097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257175</xdr:colOff>
      <xdr:row>35</xdr:row>
      <xdr:rowOff>57150</xdr:rowOff>
    </xdr:from>
    <xdr:to>
      <xdr:col>7</xdr:col>
      <xdr:colOff>1323975</xdr:colOff>
      <xdr:row>35</xdr:row>
      <xdr:rowOff>1133475</xdr:rowOff>
    </xdr:to>
    <xdr:pic>
      <xdr:nvPicPr>
        <xdr:cNvPr id="86" name="Imagen 233">
          <a:extLst>
            <a:ext uri="{FF2B5EF4-FFF2-40B4-BE49-F238E27FC236}">
              <a16:creationId xmlns:a16="http://schemas.microsoft.com/office/drawing/2014/main" id="{00000000-0008-0000-0100-000083010000}"/>
            </a:ext>
          </a:extLst>
        </xdr:cNvPr>
        <xdr:cNvPicPr>
          <a:picLocks noChangeAspect="1" noChangeArrowheads="1"/>
        </xdr:cNvPicPr>
      </xdr:nvPicPr>
      <xdr:blipFill>
        <a:blip xmlns:r="http://schemas.openxmlformats.org/officeDocument/2006/relationships" r:embed="rId30">
          <a:extLst>
            <a:ext uri="{28A0092B-C50C-407E-A947-70E740481C1C}">
              <a14:useLocalDpi xmlns:a14="http://schemas.microsoft.com/office/drawing/2010/main" val="0"/>
            </a:ext>
          </a:extLst>
        </a:blip>
        <a:srcRect/>
        <a:stretch>
          <a:fillRect/>
        </a:stretch>
      </xdr:blipFill>
      <xdr:spPr bwMode="auto">
        <a:xfrm>
          <a:off x="11725275" y="45024675"/>
          <a:ext cx="10668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76200</xdr:colOff>
      <xdr:row>36</xdr:row>
      <xdr:rowOff>85725</xdr:rowOff>
    </xdr:from>
    <xdr:to>
      <xdr:col>7</xdr:col>
      <xdr:colOff>1447800</xdr:colOff>
      <xdr:row>36</xdr:row>
      <xdr:rowOff>1076325</xdr:rowOff>
    </xdr:to>
    <xdr:pic>
      <xdr:nvPicPr>
        <xdr:cNvPr id="87" name="Imagen 235">
          <a:extLst>
            <a:ext uri="{FF2B5EF4-FFF2-40B4-BE49-F238E27FC236}">
              <a16:creationId xmlns:a16="http://schemas.microsoft.com/office/drawing/2014/main" id="{00000000-0008-0000-0100-00009D010000}"/>
            </a:ext>
          </a:extLst>
        </xdr:cNvPr>
        <xdr:cNvPicPr>
          <a:picLocks noChangeAspect="1" noChangeArrowheads="1"/>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a:fillRect/>
        </a:stretch>
      </xdr:blipFill>
      <xdr:spPr bwMode="auto">
        <a:xfrm>
          <a:off x="11544300" y="46339125"/>
          <a:ext cx="1371600" cy="990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244929</xdr:colOff>
      <xdr:row>81</xdr:row>
      <xdr:rowOff>353785</xdr:rowOff>
    </xdr:from>
    <xdr:to>
      <xdr:col>7</xdr:col>
      <xdr:colOff>1549854</xdr:colOff>
      <xdr:row>81</xdr:row>
      <xdr:rowOff>887185</xdr:rowOff>
    </xdr:to>
    <xdr:pic>
      <xdr:nvPicPr>
        <xdr:cNvPr id="88" name="Imagen 321">
          <a:extLst>
            <a:ext uri="{FF2B5EF4-FFF2-40B4-BE49-F238E27FC236}">
              <a16:creationId xmlns:a16="http://schemas.microsoft.com/office/drawing/2014/main" id="{2772BB28-7AA5-4F2B-92B6-126C43B8BEE2}"/>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1713029" y="107129035"/>
          <a:ext cx="13049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272143</xdr:colOff>
      <xdr:row>82</xdr:row>
      <xdr:rowOff>326571</xdr:rowOff>
    </xdr:from>
    <xdr:to>
      <xdr:col>7</xdr:col>
      <xdr:colOff>1577068</xdr:colOff>
      <xdr:row>82</xdr:row>
      <xdr:rowOff>859971</xdr:rowOff>
    </xdr:to>
    <xdr:pic>
      <xdr:nvPicPr>
        <xdr:cNvPr id="89" name="Imagen 321">
          <a:extLst>
            <a:ext uri="{FF2B5EF4-FFF2-40B4-BE49-F238E27FC236}">
              <a16:creationId xmlns:a16="http://schemas.microsoft.com/office/drawing/2014/main" id="{2EE8CF9F-7519-49DF-8194-1F7E960DD4F8}"/>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1740243" y="108387696"/>
          <a:ext cx="13049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104775</xdr:colOff>
      <xdr:row>83</xdr:row>
      <xdr:rowOff>361950</xdr:rowOff>
    </xdr:from>
    <xdr:to>
      <xdr:col>7</xdr:col>
      <xdr:colOff>1409700</xdr:colOff>
      <xdr:row>83</xdr:row>
      <xdr:rowOff>895350</xdr:rowOff>
    </xdr:to>
    <xdr:pic>
      <xdr:nvPicPr>
        <xdr:cNvPr id="90" name="Imagen 321">
          <a:extLst>
            <a:ext uri="{FF2B5EF4-FFF2-40B4-BE49-F238E27FC236}">
              <a16:creationId xmlns:a16="http://schemas.microsoft.com/office/drawing/2014/main" id="{DFF38785-D5D7-4410-89EF-BB6CDB12848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1572875" y="109708950"/>
          <a:ext cx="13049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104775</xdr:colOff>
      <xdr:row>84</xdr:row>
      <xdr:rowOff>361950</xdr:rowOff>
    </xdr:from>
    <xdr:to>
      <xdr:col>7</xdr:col>
      <xdr:colOff>1409700</xdr:colOff>
      <xdr:row>84</xdr:row>
      <xdr:rowOff>895350</xdr:rowOff>
    </xdr:to>
    <xdr:pic>
      <xdr:nvPicPr>
        <xdr:cNvPr id="91" name="Imagen 321">
          <a:extLst>
            <a:ext uri="{FF2B5EF4-FFF2-40B4-BE49-F238E27FC236}">
              <a16:creationId xmlns:a16="http://schemas.microsoft.com/office/drawing/2014/main" id="{E545375C-9207-4946-A112-D90D415B3A83}"/>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1572875" y="110994825"/>
          <a:ext cx="13049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104775</xdr:colOff>
      <xdr:row>85</xdr:row>
      <xdr:rowOff>361950</xdr:rowOff>
    </xdr:from>
    <xdr:to>
      <xdr:col>7</xdr:col>
      <xdr:colOff>1409700</xdr:colOff>
      <xdr:row>85</xdr:row>
      <xdr:rowOff>895350</xdr:rowOff>
    </xdr:to>
    <xdr:pic>
      <xdr:nvPicPr>
        <xdr:cNvPr id="92" name="Imagen 321">
          <a:extLst>
            <a:ext uri="{FF2B5EF4-FFF2-40B4-BE49-F238E27FC236}">
              <a16:creationId xmlns:a16="http://schemas.microsoft.com/office/drawing/2014/main" id="{FD7144BD-9D7B-4124-A686-D0339031F17E}"/>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1572875" y="112280700"/>
          <a:ext cx="13049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231322</xdr:colOff>
      <xdr:row>96</xdr:row>
      <xdr:rowOff>340179</xdr:rowOff>
    </xdr:from>
    <xdr:to>
      <xdr:col>7</xdr:col>
      <xdr:colOff>1536247</xdr:colOff>
      <xdr:row>96</xdr:row>
      <xdr:rowOff>892629</xdr:rowOff>
    </xdr:to>
    <xdr:pic>
      <xdr:nvPicPr>
        <xdr:cNvPr id="93" name="Imagen 348">
          <a:extLst>
            <a:ext uri="{FF2B5EF4-FFF2-40B4-BE49-F238E27FC236}">
              <a16:creationId xmlns:a16="http://schemas.microsoft.com/office/drawing/2014/main" id="{459B2BCD-0511-473B-92FC-A94CC0BA3D96}"/>
            </a:ext>
          </a:extLst>
        </xdr:cNvPr>
        <xdr:cNvPicPr>
          <a:picLocks noChangeAspect="1" noChangeArrowheads="1"/>
        </xdr:cNvPicPr>
      </xdr:nvPicPr>
      <xdr:blipFill>
        <a:blip xmlns:r="http://schemas.openxmlformats.org/officeDocument/2006/relationships" r:embed="rId58" cstate="print">
          <a:extLst>
            <a:ext uri="{28A0092B-C50C-407E-A947-70E740481C1C}">
              <a14:useLocalDpi xmlns:a14="http://schemas.microsoft.com/office/drawing/2010/main" val="0"/>
            </a:ext>
          </a:extLst>
        </a:blip>
        <a:srcRect/>
        <a:stretch>
          <a:fillRect/>
        </a:stretch>
      </xdr:blipFill>
      <xdr:spPr bwMode="auto">
        <a:xfrm>
          <a:off x="11699422" y="126755979"/>
          <a:ext cx="1304925"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352425</xdr:colOff>
      <xdr:row>102</xdr:row>
      <xdr:rowOff>66675</xdr:rowOff>
    </xdr:from>
    <xdr:to>
      <xdr:col>7</xdr:col>
      <xdr:colOff>1238250</xdr:colOff>
      <xdr:row>102</xdr:row>
      <xdr:rowOff>1123950</xdr:rowOff>
    </xdr:to>
    <xdr:pic>
      <xdr:nvPicPr>
        <xdr:cNvPr id="94" name="Imagen 219">
          <a:extLst>
            <a:ext uri="{FF2B5EF4-FFF2-40B4-BE49-F238E27FC236}">
              <a16:creationId xmlns:a16="http://schemas.microsoft.com/office/drawing/2014/main" id="{CC7375A8-730A-4072-A69B-9DBA03A2CB62}"/>
            </a:ext>
          </a:extLst>
        </xdr:cNvPr>
        <xdr:cNvPicPr>
          <a:picLocks noChangeAspect="1" noChangeArrowheads="1"/>
        </xdr:cNvPicPr>
      </xdr:nvPicPr>
      <xdr:blipFill>
        <a:blip xmlns:r="http://schemas.openxmlformats.org/officeDocument/2006/relationships" r:embed="rId68" cstate="print">
          <a:extLst>
            <a:ext uri="{28A0092B-C50C-407E-A947-70E740481C1C}">
              <a14:useLocalDpi xmlns:a14="http://schemas.microsoft.com/office/drawing/2010/main" val="0"/>
            </a:ext>
          </a:extLst>
        </a:blip>
        <a:srcRect/>
        <a:stretch>
          <a:fillRect/>
        </a:stretch>
      </xdr:blipFill>
      <xdr:spPr bwMode="auto">
        <a:xfrm>
          <a:off x="11820525" y="133169025"/>
          <a:ext cx="88582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555625</xdr:colOff>
      <xdr:row>103</xdr:row>
      <xdr:rowOff>174625</xdr:rowOff>
    </xdr:from>
    <xdr:to>
      <xdr:col>7</xdr:col>
      <xdr:colOff>1238251</xdr:colOff>
      <xdr:row>103</xdr:row>
      <xdr:rowOff>1174750</xdr:rowOff>
    </xdr:to>
    <xdr:pic>
      <xdr:nvPicPr>
        <xdr:cNvPr id="95" name="Imagen 94">
          <a:extLst>
            <a:ext uri="{FF2B5EF4-FFF2-40B4-BE49-F238E27FC236}">
              <a16:creationId xmlns:a16="http://schemas.microsoft.com/office/drawing/2014/main" id="{E0E5A578-3FF9-006E-F387-CCBEE20DB569}"/>
            </a:ext>
          </a:extLst>
        </xdr:cNvPr>
        <xdr:cNvPicPr>
          <a:picLocks noChangeAspect="1"/>
        </xdr:cNvPicPr>
      </xdr:nvPicPr>
      <xdr:blipFill>
        <a:blip xmlns:r="http://schemas.openxmlformats.org/officeDocument/2006/relationships" r:embed="rId69"/>
        <a:stretch>
          <a:fillRect/>
        </a:stretch>
      </xdr:blipFill>
      <xdr:spPr>
        <a:xfrm>
          <a:off x="12023725" y="134305675"/>
          <a:ext cx="682626" cy="10001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6</xdr:col>
      <xdr:colOff>354850</xdr:colOff>
      <xdr:row>6</xdr:row>
      <xdr:rowOff>340180</xdr:rowOff>
    </xdr:from>
    <xdr:ext cx="1245627" cy="1658012"/>
    <xdr:pic>
      <xdr:nvPicPr>
        <xdr:cNvPr id="2" name="Imagen 1">
          <a:extLst>
            <a:ext uri="{FF2B5EF4-FFF2-40B4-BE49-F238E27FC236}">
              <a16:creationId xmlns:a16="http://schemas.microsoft.com/office/drawing/2014/main" id="{919218AD-9CA0-634B-BC73-A35995B6B1A0}"/>
            </a:ext>
          </a:extLst>
        </xdr:cNvPr>
        <xdr:cNvPicPr>
          <a:picLocks noChangeAspect="1"/>
        </xdr:cNvPicPr>
      </xdr:nvPicPr>
      <xdr:blipFill>
        <a:blip xmlns:r="http://schemas.openxmlformats.org/officeDocument/2006/relationships" r:embed="rId1"/>
        <a:stretch>
          <a:fillRect/>
        </a:stretch>
      </xdr:blipFill>
      <xdr:spPr>
        <a:xfrm>
          <a:off x="5612650" y="1152980"/>
          <a:ext cx="1245627" cy="1658012"/>
        </a:xfrm>
        <a:prstGeom prst="rect">
          <a:avLst/>
        </a:prstGeom>
      </xdr:spPr>
    </xdr:pic>
    <xdr:clientData/>
  </xdr:oneCellAnchor>
  <xdr:oneCellAnchor>
    <xdr:from>
      <xdr:col>6</xdr:col>
      <xdr:colOff>627575</xdr:colOff>
      <xdr:row>3</xdr:row>
      <xdr:rowOff>204106</xdr:rowOff>
    </xdr:from>
    <xdr:ext cx="583462" cy="1700894"/>
    <xdr:pic>
      <xdr:nvPicPr>
        <xdr:cNvPr id="3" name="Imagen 2">
          <a:extLst>
            <a:ext uri="{FF2B5EF4-FFF2-40B4-BE49-F238E27FC236}">
              <a16:creationId xmlns:a16="http://schemas.microsoft.com/office/drawing/2014/main" id="{2999D481-1FA9-5145-B249-CA3E635E285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885375" y="661306"/>
          <a:ext cx="583462" cy="170089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263640</xdr:colOff>
      <xdr:row>4</xdr:row>
      <xdr:rowOff>187099</xdr:rowOff>
    </xdr:from>
    <xdr:ext cx="1578428" cy="1292678"/>
    <xdr:pic>
      <xdr:nvPicPr>
        <xdr:cNvPr id="4" name="Imagen 3">
          <a:extLst>
            <a:ext uri="{FF2B5EF4-FFF2-40B4-BE49-F238E27FC236}">
              <a16:creationId xmlns:a16="http://schemas.microsoft.com/office/drawing/2014/main" id="{BEB12A10-11C7-5C45-AB93-F370DD60F5A1}"/>
            </a:ext>
          </a:extLst>
        </xdr:cNvPr>
        <xdr:cNvPicPr>
          <a:picLocks noChangeAspect="1"/>
        </xdr:cNvPicPr>
      </xdr:nvPicPr>
      <xdr:blipFill rotWithShape="1">
        <a:blip xmlns:r="http://schemas.openxmlformats.org/officeDocument/2006/relationships" r:embed="rId3"/>
        <a:srcRect l="19858"/>
        <a:stretch/>
      </xdr:blipFill>
      <xdr:spPr>
        <a:xfrm>
          <a:off x="5521440" y="822099"/>
          <a:ext cx="1578428" cy="1292678"/>
        </a:xfrm>
        <a:prstGeom prst="rect">
          <a:avLst/>
        </a:prstGeom>
      </xdr:spPr>
    </xdr:pic>
    <xdr:clientData/>
  </xdr:oneCellAnchor>
  <xdr:oneCellAnchor>
    <xdr:from>
      <xdr:col>6</xdr:col>
      <xdr:colOff>220551</xdr:colOff>
      <xdr:row>5</xdr:row>
      <xdr:rowOff>144576</xdr:rowOff>
    </xdr:from>
    <xdr:ext cx="1524000" cy="1238250"/>
    <xdr:pic>
      <xdr:nvPicPr>
        <xdr:cNvPr id="5" name="Imagen 4">
          <a:extLst>
            <a:ext uri="{FF2B5EF4-FFF2-40B4-BE49-F238E27FC236}">
              <a16:creationId xmlns:a16="http://schemas.microsoft.com/office/drawing/2014/main" id="{4CEDF077-1A8B-2A4E-AAA2-340103E5121B}"/>
            </a:ext>
          </a:extLst>
        </xdr:cNvPr>
        <xdr:cNvPicPr>
          <a:picLocks noChangeAspect="1"/>
        </xdr:cNvPicPr>
      </xdr:nvPicPr>
      <xdr:blipFill>
        <a:blip xmlns:r="http://schemas.openxmlformats.org/officeDocument/2006/relationships" r:embed="rId4"/>
        <a:stretch>
          <a:fillRect/>
        </a:stretch>
      </xdr:blipFill>
      <xdr:spPr>
        <a:xfrm>
          <a:off x="9253426" y="5240451"/>
          <a:ext cx="1524000" cy="1238250"/>
        </a:xfrm>
        <a:prstGeom prst="rect">
          <a:avLst/>
        </a:prstGeom>
      </xdr:spPr>
    </xdr:pic>
    <xdr:clientData/>
  </xdr:oneCellAnchor>
  <xdr:oneCellAnchor>
    <xdr:from>
      <xdr:col>6</xdr:col>
      <xdr:colOff>146883</xdr:colOff>
      <xdr:row>7</xdr:row>
      <xdr:rowOff>210496</xdr:rowOff>
    </xdr:from>
    <xdr:ext cx="1499581" cy="1531218"/>
    <xdr:pic>
      <xdr:nvPicPr>
        <xdr:cNvPr id="6" name="Imagen 5">
          <a:extLst>
            <a:ext uri="{FF2B5EF4-FFF2-40B4-BE49-F238E27FC236}">
              <a16:creationId xmlns:a16="http://schemas.microsoft.com/office/drawing/2014/main" id="{80AA1632-E082-5E4F-B617-8B9321E5F067}"/>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404683" y="1315396"/>
          <a:ext cx="1499581" cy="153121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209834</xdr:colOff>
      <xdr:row>8</xdr:row>
      <xdr:rowOff>122465</xdr:rowOff>
    </xdr:from>
    <xdr:ext cx="1575497" cy="1612860"/>
    <xdr:pic>
      <xdr:nvPicPr>
        <xdr:cNvPr id="7" name="Imagen 6">
          <a:extLst>
            <a:ext uri="{FF2B5EF4-FFF2-40B4-BE49-F238E27FC236}">
              <a16:creationId xmlns:a16="http://schemas.microsoft.com/office/drawing/2014/main" id="{FC1513BB-984F-C34C-B87F-9A002EC4DC2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467634" y="1443265"/>
          <a:ext cx="1575497" cy="161286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244929</xdr:colOff>
      <xdr:row>9</xdr:row>
      <xdr:rowOff>136071</xdr:rowOff>
    </xdr:from>
    <xdr:ext cx="1415143" cy="1360715"/>
    <xdr:pic>
      <xdr:nvPicPr>
        <xdr:cNvPr id="8" name="Imagen 7">
          <a:extLst>
            <a:ext uri="{FF2B5EF4-FFF2-40B4-BE49-F238E27FC236}">
              <a16:creationId xmlns:a16="http://schemas.microsoft.com/office/drawing/2014/main" id="{7686C2A2-2E60-2C42-890D-651F5B3F0020}"/>
            </a:ext>
          </a:extLst>
        </xdr:cNvPr>
        <xdr:cNvPicPr>
          <a:picLocks noChangeAspect="1"/>
        </xdr:cNvPicPr>
      </xdr:nvPicPr>
      <xdr:blipFill>
        <a:blip xmlns:r="http://schemas.openxmlformats.org/officeDocument/2006/relationships" r:embed="rId6"/>
        <a:stretch>
          <a:fillRect/>
        </a:stretch>
      </xdr:blipFill>
      <xdr:spPr>
        <a:xfrm>
          <a:off x="5502729" y="1621971"/>
          <a:ext cx="1415143" cy="1360715"/>
        </a:xfrm>
        <a:prstGeom prst="rect">
          <a:avLst/>
        </a:prstGeom>
      </xdr:spPr>
    </xdr:pic>
    <xdr:clientData/>
  </xdr:oneCellAnchor>
  <xdr:oneCellAnchor>
    <xdr:from>
      <xdr:col>6</xdr:col>
      <xdr:colOff>190501</xdr:colOff>
      <xdr:row>10</xdr:row>
      <xdr:rowOff>258537</xdr:rowOff>
    </xdr:from>
    <xdr:ext cx="1442357" cy="1524000"/>
    <xdr:pic>
      <xdr:nvPicPr>
        <xdr:cNvPr id="9" name="Imagen 8">
          <a:extLst>
            <a:ext uri="{FF2B5EF4-FFF2-40B4-BE49-F238E27FC236}">
              <a16:creationId xmlns:a16="http://schemas.microsoft.com/office/drawing/2014/main" id="{430D88EF-668D-0847-83CE-7A129BEDB91D}"/>
            </a:ext>
          </a:extLst>
        </xdr:cNvPr>
        <xdr:cNvPicPr>
          <a:picLocks noChangeAspect="1"/>
        </xdr:cNvPicPr>
      </xdr:nvPicPr>
      <xdr:blipFill>
        <a:blip xmlns:r="http://schemas.openxmlformats.org/officeDocument/2006/relationships" r:embed="rId7"/>
        <a:stretch>
          <a:fillRect/>
        </a:stretch>
      </xdr:blipFill>
      <xdr:spPr>
        <a:xfrm>
          <a:off x="5448301" y="1820637"/>
          <a:ext cx="1442357" cy="1524000"/>
        </a:xfrm>
        <a:prstGeom prst="rect">
          <a:avLst/>
        </a:prstGeom>
      </xdr:spPr>
    </xdr:pic>
    <xdr:clientData/>
  </xdr:oneCellAnchor>
  <xdr:oneCellAnchor>
    <xdr:from>
      <xdr:col>6</xdr:col>
      <xdr:colOff>80915</xdr:colOff>
      <xdr:row>11</xdr:row>
      <xdr:rowOff>258536</xdr:rowOff>
    </xdr:from>
    <xdr:ext cx="1688014" cy="1294915"/>
    <xdr:pic>
      <xdr:nvPicPr>
        <xdr:cNvPr id="10" name="Imagen 9">
          <a:extLst>
            <a:ext uri="{FF2B5EF4-FFF2-40B4-BE49-F238E27FC236}">
              <a16:creationId xmlns:a16="http://schemas.microsoft.com/office/drawing/2014/main" id="{15850546-4B89-4B4C-92CD-0AB4514DC752}"/>
            </a:ext>
          </a:extLst>
        </xdr:cNvPr>
        <xdr:cNvPicPr>
          <a:picLocks noChangeAspect="1"/>
        </xdr:cNvPicPr>
      </xdr:nvPicPr>
      <xdr:blipFill>
        <a:blip xmlns:r="http://schemas.openxmlformats.org/officeDocument/2006/relationships" r:embed="rId8"/>
        <a:stretch>
          <a:fillRect/>
        </a:stretch>
      </xdr:blipFill>
      <xdr:spPr>
        <a:xfrm>
          <a:off x="5338715" y="1985736"/>
          <a:ext cx="1688014" cy="1294915"/>
        </a:xfrm>
        <a:prstGeom prst="rect">
          <a:avLst/>
        </a:prstGeom>
      </xdr:spPr>
    </xdr:pic>
    <xdr:clientData/>
  </xdr:oneCellAnchor>
  <xdr:oneCellAnchor>
    <xdr:from>
      <xdr:col>6</xdr:col>
      <xdr:colOff>443593</xdr:colOff>
      <xdr:row>12</xdr:row>
      <xdr:rowOff>521153</xdr:rowOff>
    </xdr:from>
    <xdr:ext cx="1619250" cy="721178"/>
    <xdr:pic>
      <xdr:nvPicPr>
        <xdr:cNvPr id="11" name="Imagen 10">
          <a:extLst>
            <a:ext uri="{FF2B5EF4-FFF2-40B4-BE49-F238E27FC236}">
              <a16:creationId xmlns:a16="http://schemas.microsoft.com/office/drawing/2014/main" id="{97037EEA-4E83-E24D-BA0A-65424A6B8511}"/>
            </a:ext>
            <a:ext uri="{147F2762-F138-4A5C-976F-8EAC2B608ADB}">
              <a16:predDERef xmlns:a16="http://schemas.microsoft.com/office/drawing/2014/main" pred="{00000000-0008-0000-0000-000009000000}"/>
            </a:ext>
          </a:extLst>
        </xdr:cNvPr>
        <xdr:cNvPicPr>
          <a:picLocks noChangeAspect="1"/>
        </xdr:cNvPicPr>
      </xdr:nvPicPr>
      <xdr:blipFill>
        <a:blip xmlns:r="http://schemas.openxmlformats.org/officeDocument/2006/relationships" r:embed="rId9"/>
        <a:stretch>
          <a:fillRect/>
        </a:stretch>
      </xdr:blipFill>
      <xdr:spPr>
        <a:xfrm>
          <a:off x="5701393" y="2146753"/>
          <a:ext cx="1619250" cy="721178"/>
        </a:xfrm>
        <a:prstGeom prst="rect">
          <a:avLst/>
        </a:prstGeom>
      </xdr:spPr>
    </xdr:pic>
    <xdr:clientData/>
  </xdr:oneCellAnchor>
  <xdr:oneCellAnchor>
    <xdr:from>
      <xdr:col>6</xdr:col>
      <xdr:colOff>394607</xdr:colOff>
      <xdr:row>13</xdr:row>
      <xdr:rowOff>503464</xdr:rowOff>
    </xdr:from>
    <xdr:ext cx="1619250" cy="721178"/>
    <xdr:pic>
      <xdr:nvPicPr>
        <xdr:cNvPr id="12" name="Imagen 11">
          <a:extLst>
            <a:ext uri="{FF2B5EF4-FFF2-40B4-BE49-F238E27FC236}">
              <a16:creationId xmlns:a16="http://schemas.microsoft.com/office/drawing/2014/main" id="{075AFDE4-0D6F-7045-917C-6BD50A801D99}"/>
            </a:ext>
          </a:extLst>
        </xdr:cNvPr>
        <xdr:cNvPicPr>
          <a:picLocks noChangeAspect="1"/>
        </xdr:cNvPicPr>
      </xdr:nvPicPr>
      <xdr:blipFill>
        <a:blip xmlns:r="http://schemas.openxmlformats.org/officeDocument/2006/relationships" r:embed="rId9"/>
        <a:stretch>
          <a:fillRect/>
        </a:stretch>
      </xdr:blipFill>
      <xdr:spPr>
        <a:xfrm>
          <a:off x="5652407" y="2306864"/>
          <a:ext cx="1619250" cy="721178"/>
        </a:xfrm>
        <a:prstGeom prst="rect">
          <a:avLst/>
        </a:prstGeom>
      </xdr:spPr>
    </xdr:pic>
    <xdr:clientData/>
  </xdr:oneCellAnchor>
  <xdr:oneCellAnchor>
    <xdr:from>
      <xdr:col>6</xdr:col>
      <xdr:colOff>250032</xdr:colOff>
      <xdr:row>16</xdr:row>
      <xdr:rowOff>130968</xdr:rowOff>
    </xdr:from>
    <xdr:ext cx="1655271" cy="1216731"/>
    <xdr:pic>
      <xdr:nvPicPr>
        <xdr:cNvPr id="13" name="Imagen 12">
          <a:extLst>
            <a:ext uri="{FF2B5EF4-FFF2-40B4-BE49-F238E27FC236}">
              <a16:creationId xmlns:a16="http://schemas.microsoft.com/office/drawing/2014/main" id="{527DCBF2-44E4-4043-BC02-579B2E2A2AA9}"/>
            </a:ext>
          </a:extLst>
        </xdr:cNvPr>
        <xdr:cNvPicPr>
          <a:picLocks noChangeAspect="1"/>
        </xdr:cNvPicPr>
      </xdr:nvPicPr>
      <xdr:blipFill>
        <a:blip xmlns:r="http://schemas.openxmlformats.org/officeDocument/2006/relationships" r:embed="rId10"/>
        <a:stretch>
          <a:fillRect/>
        </a:stretch>
      </xdr:blipFill>
      <xdr:spPr>
        <a:xfrm>
          <a:off x="5507832" y="2772568"/>
          <a:ext cx="1655271" cy="1216731"/>
        </a:xfrm>
        <a:prstGeom prst="rect">
          <a:avLst/>
        </a:prstGeom>
      </xdr:spPr>
    </xdr:pic>
    <xdr:clientData/>
  </xdr:oneCellAnchor>
  <xdr:oneCellAnchor>
    <xdr:from>
      <xdr:col>6</xdr:col>
      <xdr:colOff>583406</xdr:colOff>
      <xdr:row>15</xdr:row>
      <xdr:rowOff>202406</xdr:rowOff>
    </xdr:from>
    <xdr:ext cx="1074965" cy="1197428"/>
    <xdr:pic>
      <xdr:nvPicPr>
        <xdr:cNvPr id="14" name="Imagen 13">
          <a:extLst>
            <a:ext uri="{FF2B5EF4-FFF2-40B4-BE49-F238E27FC236}">
              <a16:creationId xmlns:a16="http://schemas.microsoft.com/office/drawing/2014/main" id="{9DE5F13C-AC57-8547-A9BE-F309F6A8D759}"/>
            </a:ext>
          </a:extLst>
        </xdr:cNvPr>
        <xdr:cNvPicPr>
          <a:picLocks noChangeAspect="1"/>
        </xdr:cNvPicPr>
      </xdr:nvPicPr>
      <xdr:blipFill>
        <a:blip xmlns:r="http://schemas.openxmlformats.org/officeDocument/2006/relationships" r:embed="rId11"/>
        <a:stretch>
          <a:fillRect/>
        </a:stretch>
      </xdr:blipFill>
      <xdr:spPr>
        <a:xfrm>
          <a:off x="5841206" y="2640806"/>
          <a:ext cx="1074965" cy="1197428"/>
        </a:xfrm>
        <a:prstGeom prst="rect">
          <a:avLst/>
        </a:prstGeom>
      </xdr:spPr>
    </xdr:pic>
    <xdr:clientData/>
  </xdr:oneCellAnchor>
  <xdr:oneCellAnchor>
    <xdr:from>
      <xdr:col>6</xdr:col>
      <xdr:colOff>488156</xdr:colOff>
      <xdr:row>14</xdr:row>
      <xdr:rowOff>154781</xdr:rowOff>
    </xdr:from>
    <xdr:ext cx="1357311" cy="1181579"/>
    <xdr:pic>
      <xdr:nvPicPr>
        <xdr:cNvPr id="15" name="Imagen 14">
          <a:extLst>
            <a:ext uri="{FF2B5EF4-FFF2-40B4-BE49-F238E27FC236}">
              <a16:creationId xmlns:a16="http://schemas.microsoft.com/office/drawing/2014/main" id="{681F187D-C980-924D-8EE4-C6B21334B0A0}"/>
            </a:ext>
          </a:extLst>
        </xdr:cNvPr>
        <xdr:cNvPicPr>
          <a:picLocks noChangeAspect="1"/>
        </xdr:cNvPicPr>
      </xdr:nvPicPr>
      <xdr:blipFill rotWithShape="1">
        <a:blip xmlns:r="http://schemas.openxmlformats.org/officeDocument/2006/relationships" r:embed="rId12"/>
        <a:srcRect l="5178" r="16408"/>
        <a:stretch/>
      </xdr:blipFill>
      <xdr:spPr>
        <a:xfrm>
          <a:off x="5745956" y="2466181"/>
          <a:ext cx="1357311" cy="1181579"/>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59999389629810485"/>
  </sheetPr>
  <dimension ref="A1:GA68"/>
  <sheetViews>
    <sheetView zoomScale="70" zoomScaleNormal="70" workbookViewId="0">
      <pane xSplit="7" ySplit="3" topLeftCell="FT61" activePane="bottomRight" state="frozen"/>
      <selection pane="topRight" activeCell="H1" sqref="H1"/>
      <selection pane="bottomLeft" activeCell="A4" sqref="A4"/>
      <selection pane="bottomRight" activeCell="FV62" sqref="FV62"/>
    </sheetView>
  </sheetViews>
  <sheetFormatPr baseColWidth="10" defaultColWidth="11.42578125" defaultRowHeight="12.75" x14ac:dyDescent="0.2"/>
  <cols>
    <col min="1" max="1" width="4" style="24" customWidth="1"/>
    <col min="2" max="2" width="18.42578125" style="81" customWidth="1"/>
    <col min="3" max="3" width="25.28515625" style="24" customWidth="1"/>
    <col min="4" max="4" width="15.28515625" style="24" customWidth="1"/>
    <col min="5" max="5" width="66.140625" style="24" customWidth="1"/>
    <col min="6" max="6" width="8.42578125" style="24" customWidth="1"/>
    <col min="7" max="7" width="27.140625" style="24" customWidth="1"/>
    <col min="8" max="9" width="15.42578125" style="24" customWidth="1"/>
    <col min="10" max="10" width="15.42578125" style="82" customWidth="1"/>
    <col min="11" max="12" width="15.7109375" style="24" customWidth="1"/>
    <col min="13" max="13" width="15.7109375" style="82" customWidth="1"/>
    <col min="14" max="14" width="16.42578125" style="24" customWidth="1"/>
    <col min="15" max="15" width="18.42578125" style="24" customWidth="1"/>
    <col min="16" max="16" width="15.85546875" style="82" customWidth="1"/>
    <col min="17" max="18" width="15.85546875" style="24" customWidth="1"/>
    <col min="19" max="19" width="15.85546875" style="82" customWidth="1"/>
    <col min="20" max="21" width="15.85546875" style="24" customWidth="1"/>
    <col min="22" max="22" width="15.85546875" style="82" customWidth="1"/>
    <col min="23" max="24" width="15.85546875" style="24" customWidth="1"/>
    <col min="25" max="25" width="15.85546875" style="82" customWidth="1"/>
    <col min="26" max="27" width="15.85546875" style="24" customWidth="1"/>
    <col min="28" max="28" width="15.85546875" style="82" customWidth="1"/>
    <col min="29" max="30" width="15.85546875" style="24" customWidth="1"/>
    <col min="31" max="31" width="15.85546875" style="82" customWidth="1"/>
    <col min="32" max="33" width="15.85546875" style="24" customWidth="1"/>
    <col min="34" max="34" width="15.85546875" style="82" customWidth="1"/>
    <col min="35" max="36" width="15.85546875" style="24" customWidth="1"/>
    <col min="37" max="37" width="15.85546875" style="82" customWidth="1"/>
    <col min="38" max="39" width="15.85546875" style="24" customWidth="1"/>
    <col min="40" max="40" width="15.85546875" style="82" customWidth="1"/>
    <col min="41" max="42" width="15.85546875" style="24" customWidth="1"/>
    <col min="43" max="43" width="15.85546875" style="82" customWidth="1"/>
    <col min="44" max="45" width="15.85546875" style="24" customWidth="1"/>
    <col min="46" max="46" width="15.85546875" style="82" customWidth="1"/>
    <col min="47" max="48" width="15.85546875" style="24" customWidth="1"/>
    <col min="49" max="49" width="15.85546875" style="82" customWidth="1"/>
    <col min="50" max="51" width="15.85546875" style="24" customWidth="1"/>
    <col min="52" max="52" width="15.85546875" style="82" customWidth="1"/>
    <col min="53" max="54" width="15.85546875" style="24" customWidth="1"/>
    <col min="55" max="55" width="15.85546875" style="82" customWidth="1"/>
    <col min="56" max="57" width="15.85546875" style="24" customWidth="1"/>
    <col min="58" max="58" width="15.85546875" style="82" customWidth="1"/>
    <col min="59" max="60" width="15.85546875" style="24" customWidth="1"/>
    <col min="61" max="61" width="15.85546875" style="82" customWidth="1"/>
    <col min="62" max="63" width="15.85546875" style="24" customWidth="1"/>
    <col min="64" max="64" width="15.85546875" style="82" customWidth="1"/>
    <col min="65" max="66" width="15.85546875" style="24" customWidth="1"/>
    <col min="67" max="67" width="15.85546875" style="82" customWidth="1"/>
    <col min="68" max="69" width="15.85546875" style="24" customWidth="1"/>
    <col min="70" max="70" width="15.85546875" style="82" customWidth="1"/>
    <col min="71" max="72" width="15.85546875" style="24" customWidth="1"/>
    <col min="73" max="73" width="15.85546875" style="82" customWidth="1"/>
    <col min="74" max="75" width="15.85546875" style="24" customWidth="1"/>
    <col min="76" max="76" width="15.85546875" style="82" customWidth="1"/>
    <col min="77" max="78" width="15.85546875" style="24" customWidth="1"/>
    <col min="79" max="79" width="15.85546875" style="82" customWidth="1"/>
    <col min="80" max="81" width="15.85546875" style="24" customWidth="1"/>
    <col min="82" max="82" width="15.85546875" style="82" customWidth="1"/>
    <col min="83" max="84" width="15.85546875" style="24" customWidth="1"/>
    <col min="85" max="85" width="15.85546875" style="82" customWidth="1"/>
    <col min="86" max="87" width="15.85546875" style="24" customWidth="1"/>
    <col min="88" max="88" width="15.85546875" style="82" customWidth="1"/>
    <col min="89" max="90" width="15.85546875" style="24" customWidth="1"/>
    <col min="91" max="91" width="15.85546875" style="82" customWidth="1"/>
    <col min="92" max="93" width="15.85546875" style="24" customWidth="1"/>
    <col min="94" max="94" width="15.85546875" style="82" customWidth="1"/>
    <col min="95" max="96" width="15.85546875" style="24" customWidth="1"/>
    <col min="97" max="97" width="15.85546875" style="82" customWidth="1"/>
    <col min="98" max="99" width="15.85546875" style="24" customWidth="1"/>
    <col min="100" max="100" width="15.85546875" style="82" customWidth="1"/>
    <col min="101" max="102" width="15.85546875" style="24" customWidth="1"/>
    <col min="103" max="103" width="15.85546875" style="82" customWidth="1"/>
    <col min="104" max="105" width="15.85546875" style="24" customWidth="1"/>
    <col min="106" max="106" width="15.85546875" style="82" customWidth="1"/>
    <col min="107" max="108" width="15.85546875" style="24" customWidth="1"/>
    <col min="109" max="109" width="15.85546875" style="82" customWidth="1"/>
    <col min="110" max="111" width="15.85546875" style="24" customWidth="1"/>
    <col min="112" max="112" width="15.85546875" style="82" customWidth="1"/>
    <col min="113" max="114" width="15.85546875" style="24" customWidth="1"/>
    <col min="115" max="115" width="15.85546875" style="82" customWidth="1"/>
    <col min="116" max="117" width="15.85546875" style="24" customWidth="1"/>
    <col min="118" max="118" width="15.85546875" style="82" customWidth="1"/>
    <col min="119" max="120" width="15.85546875" style="24" customWidth="1"/>
    <col min="121" max="121" width="15.85546875" style="82" customWidth="1"/>
    <col min="122" max="123" width="15.85546875" style="24" customWidth="1"/>
    <col min="124" max="124" width="15.85546875" style="82" customWidth="1"/>
    <col min="125" max="126" width="15.85546875" style="24" customWidth="1"/>
    <col min="127" max="127" width="15.85546875" style="82" customWidth="1"/>
    <col min="128" max="129" width="15.85546875" style="24" customWidth="1"/>
    <col min="130" max="130" width="15.85546875" style="82" customWidth="1"/>
    <col min="131" max="132" width="15.85546875" style="24" customWidth="1"/>
    <col min="133" max="133" width="15.85546875" style="82" customWidth="1"/>
    <col min="134" max="135" width="15.85546875" style="24" customWidth="1"/>
    <col min="136" max="136" width="15.85546875" style="82" customWidth="1"/>
    <col min="137" max="138" width="15.85546875" style="24" customWidth="1"/>
    <col min="139" max="139" width="15.85546875" style="82" customWidth="1"/>
    <col min="140" max="141" width="15.85546875" style="24" customWidth="1"/>
    <col min="142" max="142" width="15.85546875" style="82" customWidth="1"/>
    <col min="143" max="143" width="18.28515625" style="24" customWidth="1"/>
    <col min="144" max="144" width="17.140625" style="24" customWidth="1"/>
    <col min="145" max="145" width="17.7109375" style="82" customWidth="1"/>
    <col min="146" max="147" width="15.85546875" style="24" customWidth="1"/>
    <col min="148" max="148" width="15.85546875" style="82" customWidth="1"/>
    <col min="149" max="150" width="15.85546875" style="24" customWidth="1"/>
    <col min="151" max="151" width="15.85546875" style="82" customWidth="1"/>
    <col min="152" max="153" width="15.85546875" style="24" customWidth="1"/>
    <col min="154" max="154" width="15.85546875" style="82" customWidth="1"/>
    <col min="155" max="156" width="15.85546875" style="24" customWidth="1"/>
    <col min="157" max="157" width="15.85546875" style="82" customWidth="1"/>
    <col min="158" max="159" width="15.85546875" style="24" customWidth="1"/>
    <col min="160" max="160" width="15.85546875" style="82" customWidth="1"/>
    <col min="161" max="162" width="15.85546875" style="24" customWidth="1"/>
    <col min="163" max="163" width="15.85546875" style="82" customWidth="1"/>
    <col min="164" max="165" width="15.85546875" style="24" customWidth="1"/>
    <col min="166" max="166" width="15.85546875" style="82" customWidth="1"/>
    <col min="167" max="168" width="15.85546875" style="24" customWidth="1"/>
    <col min="169" max="169" width="15" style="82" customWidth="1"/>
    <col min="170" max="171" width="15.85546875" style="24" customWidth="1"/>
    <col min="172" max="172" width="15.85546875" style="82" customWidth="1"/>
    <col min="173" max="174" width="15.85546875" style="24" customWidth="1"/>
    <col min="175" max="175" width="15.85546875" style="82" customWidth="1"/>
    <col min="176" max="177" width="15.85546875" style="24" customWidth="1"/>
    <col min="178" max="178" width="15.85546875" style="82" customWidth="1"/>
    <col min="179" max="179" width="18.140625" style="24" customWidth="1"/>
    <col min="180" max="180" width="24.42578125" style="24" customWidth="1"/>
    <col min="181" max="181" width="25.7109375" style="82" customWidth="1"/>
    <col min="182" max="182" width="25.140625" style="84" customWidth="1"/>
    <col min="183" max="183" width="14.42578125" style="24" bestFit="1" customWidth="1"/>
    <col min="184" max="16384" width="11.42578125" style="24"/>
  </cols>
  <sheetData>
    <row r="1" spans="1:182" ht="17.850000000000001" customHeight="1" thickBot="1" x14ac:dyDescent="0.25">
      <c r="A1" s="270" t="s">
        <v>375</v>
      </c>
      <c r="B1" s="271"/>
      <c r="C1" s="271"/>
      <c r="D1" s="271"/>
      <c r="E1" s="271"/>
      <c r="F1" s="271"/>
      <c r="G1" s="272"/>
      <c r="H1" s="260" t="s">
        <v>376</v>
      </c>
      <c r="I1" s="261"/>
      <c r="J1" s="262"/>
      <c r="K1" s="263" t="s">
        <v>377</v>
      </c>
      <c r="L1" s="264"/>
      <c r="M1" s="265"/>
      <c r="N1" s="260" t="s">
        <v>378</v>
      </c>
      <c r="O1" s="261"/>
      <c r="P1" s="262"/>
      <c r="Q1" s="260" t="s">
        <v>379</v>
      </c>
      <c r="R1" s="261"/>
      <c r="S1" s="262"/>
      <c r="T1" s="260" t="s">
        <v>380</v>
      </c>
      <c r="U1" s="261"/>
      <c r="V1" s="262"/>
      <c r="W1" s="260" t="s">
        <v>381</v>
      </c>
      <c r="X1" s="261"/>
      <c r="Y1" s="262"/>
      <c r="Z1" s="260" t="s">
        <v>382</v>
      </c>
      <c r="AA1" s="261"/>
      <c r="AB1" s="262"/>
      <c r="AC1" s="260" t="s">
        <v>383</v>
      </c>
      <c r="AD1" s="261"/>
      <c r="AE1" s="262"/>
      <c r="AF1" s="260" t="s">
        <v>384</v>
      </c>
      <c r="AG1" s="261"/>
      <c r="AH1" s="262"/>
      <c r="AI1" s="260" t="s">
        <v>385</v>
      </c>
      <c r="AJ1" s="261"/>
      <c r="AK1" s="262"/>
      <c r="AL1" s="260" t="s">
        <v>386</v>
      </c>
      <c r="AM1" s="261"/>
      <c r="AN1" s="262"/>
      <c r="AO1" s="263" t="s">
        <v>387</v>
      </c>
      <c r="AP1" s="264"/>
      <c r="AQ1" s="265"/>
      <c r="AR1" s="260" t="s">
        <v>388</v>
      </c>
      <c r="AS1" s="261"/>
      <c r="AT1" s="262"/>
      <c r="AU1" s="263" t="s">
        <v>389</v>
      </c>
      <c r="AV1" s="264"/>
      <c r="AW1" s="265"/>
      <c r="AX1" s="260" t="s">
        <v>390</v>
      </c>
      <c r="AY1" s="261"/>
      <c r="AZ1" s="262"/>
      <c r="BA1" s="264" t="s">
        <v>391</v>
      </c>
      <c r="BB1" s="264"/>
      <c r="BC1" s="265"/>
      <c r="BD1" s="260" t="s">
        <v>392</v>
      </c>
      <c r="BE1" s="261"/>
      <c r="BF1" s="262"/>
      <c r="BG1" s="264" t="s">
        <v>393</v>
      </c>
      <c r="BH1" s="264"/>
      <c r="BI1" s="265"/>
      <c r="BJ1" s="260" t="s">
        <v>394</v>
      </c>
      <c r="BK1" s="261"/>
      <c r="BL1" s="262"/>
      <c r="BM1" s="260" t="s">
        <v>395</v>
      </c>
      <c r="BN1" s="261"/>
      <c r="BO1" s="262"/>
      <c r="BP1" s="260" t="s">
        <v>396</v>
      </c>
      <c r="BQ1" s="261"/>
      <c r="BR1" s="262"/>
      <c r="BS1" s="260" t="s">
        <v>397</v>
      </c>
      <c r="BT1" s="261"/>
      <c r="BU1" s="262"/>
      <c r="BV1" s="260" t="s">
        <v>398</v>
      </c>
      <c r="BW1" s="261"/>
      <c r="BX1" s="262"/>
      <c r="BY1" s="260" t="s">
        <v>399</v>
      </c>
      <c r="BZ1" s="261"/>
      <c r="CA1" s="262"/>
      <c r="CB1" s="260" t="s">
        <v>400</v>
      </c>
      <c r="CC1" s="261"/>
      <c r="CD1" s="262"/>
      <c r="CE1" s="260" t="s">
        <v>401</v>
      </c>
      <c r="CF1" s="261"/>
      <c r="CG1" s="262"/>
      <c r="CH1" s="260" t="s">
        <v>402</v>
      </c>
      <c r="CI1" s="261"/>
      <c r="CJ1" s="262"/>
      <c r="CK1" s="260" t="s">
        <v>403</v>
      </c>
      <c r="CL1" s="261"/>
      <c r="CM1" s="262"/>
      <c r="CN1" s="260" t="s">
        <v>404</v>
      </c>
      <c r="CO1" s="261"/>
      <c r="CP1" s="262"/>
      <c r="CQ1" s="260" t="s">
        <v>405</v>
      </c>
      <c r="CR1" s="261"/>
      <c r="CS1" s="262"/>
      <c r="CT1" s="260" t="s">
        <v>406</v>
      </c>
      <c r="CU1" s="261"/>
      <c r="CV1" s="262"/>
      <c r="CW1" s="260" t="s">
        <v>407</v>
      </c>
      <c r="CX1" s="261"/>
      <c r="CY1" s="262"/>
      <c r="CZ1" s="260" t="s">
        <v>408</v>
      </c>
      <c r="DA1" s="261"/>
      <c r="DB1" s="262"/>
      <c r="DC1" s="260" t="s">
        <v>409</v>
      </c>
      <c r="DD1" s="261"/>
      <c r="DE1" s="262"/>
      <c r="DF1" s="260" t="s">
        <v>410</v>
      </c>
      <c r="DG1" s="261"/>
      <c r="DH1" s="262"/>
      <c r="DI1" s="260" t="s">
        <v>411</v>
      </c>
      <c r="DJ1" s="261"/>
      <c r="DK1" s="262"/>
      <c r="DL1" s="260" t="s">
        <v>412</v>
      </c>
      <c r="DM1" s="261"/>
      <c r="DN1" s="262"/>
      <c r="DO1" s="260" t="s">
        <v>413</v>
      </c>
      <c r="DP1" s="261"/>
      <c r="DQ1" s="262"/>
      <c r="DR1" s="260" t="s">
        <v>414</v>
      </c>
      <c r="DS1" s="261"/>
      <c r="DT1" s="262"/>
      <c r="DU1" s="260" t="s">
        <v>415</v>
      </c>
      <c r="DV1" s="261"/>
      <c r="DW1" s="262"/>
      <c r="DX1" s="260" t="s">
        <v>416</v>
      </c>
      <c r="DY1" s="261"/>
      <c r="DZ1" s="262"/>
      <c r="EA1" s="260" t="s">
        <v>417</v>
      </c>
      <c r="EB1" s="261"/>
      <c r="EC1" s="262"/>
      <c r="ED1" s="260" t="s">
        <v>418</v>
      </c>
      <c r="EE1" s="261"/>
      <c r="EF1" s="262"/>
      <c r="EG1" s="260" t="s">
        <v>419</v>
      </c>
      <c r="EH1" s="261"/>
      <c r="EI1" s="262"/>
      <c r="EJ1" s="260" t="s">
        <v>420</v>
      </c>
      <c r="EK1" s="261"/>
      <c r="EL1" s="262"/>
      <c r="EM1" s="260" t="s">
        <v>421</v>
      </c>
      <c r="EN1" s="261"/>
      <c r="EO1" s="262"/>
      <c r="EP1" s="260" t="s">
        <v>422</v>
      </c>
      <c r="EQ1" s="261"/>
      <c r="ER1" s="262"/>
      <c r="ES1" s="260" t="s">
        <v>423</v>
      </c>
      <c r="ET1" s="261"/>
      <c r="EU1" s="262"/>
      <c r="EV1" s="260" t="s">
        <v>424</v>
      </c>
      <c r="EW1" s="261"/>
      <c r="EX1" s="262"/>
      <c r="EY1" s="260" t="s">
        <v>425</v>
      </c>
      <c r="EZ1" s="261"/>
      <c r="FA1" s="262"/>
      <c r="FB1" s="260" t="s">
        <v>426</v>
      </c>
      <c r="FC1" s="261"/>
      <c r="FD1" s="262"/>
      <c r="FE1" s="260" t="s">
        <v>427</v>
      </c>
      <c r="FF1" s="261"/>
      <c r="FG1" s="262"/>
      <c r="FH1" s="260" t="s">
        <v>428</v>
      </c>
      <c r="FI1" s="261"/>
      <c r="FJ1" s="262"/>
      <c r="FK1" s="260" t="s">
        <v>429</v>
      </c>
      <c r="FL1" s="261"/>
      <c r="FM1" s="262"/>
      <c r="FN1" s="260" t="s">
        <v>430</v>
      </c>
      <c r="FO1" s="261"/>
      <c r="FP1" s="262"/>
      <c r="FQ1" s="263" t="s">
        <v>431</v>
      </c>
      <c r="FR1" s="264"/>
      <c r="FS1" s="265"/>
      <c r="FT1" s="260" t="s">
        <v>432</v>
      </c>
      <c r="FU1" s="261"/>
      <c r="FV1" s="262"/>
      <c r="FW1" s="266" t="s">
        <v>433</v>
      </c>
      <c r="FX1" s="268" t="s">
        <v>434</v>
      </c>
      <c r="FY1" s="253" t="s">
        <v>435</v>
      </c>
      <c r="FZ1" s="255" t="s">
        <v>436</v>
      </c>
    </row>
    <row r="2" spans="1:182" ht="70.5" customHeight="1" thickBot="1" x14ac:dyDescent="0.25">
      <c r="A2" s="257" t="s">
        <v>437</v>
      </c>
      <c r="B2" s="258"/>
      <c r="C2" s="258"/>
      <c r="D2" s="258"/>
      <c r="E2" s="258"/>
      <c r="F2" s="258"/>
      <c r="G2" s="259"/>
      <c r="H2" s="243" t="s">
        <v>438</v>
      </c>
      <c r="I2" s="244"/>
      <c r="J2" s="245"/>
      <c r="K2" s="243" t="s">
        <v>439</v>
      </c>
      <c r="L2" s="244"/>
      <c r="M2" s="245"/>
      <c r="N2" s="243" t="s">
        <v>440</v>
      </c>
      <c r="O2" s="244"/>
      <c r="P2" s="245"/>
      <c r="Q2" s="243" t="s">
        <v>441</v>
      </c>
      <c r="R2" s="244"/>
      <c r="S2" s="245"/>
      <c r="T2" s="243" t="s">
        <v>442</v>
      </c>
      <c r="U2" s="244"/>
      <c r="V2" s="245"/>
      <c r="W2" s="243" t="s">
        <v>443</v>
      </c>
      <c r="X2" s="244"/>
      <c r="Y2" s="245"/>
      <c r="Z2" s="243" t="s">
        <v>444</v>
      </c>
      <c r="AA2" s="244"/>
      <c r="AB2" s="245"/>
      <c r="AC2" s="243" t="s">
        <v>445</v>
      </c>
      <c r="AD2" s="244"/>
      <c r="AE2" s="245"/>
      <c r="AF2" s="243" t="s">
        <v>446</v>
      </c>
      <c r="AG2" s="244"/>
      <c r="AH2" s="245"/>
      <c r="AI2" s="243" t="s">
        <v>447</v>
      </c>
      <c r="AJ2" s="244"/>
      <c r="AK2" s="245"/>
      <c r="AL2" s="243" t="s">
        <v>448</v>
      </c>
      <c r="AM2" s="244"/>
      <c r="AN2" s="244"/>
      <c r="AO2" s="243" t="s">
        <v>449</v>
      </c>
      <c r="AP2" s="244"/>
      <c r="AQ2" s="245"/>
      <c r="AR2" s="243" t="s">
        <v>450</v>
      </c>
      <c r="AS2" s="244"/>
      <c r="AT2" s="245"/>
      <c r="AU2" s="243" t="s">
        <v>451</v>
      </c>
      <c r="AV2" s="244"/>
      <c r="AW2" s="245"/>
      <c r="AX2" s="243" t="s">
        <v>452</v>
      </c>
      <c r="AY2" s="244"/>
      <c r="AZ2" s="245"/>
      <c r="BA2" s="243" t="s">
        <v>453</v>
      </c>
      <c r="BB2" s="244"/>
      <c r="BC2" s="245"/>
      <c r="BD2" s="243" t="s">
        <v>454</v>
      </c>
      <c r="BE2" s="244"/>
      <c r="BF2" s="245"/>
      <c r="BG2" s="243" t="s">
        <v>455</v>
      </c>
      <c r="BH2" s="244"/>
      <c r="BI2" s="245"/>
      <c r="BJ2" s="243" t="s">
        <v>456</v>
      </c>
      <c r="BK2" s="244"/>
      <c r="BL2" s="245"/>
      <c r="BM2" s="243" t="s">
        <v>457</v>
      </c>
      <c r="BN2" s="244"/>
      <c r="BO2" s="245"/>
      <c r="BP2" s="243" t="s">
        <v>458</v>
      </c>
      <c r="BQ2" s="244"/>
      <c r="BR2" s="245"/>
      <c r="BS2" s="243" t="s">
        <v>459</v>
      </c>
      <c r="BT2" s="244"/>
      <c r="BU2" s="245"/>
      <c r="BV2" s="243" t="s">
        <v>460</v>
      </c>
      <c r="BW2" s="244"/>
      <c r="BX2" s="245"/>
      <c r="BY2" s="243" t="s">
        <v>461</v>
      </c>
      <c r="BZ2" s="244"/>
      <c r="CA2" s="245"/>
      <c r="CB2" s="243" t="s">
        <v>462</v>
      </c>
      <c r="CC2" s="244"/>
      <c r="CD2" s="245"/>
      <c r="CE2" s="243" t="s">
        <v>463</v>
      </c>
      <c r="CF2" s="244"/>
      <c r="CG2" s="245"/>
      <c r="CH2" s="249" t="s">
        <v>464</v>
      </c>
      <c r="CI2" s="249"/>
      <c r="CJ2" s="249"/>
      <c r="CK2" s="243" t="s">
        <v>465</v>
      </c>
      <c r="CL2" s="244"/>
      <c r="CM2" s="245"/>
      <c r="CN2" s="243" t="s">
        <v>466</v>
      </c>
      <c r="CO2" s="244"/>
      <c r="CP2" s="245"/>
      <c r="CQ2" s="243" t="s">
        <v>467</v>
      </c>
      <c r="CR2" s="244"/>
      <c r="CS2" s="245"/>
      <c r="CT2" s="243" t="s">
        <v>468</v>
      </c>
      <c r="CU2" s="244"/>
      <c r="CV2" s="245"/>
      <c r="CW2" s="243" t="s">
        <v>469</v>
      </c>
      <c r="CX2" s="244"/>
      <c r="CY2" s="245"/>
      <c r="CZ2" s="243" t="s">
        <v>470</v>
      </c>
      <c r="DA2" s="244"/>
      <c r="DB2" s="245"/>
      <c r="DC2" s="243" t="s">
        <v>471</v>
      </c>
      <c r="DD2" s="244"/>
      <c r="DE2" s="245"/>
      <c r="DF2" s="243" t="s">
        <v>472</v>
      </c>
      <c r="DG2" s="244"/>
      <c r="DH2" s="245"/>
      <c r="DI2" s="243" t="s">
        <v>473</v>
      </c>
      <c r="DJ2" s="244"/>
      <c r="DK2" s="245"/>
      <c r="DL2" s="243" t="s">
        <v>474</v>
      </c>
      <c r="DM2" s="244"/>
      <c r="DN2" s="245"/>
      <c r="DO2" s="243" t="s">
        <v>475</v>
      </c>
      <c r="DP2" s="244"/>
      <c r="DQ2" s="245"/>
      <c r="DR2" s="243" t="s">
        <v>476</v>
      </c>
      <c r="DS2" s="244"/>
      <c r="DT2" s="245"/>
      <c r="DU2" s="243" t="s">
        <v>477</v>
      </c>
      <c r="DV2" s="244"/>
      <c r="DW2" s="245"/>
      <c r="DX2" s="243" t="s">
        <v>478</v>
      </c>
      <c r="DY2" s="244"/>
      <c r="DZ2" s="245"/>
      <c r="EA2" s="243" t="s">
        <v>479</v>
      </c>
      <c r="EB2" s="244"/>
      <c r="EC2" s="245"/>
      <c r="ED2" s="243" t="s">
        <v>480</v>
      </c>
      <c r="EE2" s="244"/>
      <c r="EF2" s="245"/>
      <c r="EG2" s="243" t="s">
        <v>481</v>
      </c>
      <c r="EH2" s="244"/>
      <c r="EI2" s="245"/>
      <c r="EJ2" s="248" t="s">
        <v>482</v>
      </c>
      <c r="EK2" s="249"/>
      <c r="EL2" s="250"/>
      <c r="EM2" s="243" t="s">
        <v>483</v>
      </c>
      <c r="EN2" s="244"/>
      <c r="EO2" s="245"/>
      <c r="EP2" s="243" t="s">
        <v>484</v>
      </c>
      <c r="EQ2" s="244"/>
      <c r="ER2" s="245"/>
      <c r="ES2" s="243" t="s">
        <v>485</v>
      </c>
      <c r="ET2" s="244"/>
      <c r="EU2" s="245"/>
      <c r="EV2" s="243" t="s">
        <v>486</v>
      </c>
      <c r="EW2" s="244"/>
      <c r="EX2" s="245"/>
      <c r="EY2" s="243" t="s">
        <v>487</v>
      </c>
      <c r="EZ2" s="244"/>
      <c r="FA2" s="245"/>
      <c r="FB2" s="243" t="s">
        <v>488</v>
      </c>
      <c r="FC2" s="244"/>
      <c r="FD2" s="245"/>
      <c r="FE2" s="243" t="s">
        <v>489</v>
      </c>
      <c r="FF2" s="244"/>
      <c r="FG2" s="245"/>
      <c r="FH2" s="246" t="s">
        <v>490</v>
      </c>
      <c r="FI2" s="246"/>
      <c r="FJ2" s="247"/>
      <c r="FK2" s="248" t="s">
        <v>491</v>
      </c>
      <c r="FL2" s="249"/>
      <c r="FM2" s="250"/>
      <c r="FN2" s="251" t="s">
        <v>492</v>
      </c>
      <c r="FO2" s="246"/>
      <c r="FP2" s="252"/>
      <c r="FQ2" s="251" t="s">
        <v>493</v>
      </c>
      <c r="FR2" s="246"/>
      <c r="FS2" s="252"/>
      <c r="FT2" s="243" t="s">
        <v>461</v>
      </c>
      <c r="FU2" s="244"/>
      <c r="FV2" s="245"/>
      <c r="FW2" s="267"/>
      <c r="FX2" s="269"/>
      <c r="FY2" s="254"/>
      <c r="FZ2" s="256" t="s">
        <v>436</v>
      </c>
    </row>
    <row r="3" spans="1:182" s="38" customFormat="1" ht="51" customHeight="1" thickBot="1" x14ac:dyDescent="0.25">
      <c r="A3" s="25" t="s">
        <v>0</v>
      </c>
      <c r="B3" s="22" t="s">
        <v>10</v>
      </c>
      <c r="C3" s="22" t="s">
        <v>494</v>
      </c>
      <c r="D3" s="22" t="s">
        <v>495</v>
      </c>
      <c r="E3" s="22" t="s">
        <v>496</v>
      </c>
      <c r="F3" s="22" t="s">
        <v>86</v>
      </c>
      <c r="G3" s="23" t="s">
        <v>497</v>
      </c>
      <c r="H3" s="26" t="s">
        <v>498</v>
      </c>
      <c r="I3" s="27" t="s">
        <v>499</v>
      </c>
      <c r="J3" s="26" t="s">
        <v>500</v>
      </c>
      <c r="K3" s="28" t="s">
        <v>498</v>
      </c>
      <c r="L3" s="29" t="s">
        <v>499</v>
      </c>
      <c r="M3" s="28" t="s">
        <v>500</v>
      </c>
      <c r="N3" s="28" t="s">
        <v>498</v>
      </c>
      <c r="O3" s="29" t="s">
        <v>499</v>
      </c>
      <c r="P3" s="28" t="s">
        <v>500</v>
      </c>
      <c r="Q3" s="28" t="s">
        <v>498</v>
      </c>
      <c r="R3" s="29" t="s">
        <v>499</v>
      </c>
      <c r="S3" s="28" t="s">
        <v>500</v>
      </c>
      <c r="T3" s="28" t="s">
        <v>498</v>
      </c>
      <c r="U3" s="29" t="s">
        <v>499</v>
      </c>
      <c r="V3" s="28" t="s">
        <v>500</v>
      </c>
      <c r="W3" s="28" t="s">
        <v>498</v>
      </c>
      <c r="X3" s="29" t="s">
        <v>499</v>
      </c>
      <c r="Y3" s="28" t="s">
        <v>500</v>
      </c>
      <c r="Z3" s="28" t="s">
        <v>498</v>
      </c>
      <c r="AA3" s="29" t="s">
        <v>499</v>
      </c>
      <c r="AB3" s="28" t="s">
        <v>500</v>
      </c>
      <c r="AC3" s="28" t="s">
        <v>498</v>
      </c>
      <c r="AD3" s="29" t="s">
        <v>499</v>
      </c>
      <c r="AE3" s="28" t="s">
        <v>500</v>
      </c>
      <c r="AF3" s="28" t="s">
        <v>498</v>
      </c>
      <c r="AG3" s="29" t="s">
        <v>499</v>
      </c>
      <c r="AH3" s="28" t="s">
        <v>500</v>
      </c>
      <c r="AI3" s="28" t="s">
        <v>498</v>
      </c>
      <c r="AJ3" s="29" t="s">
        <v>499</v>
      </c>
      <c r="AK3" s="28" t="s">
        <v>500</v>
      </c>
      <c r="AL3" s="28" t="s">
        <v>498</v>
      </c>
      <c r="AM3" s="29" t="s">
        <v>499</v>
      </c>
      <c r="AN3" s="30" t="s">
        <v>500</v>
      </c>
      <c r="AO3" s="28" t="s">
        <v>498</v>
      </c>
      <c r="AP3" s="29" t="s">
        <v>499</v>
      </c>
      <c r="AQ3" s="28" t="s">
        <v>500</v>
      </c>
      <c r="AR3" s="26" t="s">
        <v>498</v>
      </c>
      <c r="AS3" s="27" t="s">
        <v>499</v>
      </c>
      <c r="AT3" s="26" t="s">
        <v>500</v>
      </c>
      <c r="AU3" s="26" t="s">
        <v>498</v>
      </c>
      <c r="AV3" s="27" t="s">
        <v>499</v>
      </c>
      <c r="AW3" s="26" t="s">
        <v>500</v>
      </c>
      <c r="AX3" s="26" t="s">
        <v>498</v>
      </c>
      <c r="AY3" s="27" t="s">
        <v>499</v>
      </c>
      <c r="AZ3" s="26" t="s">
        <v>500</v>
      </c>
      <c r="BA3" s="26" t="s">
        <v>498</v>
      </c>
      <c r="BB3" s="27" t="s">
        <v>499</v>
      </c>
      <c r="BC3" s="26" t="s">
        <v>500</v>
      </c>
      <c r="BD3" s="31" t="s">
        <v>498</v>
      </c>
      <c r="BE3" s="27" t="s">
        <v>499</v>
      </c>
      <c r="BF3" s="26" t="s">
        <v>500</v>
      </c>
      <c r="BG3" s="31" t="s">
        <v>498</v>
      </c>
      <c r="BH3" s="27" t="s">
        <v>499</v>
      </c>
      <c r="BI3" s="26" t="s">
        <v>500</v>
      </c>
      <c r="BJ3" s="26" t="s">
        <v>498</v>
      </c>
      <c r="BK3" s="27" t="s">
        <v>499</v>
      </c>
      <c r="BL3" s="26" t="s">
        <v>500</v>
      </c>
      <c r="BM3" s="31" t="s">
        <v>498</v>
      </c>
      <c r="BN3" s="27" t="s">
        <v>499</v>
      </c>
      <c r="BO3" s="26" t="s">
        <v>500</v>
      </c>
      <c r="BP3" s="31" t="s">
        <v>498</v>
      </c>
      <c r="BQ3" s="27" t="s">
        <v>499</v>
      </c>
      <c r="BR3" s="26" t="s">
        <v>500</v>
      </c>
      <c r="BS3" s="31" t="s">
        <v>498</v>
      </c>
      <c r="BT3" s="27" t="s">
        <v>499</v>
      </c>
      <c r="BU3" s="26" t="s">
        <v>500</v>
      </c>
      <c r="BV3" s="31" t="s">
        <v>498</v>
      </c>
      <c r="BW3" s="27" t="s">
        <v>499</v>
      </c>
      <c r="BX3" s="26" t="s">
        <v>500</v>
      </c>
      <c r="BY3" s="31" t="s">
        <v>498</v>
      </c>
      <c r="BZ3" s="27" t="s">
        <v>499</v>
      </c>
      <c r="CA3" s="26" t="s">
        <v>500</v>
      </c>
      <c r="CB3" s="31" t="s">
        <v>498</v>
      </c>
      <c r="CC3" s="27" t="s">
        <v>499</v>
      </c>
      <c r="CD3" s="26" t="s">
        <v>500</v>
      </c>
      <c r="CE3" s="31" t="s">
        <v>498</v>
      </c>
      <c r="CF3" s="27" t="s">
        <v>499</v>
      </c>
      <c r="CG3" s="26" t="s">
        <v>500</v>
      </c>
      <c r="CH3" s="31" t="s">
        <v>498</v>
      </c>
      <c r="CI3" s="27" t="s">
        <v>499</v>
      </c>
      <c r="CJ3" s="26" t="s">
        <v>500</v>
      </c>
      <c r="CK3" s="31" t="s">
        <v>498</v>
      </c>
      <c r="CL3" s="27" t="s">
        <v>499</v>
      </c>
      <c r="CM3" s="26" t="s">
        <v>500</v>
      </c>
      <c r="CN3" s="31" t="s">
        <v>498</v>
      </c>
      <c r="CO3" s="27" t="s">
        <v>499</v>
      </c>
      <c r="CP3" s="26" t="s">
        <v>500</v>
      </c>
      <c r="CQ3" s="31" t="s">
        <v>498</v>
      </c>
      <c r="CR3" s="27" t="s">
        <v>499</v>
      </c>
      <c r="CS3" s="26" t="s">
        <v>500</v>
      </c>
      <c r="CT3" s="31" t="s">
        <v>498</v>
      </c>
      <c r="CU3" s="27" t="s">
        <v>499</v>
      </c>
      <c r="CV3" s="26" t="s">
        <v>500</v>
      </c>
      <c r="CW3" s="31" t="s">
        <v>498</v>
      </c>
      <c r="CX3" s="27" t="s">
        <v>499</v>
      </c>
      <c r="CY3" s="26" t="s">
        <v>500</v>
      </c>
      <c r="CZ3" s="31" t="s">
        <v>498</v>
      </c>
      <c r="DA3" s="27" t="s">
        <v>499</v>
      </c>
      <c r="DB3" s="26" t="s">
        <v>500</v>
      </c>
      <c r="DC3" s="31" t="s">
        <v>498</v>
      </c>
      <c r="DD3" s="27" t="s">
        <v>499</v>
      </c>
      <c r="DE3" s="26" t="s">
        <v>500</v>
      </c>
      <c r="DF3" s="31" t="s">
        <v>498</v>
      </c>
      <c r="DG3" s="27" t="s">
        <v>499</v>
      </c>
      <c r="DH3" s="26" t="s">
        <v>500</v>
      </c>
      <c r="DI3" s="31" t="s">
        <v>498</v>
      </c>
      <c r="DJ3" s="27" t="s">
        <v>499</v>
      </c>
      <c r="DK3" s="26" t="s">
        <v>500</v>
      </c>
      <c r="DL3" s="31" t="s">
        <v>498</v>
      </c>
      <c r="DM3" s="27" t="s">
        <v>499</v>
      </c>
      <c r="DN3" s="26" t="s">
        <v>500</v>
      </c>
      <c r="DO3" s="31" t="s">
        <v>498</v>
      </c>
      <c r="DP3" s="27" t="s">
        <v>499</v>
      </c>
      <c r="DQ3" s="26" t="s">
        <v>500</v>
      </c>
      <c r="DR3" s="31" t="s">
        <v>498</v>
      </c>
      <c r="DS3" s="27" t="s">
        <v>499</v>
      </c>
      <c r="DT3" s="26" t="s">
        <v>500</v>
      </c>
      <c r="DU3" s="31" t="s">
        <v>498</v>
      </c>
      <c r="DV3" s="27" t="s">
        <v>499</v>
      </c>
      <c r="DW3" s="26" t="s">
        <v>500</v>
      </c>
      <c r="DX3" s="31" t="s">
        <v>498</v>
      </c>
      <c r="DY3" s="27" t="s">
        <v>499</v>
      </c>
      <c r="DZ3" s="26" t="s">
        <v>500</v>
      </c>
      <c r="EA3" s="31" t="s">
        <v>498</v>
      </c>
      <c r="EB3" s="27" t="s">
        <v>499</v>
      </c>
      <c r="EC3" s="26" t="s">
        <v>500</v>
      </c>
      <c r="ED3" s="31" t="s">
        <v>498</v>
      </c>
      <c r="EE3" s="27" t="s">
        <v>499</v>
      </c>
      <c r="EF3" s="26" t="s">
        <v>500</v>
      </c>
      <c r="EG3" s="31" t="s">
        <v>498</v>
      </c>
      <c r="EH3" s="27" t="s">
        <v>499</v>
      </c>
      <c r="EI3" s="32" t="s">
        <v>500</v>
      </c>
      <c r="EJ3" s="28" t="s">
        <v>498</v>
      </c>
      <c r="EK3" s="29" t="s">
        <v>499</v>
      </c>
      <c r="EL3" s="28" t="s">
        <v>500</v>
      </c>
      <c r="EM3" s="28" t="s">
        <v>498</v>
      </c>
      <c r="EN3" s="29" t="s">
        <v>499</v>
      </c>
      <c r="EO3" s="28" t="s">
        <v>500</v>
      </c>
      <c r="EP3" s="28" t="s">
        <v>498</v>
      </c>
      <c r="EQ3" s="29" t="s">
        <v>499</v>
      </c>
      <c r="ER3" s="28" t="s">
        <v>500</v>
      </c>
      <c r="ES3" s="28" t="s">
        <v>498</v>
      </c>
      <c r="ET3" s="29" t="s">
        <v>499</v>
      </c>
      <c r="EU3" s="28" t="s">
        <v>500</v>
      </c>
      <c r="EV3" s="28" t="s">
        <v>498</v>
      </c>
      <c r="EW3" s="29" t="s">
        <v>499</v>
      </c>
      <c r="EX3" s="28" t="s">
        <v>500</v>
      </c>
      <c r="EY3" s="28" t="s">
        <v>498</v>
      </c>
      <c r="EZ3" s="29" t="s">
        <v>499</v>
      </c>
      <c r="FA3" s="28" t="s">
        <v>500</v>
      </c>
      <c r="FB3" s="28" t="s">
        <v>498</v>
      </c>
      <c r="FC3" s="29" t="s">
        <v>499</v>
      </c>
      <c r="FD3" s="28" t="s">
        <v>500</v>
      </c>
      <c r="FE3" s="28" t="s">
        <v>498</v>
      </c>
      <c r="FF3" s="29" t="s">
        <v>499</v>
      </c>
      <c r="FG3" s="28" t="s">
        <v>500</v>
      </c>
      <c r="FH3" s="28" t="s">
        <v>498</v>
      </c>
      <c r="FI3" s="29" t="s">
        <v>499</v>
      </c>
      <c r="FJ3" s="28" t="s">
        <v>500</v>
      </c>
      <c r="FK3" s="28" t="s">
        <v>498</v>
      </c>
      <c r="FL3" s="29" t="s">
        <v>499</v>
      </c>
      <c r="FM3" s="28" t="s">
        <v>500</v>
      </c>
      <c r="FN3" s="28" t="s">
        <v>498</v>
      </c>
      <c r="FO3" s="29" t="s">
        <v>499</v>
      </c>
      <c r="FP3" s="30" t="s">
        <v>500</v>
      </c>
      <c r="FQ3" s="28" t="s">
        <v>498</v>
      </c>
      <c r="FR3" s="29" t="s">
        <v>499</v>
      </c>
      <c r="FS3" s="28" t="s">
        <v>500</v>
      </c>
      <c r="FT3" s="33" t="s">
        <v>498</v>
      </c>
      <c r="FU3" s="29" t="s">
        <v>499</v>
      </c>
      <c r="FV3" s="28" t="s">
        <v>500</v>
      </c>
      <c r="FW3" s="34" t="s">
        <v>433</v>
      </c>
      <c r="FX3" s="35">
        <v>1</v>
      </c>
      <c r="FY3" s="36">
        <v>1</v>
      </c>
      <c r="FZ3" s="37"/>
    </row>
    <row r="4" spans="1:182" ht="159.75" customHeight="1" x14ac:dyDescent="0.2">
      <c r="A4" s="39">
        <v>1</v>
      </c>
      <c r="B4" s="40" t="s">
        <v>12</v>
      </c>
      <c r="C4" s="41" t="s">
        <v>70</v>
      </c>
      <c r="D4" s="42">
        <v>60121001</v>
      </c>
      <c r="E4" s="43" t="s">
        <v>97</v>
      </c>
      <c r="F4" s="44" t="s">
        <v>87</v>
      </c>
      <c r="G4" s="45" t="s">
        <v>501</v>
      </c>
      <c r="H4" s="46" t="s">
        <v>502</v>
      </c>
      <c r="I4" s="46" t="s">
        <v>502</v>
      </c>
      <c r="J4" s="46" t="s">
        <v>502</v>
      </c>
      <c r="K4" s="46" t="s">
        <v>502</v>
      </c>
      <c r="L4" s="46" t="s">
        <v>502</v>
      </c>
      <c r="M4" s="46" t="s">
        <v>502</v>
      </c>
      <c r="N4" s="46" t="s">
        <v>502</v>
      </c>
      <c r="O4" s="46" t="s">
        <v>502</v>
      </c>
      <c r="P4" s="46" t="s">
        <v>502</v>
      </c>
      <c r="Q4" s="46" t="s">
        <v>502</v>
      </c>
      <c r="R4" s="46" t="s">
        <v>502</v>
      </c>
      <c r="S4" s="46" t="s">
        <v>502</v>
      </c>
      <c r="T4" s="46">
        <v>50084</v>
      </c>
      <c r="U4" s="47">
        <f t="shared" ref="U4:U10" si="0">+T4*19%</f>
        <v>9515.9600000000009</v>
      </c>
      <c r="V4" s="48">
        <f t="shared" ref="V4:V10" si="1">+T4+U4</f>
        <v>59599.96</v>
      </c>
      <c r="W4" s="46">
        <f>63100/1.19</f>
        <v>53025.210084033613</v>
      </c>
      <c r="X4" s="47">
        <f t="shared" ref="X4:X9" si="2">+W4*19%</f>
        <v>10074.789915966387</v>
      </c>
      <c r="Y4" s="48">
        <f t="shared" ref="Y4:Y7" si="3">+W4+X4</f>
        <v>63100</v>
      </c>
      <c r="Z4" s="46" t="s">
        <v>502</v>
      </c>
      <c r="AA4" s="46" t="s">
        <v>502</v>
      </c>
      <c r="AB4" s="46" t="s">
        <v>502</v>
      </c>
      <c r="AC4" s="46" t="s">
        <v>503</v>
      </c>
      <c r="AD4" s="46" t="s">
        <v>503</v>
      </c>
      <c r="AE4" s="46" t="s">
        <v>503</v>
      </c>
      <c r="AF4" s="46" t="s">
        <v>502</v>
      </c>
      <c r="AG4" s="46" t="s">
        <v>502</v>
      </c>
      <c r="AH4" s="46" t="s">
        <v>502</v>
      </c>
      <c r="AI4" s="46" t="s">
        <v>502</v>
      </c>
      <c r="AJ4" s="46" t="s">
        <v>502</v>
      </c>
      <c r="AK4" s="46" t="s">
        <v>502</v>
      </c>
      <c r="AL4" s="46" t="s">
        <v>502</v>
      </c>
      <c r="AM4" s="46" t="s">
        <v>502</v>
      </c>
      <c r="AN4" s="49" t="s">
        <v>502</v>
      </c>
      <c r="AO4" s="46" t="s">
        <v>502</v>
      </c>
      <c r="AP4" s="46" t="s">
        <v>502</v>
      </c>
      <c r="AQ4" s="49" t="s">
        <v>502</v>
      </c>
      <c r="AR4" s="46" t="s">
        <v>502</v>
      </c>
      <c r="AS4" s="46" t="s">
        <v>502</v>
      </c>
      <c r="AT4" s="49" t="s">
        <v>502</v>
      </c>
      <c r="AU4" s="46" t="s">
        <v>502</v>
      </c>
      <c r="AV4" s="46" t="s">
        <v>502</v>
      </c>
      <c r="AW4" s="49" t="s">
        <v>502</v>
      </c>
      <c r="AX4" s="46" t="s">
        <v>502</v>
      </c>
      <c r="AY4" s="46" t="s">
        <v>502</v>
      </c>
      <c r="AZ4" s="49" t="s">
        <v>502</v>
      </c>
      <c r="BA4" s="46" t="s">
        <v>502</v>
      </c>
      <c r="BB4" s="46" t="s">
        <v>502</v>
      </c>
      <c r="BC4" s="49" t="s">
        <v>502</v>
      </c>
      <c r="BD4" s="46" t="s">
        <v>502</v>
      </c>
      <c r="BE4" s="46" t="s">
        <v>502</v>
      </c>
      <c r="BF4" s="49" t="s">
        <v>502</v>
      </c>
      <c r="BG4" s="46" t="s">
        <v>502</v>
      </c>
      <c r="BH4" s="46" t="s">
        <v>502</v>
      </c>
      <c r="BI4" s="49" t="s">
        <v>502</v>
      </c>
      <c r="BJ4" s="46" t="s">
        <v>502</v>
      </c>
      <c r="BK4" s="46" t="s">
        <v>502</v>
      </c>
      <c r="BL4" s="49" t="s">
        <v>502</v>
      </c>
      <c r="BM4" s="46" t="s">
        <v>502</v>
      </c>
      <c r="BN4" s="46" t="s">
        <v>502</v>
      </c>
      <c r="BO4" s="49" t="s">
        <v>502</v>
      </c>
      <c r="BP4" s="46" t="s">
        <v>502</v>
      </c>
      <c r="BQ4" s="46" t="s">
        <v>502</v>
      </c>
      <c r="BR4" s="49" t="s">
        <v>502</v>
      </c>
      <c r="BS4" s="46" t="s">
        <v>502</v>
      </c>
      <c r="BT4" s="46" t="s">
        <v>502</v>
      </c>
      <c r="BU4" s="49" t="s">
        <v>502</v>
      </c>
      <c r="BV4" s="46" t="s">
        <v>502</v>
      </c>
      <c r="BW4" s="46" t="s">
        <v>502</v>
      </c>
      <c r="BX4" s="49" t="s">
        <v>502</v>
      </c>
      <c r="BY4" s="46" t="s">
        <v>502</v>
      </c>
      <c r="BZ4" s="46" t="s">
        <v>502</v>
      </c>
      <c r="CA4" s="49" t="s">
        <v>502</v>
      </c>
      <c r="CB4" s="46" t="s">
        <v>502</v>
      </c>
      <c r="CC4" s="46" t="s">
        <v>502</v>
      </c>
      <c r="CD4" s="49" t="s">
        <v>502</v>
      </c>
      <c r="CE4" s="46" t="s">
        <v>502</v>
      </c>
      <c r="CF4" s="46" t="s">
        <v>502</v>
      </c>
      <c r="CG4" s="49" t="s">
        <v>502</v>
      </c>
      <c r="CH4" s="46" t="s">
        <v>502</v>
      </c>
      <c r="CI4" s="46" t="s">
        <v>502</v>
      </c>
      <c r="CJ4" s="49" t="s">
        <v>502</v>
      </c>
      <c r="CK4" s="46" t="s">
        <v>502</v>
      </c>
      <c r="CL4" s="46" t="s">
        <v>502</v>
      </c>
      <c r="CM4" s="49" t="s">
        <v>502</v>
      </c>
      <c r="CN4" s="46" t="s">
        <v>502</v>
      </c>
      <c r="CO4" s="46" t="s">
        <v>502</v>
      </c>
      <c r="CP4" s="49" t="s">
        <v>502</v>
      </c>
      <c r="CQ4" s="46" t="s">
        <v>502</v>
      </c>
      <c r="CR4" s="46" t="s">
        <v>502</v>
      </c>
      <c r="CS4" s="49" t="s">
        <v>502</v>
      </c>
      <c r="CT4" s="46" t="s">
        <v>502</v>
      </c>
      <c r="CU4" s="46" t="s">
        <v>502</v>
      </c>
      <c r="CV4" s="49" t="s">
        <v>502</v>
      </c>
      <c r="CW4" s="46">
        <f>65800/1.19</f>
        <v>55294.117647058825</v>
      </c>
      <c r="CX4" s="47">
        <f t="shared" ref="CX4:CX5" si="4">+CW4*19%</f>
        <v>10505.882352941177</v>
      </c>
      <c r="CY4" s="48">
        <f t="shared" ref="CY4:CY5" si="5">+CW4+CX4</f>
        <v>65800</v>
      </c>
      <c r="CZ4" s="46" t="s">
        <v>502</v>
      </c>
      <c r="DA4" s="46" t="s">
        <v>502</v>
      </c>
      <c r="DB4" s="49" t="s">
        <v>502</v>
      </c>
      <c r="DC4" s="46" t="s">
        <v>502</v>
      </c>
      <c r="DD4" s="46" t="s">
        <v>502</v>
      </c>
      <c r="DE4" s="49" t="s">
        <v>502</v>
      </c>
      <c r="DF4" s="46" t="s">
        <v>502</v>
      </c>
      <c r="DG4" s="46" t="s">
        <v>502</v>
      </c>
      <c r="DH4" s="49" t="s">
        <v>502</v>
      </c>
      <c r="DI4" s="46" t="s">
        <v>502</v>
      </c>
      <c r="DJ4" s="46" t="s">
        <v>502</v>
      </c>
      <c r="DK4" s="49" t="s">
        <v>502</v>
      </c>
      <c r="DL4" s="46" t="s">
        <v>502</v>
      </c>
      <c r="DM4" s="46" t="s">
        <v>502</v>
      </c>
      <c r="DN4" s="49" t="s">
        <v>502</v>
      </c>
      <c r="DO4" s="46" t="s">
        <v>502</v>
      </c>
      <c r="DP4" s="46" t="s">
        <v>502</v>
      </c>
      <c r="DQ4" s="49" t="s">
        <v>502</v>
      </c>
      <c r="DR4" s="46" t="s">
        <v>502</v>
      </c>
      <c r="DS4" s="46" t="s">
        <v>502</v>
      </c>
      <c r="DT4" s="49" t="s">
        <v>502</v>
      </c>
      <c r="DU4" s="46" t="s">
        <v>502</v>
      </c>
      <c r="DV4" s="46" t="s">
        <v>502</v>
      </c>
      <c r="DW4" s="49" t="s">
        <v>502</v>
      </c>
      <c r="DX4" s="46" t="s">
        <v>502</v>
      </c>
      <c r="DY4" s="46" t="s">
        <v>502</v>
      </c>
      <c r="DZ4" s="49" t="s">
        <v>502</v>
      </c>
      <c r="EA4" s="46" t="s">
        <v>502</v>
      </c>
      <c r="EB4" s="46" t="s">
        <v>502</v>
      </c>
      <c r="EC4" s="49" t="s">
        <v>502</v>
      </c>
      <c r="ED4" s="46" t="s">
        <v>502</v>
      </c>
      <c r="EE4" s="46" t="s">
        <v>502</v>
      </c>
      <c r="EF4" s="49" t="s">
        <v>502</v>
      </c>
      <c r="EG4" s="46" t="s">
        <v>502</v>
      </c>
      <c r="EH4" s="46" t="s">
        <v>502</v>
      </c>
      <c r="EI4" s="49" t="s">
        <v>502</v>
      </c>
      <c r="EJ4" s="46" t="s">
        <v>502</v>
      </c>
      <c r="EK4" s="46" t="s">
        <v>502</v>
      </c>
      <c r="EL4" s="49" t="s">
        <v>502</v>
      </c>
      <c r="EM4" s="46" t="s">
        <v>502</v>
      </c>
      <c r="EN4" s="46" t="s">
        <v>502</v>
      </c>
      <c r="EO4" s="49" t="s">
        <v>502</v>
      </c>
      <c r="EP4" s="46" t="s">
        <v>502</v>
      </c>
      <c r="EQ4" s="46" t="s">
        <v>502</v>
      </c>
      <c r="ER4" s="49" t="s">
        <v>502</v>
      </c>
      <c r="ES4" s="46" t="s">
        <v>502</v>
      </c>
      <c r="ET4" s="46" t="s">
        <v>502</v>
      </c>
      <c r="EU4" s="49" t="s">
        <v>502</v>
      </c>
      <c r="EV4" s="46" t="s">
        <v>502</v>
      </c>
      <c r="EW4" s="46" t="s">
        <v>502</v>
      </c>
      <c r="EX4" s="49" t="s">
        <v>502</v>
      </c>
      <c r="EY4" s="46" t="s">
        <v>502</v>
      </c>
      <c r="EZ4" s="46" t="s">
        <v>502</v>
      </c>
      <c r="FA4" s="49" t="s">
        <v>502</v>
      </c>
      <c r="FB4" s="46" t="s">
        <v>502</v>
      </c>
      <c r="FC4" s="46" t="s">
        <v>502</v>
      </c>
      <c r="FD4" s="49" t="s">
        <v>502</v>
      </c>
      <c r="FE4" s="46" t="s">
        <v>502</v>
      </c>
      <c r="FF4" s="46" t="s">
        <v>502</v>
      </c>
      <c r="FG4" s="49" t="s">
        <v>502</v>
      </c>
      <c r="FH4" s="46" t="s">
        <v>502</v>
      </c>
      <c r="FI4" s="46" t="s">
        <v>502</v>
      </c>
      <c r="FJ4" s="49" t="s">
        <v>502</v>
      </c>
      <c r="FK4" s="46" t="s">
        <v>502</v>
      </c>
      <c r="FL4" s="46" t="s">
        <v>502</v>
      </c>
      <c r="FM4" s="49" t="s">
        <v>502</v>
      </c>
      <c r="FN4" s="46" t="s">
        <v>502</v>
      </c>
      <c r="FO4" s="46" t="s">
        <v>502</v>
      </c>
      <c r="FP4" s="49" t="s">
        <v>502</v>
      </c>
      <c r="FQ4" s="46" t="s">
        <v>502</v>
      </c>
      <c r="FR4" s="46" t="s">
        <v>502</v>
      </c>
      <c r="FS4" s="49" t="s">
        <v>502</v>
      </c>
      <c r="FT4" s="46" t="s">
        <v>502</v>
      </c>
      <c r="FU4" s="46" t="s">
        <v>502</v>
      </c>
      <c r="FV4" s="49" t="s">
        <v>502</v>
      </c>
      <c r="FW4" s="50">
        <f>COUNT(J4,M4,P4,S4,V4,Y4,AB4,AE4,AH4,AK4,AN4,AQ4,AT4,AW4,AZ4,BC4,BF4,BI4,BL4,BO4,BR4,BU4,BX4,CA4,CD4,CG4,CJ4,CM4,CP4,CS4,CV4,CY4,DB4,DE4,DH4,DK4,DN4,DQ4,DT4,DW4,DZ4,EC4,EF4,EI4,EL4,EO4,ER4,EU4,EX4,FA4,FD4,FG4,FJ4,FM4,FP4,FS4,FV4)</f>
        <v>3</v>
      </c>
      <c r="FX4" s="51">
        <f>AVERAGE(J4,M4,P4,S4,V4,Y4,AB4,AE4,AH4,AK4,AN4,AQ4,AT4,AW4,AZ4,BC4,BF4,BI4,BL4,BO4,BR4,BU4,BX4,CA4,CD4,CG4,CJ4,CM4,CP4,CS4,CV4,CY4,DB4,DE4,DH4,DK4,DN4,DQ4,DT4,DW4,DZ4,EC4,EF4,EI4,EL4,EO4,ER4,EU4,EX4,FA4,FD4,FG4,FJ4,FM4,FP4,FS4,FV4)</f>
        <v>62833.32</v>
      </c>
      <c r="FY4" s="46">
        <f t="shared" ref="FY4:FY63" si="6">_xlfn.CEILING.MATH(FX4,50)</f>
        <v>62850</v>
      </c>
      <c r="FZ4" s="52" t="s">
        <v>504</v>
      </c>
    </row>
    <row r="5" spans="1:182" ht="177" customHeight="1" x14ac:dyDescent="0.2">
      <c r="A5" s="39">
        <v>2</v>
      </c>
      <c r="B5" s="40" t="s">
        <v>12</v>
      </c>
      <c r="C5" s="41" t="s">
        <v>71</v>
      </c>
      <c r="D5" s="41">
        <v>60121001</v>
      </c>
      <c r="E5" s="43" t="s">
        <v>98</v>
      </c>
      <c r="F5" s="44" t="s">
        <v>87</v>
      </c>
      <c r="G5" s="45" t="s">
        <v>501</v>
      </c>
      <c r="H5" s="46" t="s">
        <v>502</v>
      </c>
      <c r="I5" s="46" t="s">
        <v>502</v>
      </c>
      <c r="J5" s="46" t="s">
        <v>502</v>
      </c>
      <c r="K5" s="46" t="s">
        <v>502</v>
      </c>
      <c r="L5" s="46" t="s">
        <v>502</v>
      </c>
      <c r="M5" s="46" t="s">
        <v>502</v>
      </c>
      <c r="N5" s="46" t="s">
        <v>502</v>
      </c>
      <c r="O5" s="46" t="s">
        <v>502</v>
      </c>
      <c r="P5" s="46" t="s">
        <v>502</v>
      </c>
      <c r="Q5" s="46" t="s">
        <v>502</v>
      </c>
      <c r="R5" s="46" t="s">
        <v>502</v>
      </c>
      <c r="S5" s="46" t="s">
        <v>502</v>
      </c>
      <c r="T5" s="46">
        <v>62185</v>
      </c>
      <c r="U5" s="47">
        <f t="shared" si="0"/>
        <v>11815.15</v>
      </c>
      <c r="V5" s="48">
        <f t="shared" si="1"/>
        <v>74000.149999999994</v>
      </c>
      <c r="W5" s="46">
        <f>67400/1.19</f>
        <v>56638.655462184877</v>
      </c>
      <c r="X5" s="47">
        <f t="shared" si="2"/>
        <v>10761.344537815126</v>
      </c>
      <c r="Y5" s="48">
        <f t="shared" si="3"/>
        <v>67400</v>
      </c>
      <c r="Z5" s="46" t="s">
        <v>502</v>
      </c>
      <c r="AA5" s="46" t="s">
        <v>502</v>
      </c>
      <c r="AB5" s="46" t="s">
        <v>502</v>
      </c>
      <c r="AC5" s="46" t="s">
        <v>503</v>
      </c>
      <c r="AD5" s="46" t="s">
        <v>503</v>
      </c>
      <c r="AE5" s="46" t="s">
        <v>503</v>
      </c>
      <c r="AF5" s="46" t="s">
        <v>502</v>
      </c>
      <c r="AG5" s="46" t="s">
        <v>502</v>
      </c>
      <c r="AH5" s="46" t="s">
        <v>502</v>
      </c>
      <c r="AI5" s="46" t="s">
        <v>502</v>
      </c>
      <c r="AJ5" s="46" t="s">
        <v>502</v>
      </c>
      <c r="AK5" s="46" t="s">
        <v>502</v>
      </c>
      <c r="AL5" s="46" t="s">
        <v>502</v>
      </c>
      <c r="AM5" s="46" t="s">
        <v>502</v>
      </c>
      <c r="AN5" s="49" t="s">
        <v>502</v>
      </c>
      <c r="AO5" s="46" t="s">
        <v>502</v>
      </c>
      <c r="AP5" s="46" t="s">
        <v>502</v>
      </c>
      <c r="AQ5" s="49" t="s">
        <v>502</v>
      </c>
      <c r="AR5" s="46" t="s">
        <v>502</v>
      </c>
      <c r="AS5" s="46" t="s">
        <v>502</v>
      </c>
      <c r="AT5" s="49" t="s">
        <v>502</v>
      </c>
      <c r="AU5" s="46" t="s">
        <v>502</v>
      </c>
      <c r="AV5" s="46" t="s">
        <v>502</v>
      </c>
      <c r="AW5" s="49" t="s">
        <v>502</v>
      </c>
      <c r="AX5" s="46" t="s">
        <v>502</v>
      </c>
      <c r="AY5" s="46" t="s">
        <v>502</v>
      </c>
      <c r="AZ5" s="49" t="s">
        <v>502</v>
      </c>
      <c r="BA5" s="46" t="s">
        <v>502</v>
      </c>
      <c r="BB5" s="46" t="s">
        <v>502</v>
      </c>
      <c r="BC5" s="49" t="s">
        <v>502</v>
      </c>
      <c r="BD5" s="46" t="s">
        <v>502</v>
      </c>
      <c r="BE5" s="46" t="s">
        <v>502</v>
      </c>
      <c r="BF5" s="49" t="s">
        <v>502</v>
      </c>
      <c r="BG5" s="46" t="s">
        <v>502</v>
      </c>
      <c r="BH5" s="46" t="s">
        <v>502</v>
      </c>
      <c r="BI5" s="49" t="s">
        <v>502</v>
      </c>
      <c r="BJ5" s="46" t="s">
        <v>502</v>
      </c>
      <c r="BK5" s="46" t="s">
        <v>502</v>
      </c>
      <c r="BL5" s="49" t="s">
        <v>502</v>
      </c>
      <c r="BM5" s="46" t="s">
        <v>502</v>
      </c>
      <c r="BN5" s="46" t="s">
        <v>502</v>
      </c>
      <c r="BO5" s="49" t="s">
        <v>502</v>
      </c>
      <c r="BP5" s="46" t="s">
        <v>502</v>
      </c>
      <c r="BQ5" s="46" t="s">
        <v>502</v>
      </c>
      <c r="BR5" s="49" t="s">
        <v>502</v>
      </c>
      <c r="BS5" s="46" t="s">
        <v>502</v>
      </c>
      <c r="BT5" s="46" t="s">
        <v>502</v>
      </c>
      <c r="BU5" s="49" t="s">
        <v>502</v>
      </c>
      <c r="BV5" s="46" t="s">
        <v>502</v>
      </c>
      <c r="BW5" s="46" t="s">
        <v>502</v>
      </c>
      <c r="BX5" s="49" t="s">
        <v>502</v>
      </c>
      <c r="BY5" s="46" t="s">
        <v>502</v>
      </c>
      <c r="BZ5" s="46" t="s">
        <v>502</v>
      </c>
      <c r="CA5" s="49" t="s">
        <v>502</v>
      </c>
      <c r="CB5" s="46" t="s">
        <v>502</v>
      </c>
      <c r="CC5" s="46" t="s">
        <v>502</v>
      </c>
      <c r="CD5" s="49" t="s">
        <v>502</v>
      </c>
      <c r="CE5" s="46" t="s">
        <v>502</v>
      </c>
      <c r="CF5" s="46" t="s">
        <v>502</v>
      </c>
      <c r="CG5" s="49" t="s">
        <v>502</v>
      </c>
      <c r="CH5" s="46" t="s">
        <v>502</v>
      </c>
      <c r="CI5" s="46" t="s">
        <v>502</v>
      </c>
      <c r="CJ5" s="49" t="s">
        <v>502</v>
      </c>
      <c r="CK5" s="46" t="s">
        <v>502</v>
      </c>
      <c r="CL5" s="46" t="s">
        <v>502</v>
      </c>
      <c r="CM5" s="49" t="s">
        <v>502</v>
      </c>
      <c r="CN5" s="46" t="s">
        <v>502</v>
      </c>
      <c r="CO5" s="46" t="s">
        <v>502</v>
      </c>
      <c r="CP5" s="49" t="s">
        <v>502</v>
      </c>
      <c r="CQ5" s="46" t="s">
        <v>502</v>
      </c>
      <c r="CR5" s="46" t="s">
        <v>502</v>
      </c>
      <c r="CS5" s="49" t="s">
        <v>502</v>
      </c>
      <c r="CT5" s="46" t="s">
        <v>502</v>
      </c>
      <c r="CU5" s="46" t="s">
        <v>502</v>
      </c>
      <c r="CV5" s="49" t="s">
        <v>502</v>
      </c>
      <c r="CW5" s="46">
        <f>69500/1.19</f>
        <v>58403.361344537814</v>
      </c>
      <c r="CX5" s="47">
        <f t="shared" si="4"/>
        <v>11096.638655462184</v>
      </c>
      <c r="CY5" s="48">
        <f t="shared" si="5"/>
        <v>69500</v>
      </c>
      <c r="CZ5" s="46" t="s">
        <v>502</v>
      </c>
      <c r="DA5" s="46" t="s">
        <v>502</v>
      </c>
      <c r="DB5" s="49" t="s">
        <v>502</v>
      </c>
      <c r="DC5" s="46" t="s">
        <v>502</v>
      </c>
      <c r="DD5" s="46" t="s">
        <v>502</v>
      </c>
      <c r="DE5" s="49" t="s">
        <v>502</v>
      </c>
      <c r="DF5" s="46" t="s">
        <v>502</v>
      </c>
      <c r="DG5" s="46" t="s">
        <v>502</v>
      </c>
      <c r="DH5" s="49" t="s">
        <v>502</v>
      </c>
      <c r="DI5" s="46" t="s">
        <v>502</v>
      </c>
      <c r="DJ5" s="46" t="s">
        <v>502</v>
      </c>
      <c r="DK5" s="49" t="s">
        <v>502</v>
      </c>
      <c r="DL5" s="46" t="s">
        <v>502</v>
      </c>
      <c r="DM5" s="46" t="s">
        <v>502</v>
      </c>
      <c r="DN5" s="49" t="s">
        <v>502</v>
      </c>
      <c r="DO5" s="46" t="s">
        <v>502</v>
      </c>
      <c r="DP5" s="46" t="s">
        <v>502</v>
      </c>
      <c r="DQ5" s="49" t="s">
        <v>502</v>
      </c>
      <c r="DR5" s="46" t="s">
        <v>502</v>
      </c>
      <c r="DS5" s="46" t="s">
        <v>502</v>
      </c>
      <c r="DT5" s="49" t="s">
        <v>502</v>
      </c>
      <c r="DU5" s="46" t="s">
        <v>502</v>
      </c>
      <c r="DV5" s="46" t="s">
        <v>502</v>
      </c>
      <c r="DW5" s="49" t="s">
        <v>502</v>
      </c>
      <c r="DX5" s="46" t="s">
        <v>502</v>
      </c>
      <c r="DY5" s="46" t="s">
        <v>502</v>
      </c>
      <c r="DZ5" s="49" t="s">
        <v>502</v>
      </c>
      <c r="EA5" s="46" t="s">
        <v>502</v>
      </c>
      <c r="EB5" s="46" t="s">
        <v>502</v>
      </c>
      <c r="EC5" s="49" t="s">
        <v>502</v>
      </c>
      <c r="ED5" s="46" t="s">
        <v>502</v>
      </c>
      <c r="EE5" s="46" t="s">
        <v>502</v>
      </c>
      <c r="EF5" s="49" t="s">
        <v>502</v>
      </c>
      <c r="EG5" s="46" t="s">
        <v>502</v>
      </c>
      <c r="EH5" s="46" t="s">
        <v>502</v>
      </c>
      <c r="EI5" s="49" t="s">
        <v>502</v>
      </c>
      <c r="EJ5" s="46" t="s">
        <v>502</v>
      </c>
      <c r="EK5" s="46" t="s">
        <v>502</v>
      </c>
      <c r="EL5" s="49" t="s">
        <v>502</v>
      </c>
      <c r="EM5" s="46" t="s">
        <v>502</v>
      </c>
      <c r="EN5" s="46" t="s">
        <v>502</v>
      </c>
      <c r="EO5" s="49" t="s">
        <v>502</v>
      </c>
      <c r="EP5" s="46" t="s">
        <v>502</v>
      </c>
      <c r="EQ5" s="46" t="s">
        <v>502</v>
      </c>
      <c r="ER5" s="49" t="s">
        <v>502</v>
      </c>
      <c r="ES5" s="46" t="s">
        <v>502</v>
      </c>
      <c r="ET5" s="46" t="s">
        <v>502</v>
      </c>
      <c r="EU5" s="49" t="s">
        <v>502</v>
      </c>
      <c r="EV5" s="46" t="s">
        <v>502</v>
      </c>
      <c r="EW5" s="46" t="s">
        <v>502</v>
      </c>
      <c r="EX5" s="49" t="s">
        <v>502</v>
      </c>
      <c r="EY5" s="46" t="s">
        <v>502</v>
      </c>
      <c r="EZ5" s="46" t="s">
        <v>502</v>
      </c>
      <c r="FA5" s="49" t="s">
        <v>502</v>
      </c>
      <c r="FB5" s="46" t="s">
        <v>502</v>
      </c>
      <c r="FC5" s="46" t="s">
        <v>502</v>
      </c>
      <c r="FD5" s="49" t="s">
        <v>502</v>
      </c>
      <c r="FE5" s="46" t="s">
        <v>502</v>
      </c>
      <c r="FF5" s="46" t="s">
        <v>502</v>
      </c>
      <c r="FG5" s="49" t="s">
        <v>502</v>
      </c>
      <c r="FH5" s="46" t="s">
        <v>502</v>
      </c>
      <c r="FI5" s="46" t="s">
        <v>502</v>
      </c>
      <c r="FJ5" s="49" t="s">
        <v>502</v>
      </c>
      <c r="FK5" s="46" t="s">
        <v>502</v>
      </c>
      <c r="FL5" s="46" t="s">
        <v>502</v>
      </c>
      <c r="FM5" s="49" t="s">
        <v>502</v>
      </c>
      <c r="FN5" s="46" t="s">
        <v>502</v>
      </c>
      <c r="FO5" s="46" t="s">
        <v>502</v>
      </c>
      <c r="FP5" s="49" t="s">
        <v>502</v>
      </c>
      <c r="FQ5" s="46" t="s">
        <v>502</v>
      </c>
      <c r="FR5" s="46" t="s">
        <v>502</v>
      </c>
      <c r="FS5" s="49" t="s">
        <v>502</v>
      </c>
      <c r="FT5" s="46" t="s">
        <v>502</v>
      </c>
      <c r="FU5" s="46" t="s">
        <v>502</v>
      </c>
      <c r="FV5" s="49" t="s">
        <v>502</v>
      </c>
      <c r="FW5" s="50">
        <f t="shared" ref="FW5:FW63" si="7">COUNT(J5,M5,P5,S5,V5,Y5,AB5,AE5,AH5,AK5,AN5,AQ5,AT5,AW5,AZ5,BC5,BF5,BI5,BL5,BO5,BR5,BU5,BX5,CA5,CD5,CG5,CJ5,CM5,CP5,CS5,CV5,CY5,DB5,DE5,DH5,DK5,DN5,DQ5,DT5,DW5,DZ5,EC5,EF5,EI5,EL5,EO5,ER5,EU5,EX5,FA5,FD5,FG5,FJ5,FM5,FP5,FS5,FV5)</f>
        <v>3</v>
      </c>
      <c r="FX5" s="51">
        <f t="shared" ref="FX5:FX63" si="8">AVERAGE(J5,M5,P5,S5,V5,Y5,AB5,AE5,AH5,AK5,AN5,AQ5,AT5,AW5,AZ5,BC5,BF5,BI5,BL5,BO5,BR5,BU5,BX5,CA5,CD5,CG5,CJ5,CM5,CP5,CS5,CV5,CY5,DB5,DE5,DH5,DK5,DN5,DQ5,DT5,DW5,DZ5,EC5,EF5,EI5,EL5,EO5,ER5,EU5,EX5,FA5,FD5,FG5,FJ5,FM5,FP5,FS5,FV5)</f>
        <v>70300.05</v>
      </c>
      <c r="FY5" s="46">
        <f t="shared" si="6"/>
        <v>70350</v>
      </c>
      <c r="FZ5" s="52" t="s">
        <v>504</v>
      </c>
    </row>
    <row r="6" spans="1:182" ht="177" customHeight="1" x14ac:dyDescent="0.2">
      <c r="A6" s="53">
        <v>3</v>
      </c>
      <c r="B6" s="40" t="s">
        <v>12</v>
      </c>
      <c r="C6" s="41" t="s">
        <v>73</v>
      </c>
      <c r="D6" s="41">
        <v>60121001</v>
      </c>
      <c r="E6" s="43" t="s">
        <v>100</v>
      </c>
      <c r="F6" s="44" t="s">
        <v>87</v>
      </c>
      <c r="G6" s="45" t="s">
        <v>501</v>
      </c>
      <c r="H6" s="46" t="s">
        <v>502</v>
      </c>
      <c r="I6" s="46" t="s">
        <v>502</v>
      </c>
      <c r="J6" s="46" t="s">
        <v>502</v>
      </c>
      <c r="K6" s="46" t="s">
        <v>502</v>
      </c>
      <c r="L6" s="46" t="s">
        <v>502</v>
      </c>
      <c r="M6" s="46" t="s">
        <v>502</v>
      </c>
      <c r="N6" s="46" t="s">
        <v>502</v>
      </c>
      <c r="O6" s="46" t="s">
        <v>502</v>
      </c>
      <c r="P6" s="46" t="s">
        <v>502</v>
      </c>
      <c r="Q6" s="46" t="s">
        <v>502</v>
      </c>
      <c r="R6" s="46" t="s">
        <v>502</v>
      </c>
      <c r="S6" s="46" t="s">
        <v>502</v>
      </c>
      <c r="T6" s="46">
        <v>167227</v>
      </c>
      <c r="U6" s="47">
        <f t="shared" si="0"/>
        <v>31773.13</v>
      </c>
      <c r="V6" s="48">
        <f t="shared" si="1"/>
        <v>199000.13</v>
      </c>
      <c r="W6" s="46" t="s">
        <v>503</v>
      </c>
      <c r="X6" s="46" t="s">
        <v>503</v>
      </c>
      <c r="Y6" s="46" t="s">
        <v>503</v>
      </c>
      <c r="Z6" s="46" t="s">
        <v>502</v>
      </c>
      <c r="AA6" s="46" t="s">
        <v>502</v>
      </c>
      <c r="AB6" s="46" t="s">
        <v>502</v>
      </c>
      <c r="AC6" s="46" t="s">
        <v>503</v>
      </c>
      <c r="AD6" s="46" t="s">
        <v>503</v>
      </c>
      <c r="AE6" s="46" t="s">
        <v>503</v>
      </c>
      <c r="AF6" s="46" t="s">
        <v>502</v>
      </c>
      <c r="AG6" s="46" t="s">
        <v>502</v>
      </c>
      <c r="AH6" s="46" t="s">
        <v>502</v>
      </c>
      <c r="AI6" s="46" t="s">
        <v>502</v>
      </c>
      <c r="AJ6" s="46" t="s">
        <v>502</v>
      </c>
      <c r="AK6" s="46" t="s">
        <v>502</v>
      </c>
      <c r="AL6" s="46" t="s">
        <v>502</v>
      </c>
      <c r="AM6" s="46" t="s">
        <v>502</v>
      </c>
      <c r="AN6" s="49" t="s">
        <v>502</v>
      </c>
      <c r="AO6" s="46" t="s">
        <v>502</v>
      </c>
      <c r="AP6" s="46" t="s">
        <v>502</v>
      </c>
      <c r="AQ6" s="49" t="s">
        <v>502</v>
      </c>
      <c r="AR6" s="46" t="s">
        <v>502</v>
      </c>
      <c r="AS6" s="46" t="s">
        <v>502</v>
      </c>
      <c r="AT6" s="49" t="s">
        <v>502</v>
      </c>
      <c r="AU6" s="46" t="s">
        <v>502</v>
      </c>
      <c r="AV6" s="46" t="s">
        <v>502</v>
      </c>
      <c r="AW6" s="49" t="s">
        <v>502</v>
      </c>
      <c r="AX6" s="46" t="s">
        <v>502</v>
      </c>
      <c r="AY6" s="46" t="s">
        <v>502</v>
      </c>
      <c r="AZ6" s="49" t="s">
        <v>502</v>
      </c>
      <c r="BA6" s="46" t="s">
        <v>502</v>
      </c>
      <c r="BB6" s="46" t="s">
        <v>502</v>
      </c>
      <c r="BC6" s="49" t="s">
        <v>502</v>
      </c>
      <c r="BD6" s="46" t="s">
        <v>502</v>
      </c>
      <c r="BE6" s="46" t="s">
        <v>502</v>
      </c>
      <c r="BF6" s="49" t="s">
        <v>502</v>
      </c>
      <c r="BG6" s="46" t="s">
        <v>502</v>
      </c>
      <c r="BH6" s="46" t="s">
        <v>502</v>
      </c>
      <c r="BI6" s="49" t="s">
        <v>502</v>
      </c>
      <c r="BJ6" s="46" t="s">
        <v>502</v>
      </c>
      <c r="BK6" s="46" t="s">
        <v>502</v>
      </c>
      <c r="BL6" s="49" t="s">
        <v>502</v>
      </c>
      <c r="BM6" s="46">
        <f>200500/1.19</f>
        <v>168487.3949579832</v>
      </c>
      <c r="BN6" s="46">
        <f>+BM6*19%</f>
        <v>32012.605042016807</v>
      </c>
      <c r="BO6" s="49">
        <f>+BM6+BN6</f>
        <v>200500</v>
      </c>
      <c r="BP6" s="46" t="s">
        <v>502</v>
      </c>
      <c r="BQ6" s="46" t="s">
        <v>502</v>
      </c>
      <c r="BR6" s="49" t="s">
        <v>502</v>
      </c>
      <c r="BS6" s="46" t="s">
        <v>502</v>
      </c>
      <c r="BT6" s="46" t="s">
        <v>502</v>
      </c>
      <c r="BU6" s="49" t="s">
        <v>502</v>
      </c>
      <c r="BV6" s="46" t="s">
        <v>502</v>
      </c>
      <c r="BW6" s="46" t="s">
        <v>502</v>
      </c>
      <c r="BX6" s="49" t="s">
        <v>502</v>
      </c>
      <c r="BY6" s="46" t="s">
        <v>502</v>
      </c>
      <c r="BZ6" s="46" t="s">
        <v>502</v>
      </c>
      <c r="CA6" s="49" t="s">
        <v>502</v>
      </c>
      <c r="CB6" s="46" t="s">
        <v>502</v>
      </c>
      <c r="CC6" s="46" t="s">
        <v>502</v>
      </c>
      <c r="CD6" s="49" t="s">
        <v>502</v>
      </c>
      <c r="CE6" s="46" t="s">
        <v>502</v>
      </c>
      <c r="CF6" s="46" t="s">
        <v>502</v>
      </c>
      <c r="CG6" s="49" t="s">
        <v>502</v>
      </c>
      <c r="CH6" s="46">
        <f>206900/1.19</f>
        <v>173865.5462184874</v>
      </c>
      <c r="CI6" s="46">
        <f>+CH6*19%</f>
        <v>33034.45378151261</v>
      </c>
      <c r="CJ6" s="49">
        <f>+CH6+CI6</f>
        <v>206900</v>
      </c>
      <c r="CK6" s="46" t="s">
        <v>502</v>
      </c>
      <c r="CL6" s="46" t="s">
        <v>502</v>
      </c>
      <c r="CM6" s="49" t="s">
        <v>502</v>
      </c>
      <c r="CN6" s="46" t="s">
        <v>502</v>
      </c>
      <c r="CO6" s="46" t="s">
        <v>502</v>
      </c>
      <c r="CP6" s="49" t="s">
        <v>502</v>
      </c>
      <c r="CQ6" s="46" t="s">
        <v>502</v>
      </c>
      <c r="CR6" s="46" t="s">
        <v>502</v>
      </c>
      <c r="CS6" s="49" t="s">
        <v>502</v>
      </c>
      <c r="CT6" s="46" t="s">
        <v>502</v>
      </c>
      <c r="CU6" s="46" t="s">
        <v>502</v>
      </c>
      <c r="CV6" s="49" t="s">
        <v>502</v>
      </c>
      <c r="CW6" s="46" t="s">
        <v>502</v>
      </c>
      <c r="CX6" s="46" t="s">
        <v>502</v>
      </c>
      <c r="CY6" s="49" t="s">
        <v>502</v>
      </c>
      <c r="CZ6" s="46" t="s">
        <v>502</v>
      </c>
      <c r="DA6" s="46" t="s">
        <v>502</v>
      </c>
      <c r="DB6" s="49" t="s">
        <v>502</v>
      </c>
      <c r="DC6" s="46" t="s">
        <v>502</v>
      </c>
      <c r="DD6" s="46" t="s">
        <v>502</v>
      </c>
      <c r="DE6" s="49" t="s">
        <v>502</v>
      </c>
      <c r="DF6" s="46" t="s">
        <v>502</v>
      </c>
      <c r="DG6" s="46" t="s">
        <v>502</v>
      </c>
      <c r="DH6" s="49" t="s">
        <v>502</v>
      </c>
      <c r="DI6" s="46" t="s">
        <v>502</v>
      </c>
      <c r="DJ6" s="46" t="s">
        <v>502</v>
      </c>
      <c r="DK6" s="49" t="s">
        <v>502</v>
      </c>
      <c r="DL6" s="46" t="s">
        <v>502</v>
      </c>
      <c r="DM6" s="46" t="s">
        <v>502</v>
      </c>
      <c r="DN6" s="49" t="s">
        <v>502</v>
      </c>
      <c r="DO6" s="46" t="s">
        <v>502</v>
      </c>
      <c r="DP6" s="46" t="s">
        <v>502</v>
      </c>
      <c r="DQ6" s="49" t="s">
        <v>502</v>
      </c>
      <c r="DR6" s="46" t="s">
        <v>502</v>
      </c>
      <c r="DS6" s="46" t="s">
        <v>502</v>
      </c>
      <c r="DT6" s="49" t="s">
        <v>502</v>
      </c>
      <c r="DU6" s="46" t="s">
        <v>502</v>
      </c>
      <c r="DV6" s="46" t="s">
        <v>502</v>
      </c>
      <c r="DW6" s="49" t="s">
        <v>502</v>
      </c>
      <c r="DX6" s="46" t="s">
        <v>502</v>
      </c>
      <c r="DY6" s="46" t="s">
        <v>502</v>
      </c>
      <c r="DZ6" s="49" t="s">
        <v>502</v>
      </c>
      <c r="EA6" s="46" t="s">
        <v>502</v>
      </c>
      <c r="EB6" s="46" t="s">
        <v>502</v>
      </c>
      <c r="EC6" s="49" t="s">
        <v>502</v>
      </c>
      <c r="ED6" s="46" t="s">
        <v>502</v>
      </c>
      <c r="EE6" s="46" t="s">
        <v>502</v>
      </c>
      <c r="EF6" s="49" t="s">
        <v>502</v>
      </c>
      <c r="EG6" s="46" t="s">
        <v>502</v>
      </c>
      <c r="EH6" s="46" t="s">
        <v>502</v>
      </c>
      <c r="EI6" s="49" t="s">
        <v>502</v>
      </c>
      <c r="EJ6" s="46" t="s">
        <v>502</v>
      </c>
      <c r="EK6" s="46" t="s">
        <v>502</v>
      </c>
      <c r="EL6" s="49" t="s">
        <v>502</v>
      </c>
      <c r="EM6" s="46" t="s">
        <v>502</v>
      </c>
      <c r="EN6" s="46" t="s">
        <v>502</v>
      </c>
      <c r="EO6" s="49" t="s">
        <v>502</v>
      </c>
      <c r="EP6" s="46" t="s">
        <v>502</v>
      </c>
      <c r="EQ6" s="46" t="s">
        <v>502</v>
      </c>
      <c r="ER6" s="49" t="s">
        <v>502</v>
      </c>
      <c r="ES6" s="46" t="s">
        <v>502</v>
      </c>
      <c r="ET6" s="46" t="s">
        <v>502</v>
      </c>
      <c r="EU6" s="49" t="s">
        <v>502</v>
      </c>
      <c r="EV6" s="46" t="s">
        <v>502</v>
      </c>
      <c r="EW6" s="46" t="s">
        <v>502</v>
      </c>
      <c r="EX6" s="49" t="s">
        <v>502</v>
      </c>
      <c r="EY6" s="46" t="s">
        <v>502</v>
      </c>
      <c r="EZ6" s="46" t="s">
        <v>502</v>
      </c>
      <c r="FA6" s="49" t="s">
        <v>502</v>
      </c>
      <c r="FB6" s="46" t="s">
        <v>502</v>
      </c>
      <c r="FC6" s="46" t="s">
        <v>502</v>
      </c>
      <c r="FD6" s="49" t="s">
        <v>502</v>
      </c>
      <c r="FE6" s="46" t="s">
        <v>502</v>
      </c>
      <c r="FF6" s="46" t="s">
        <v>502</v>
      </c>
      <c r="FG6" s="49" t="s">
        <v>502</v>
      </c>
      <c r="FH6" s="46" t="s">
        <v>502</v>
      </c>
      <c r="FI6" s="46" t="s">
        <v>502</v>
      </c>
      <c r="FJ6" s="49" t="s">
        <v>502</v>
      </c>
      <c r="FK6" s="46" t="s">
        <v>502</v>
      </c>
      <c r="FL6" s="46" t="s">
        <v>502</v>
      </c>
      <c r="FM6" s="49" t="s">
        <v>502</v>
      </c>
      <c r="FN6" s="46" t="s">
        <v>502</v>
      </c>
      <c r="FO6" s="46" t="s">
        <v>502</v>
      </c>
      <c r="FP6" s="49" t="s">
        <v>502</v>
      </c>
      <c r="FQ6" s="46" t="s">
        <v>502</v>
      </c>
      <c r="FR6" s="46" t="s">
        <v>502</v>
      </c>
      <c r="FS6" s="49" t="s">
        <v>502</v>
      </c>
      <c r="FT6" s="46" t="s">
        <v>502</v>
      </c>
      <c r="FU6" s="46" t="s">
        <v>502</v>
      </c>
      <c r="FV6" s="49" t="s">
        <v>502</v>
      </c>
      <c r="FW6" s="50">
        <f t="shared" si="7"/>
        <v>3</v>
      </c>
      <c r="FX6" s="51">
        <f t="shared" si="8"/>
        <v>202133.37666666668</v>
      </c>
      <c r="FY6" s="46">
        <f t="shared" si="6"/>
        <v>202150</v>
      </c>
      <c r="FZ6" s="52" t="s">
        <v>504</v>
      </c>
    </row>
    <row r="7" spans="1:182" ht="177" customHeight="1" x14ac:dyDescent="0.2">
      <c r="A7" s="39">
        <v>4</v>
      </c>
      <c r="B7" s="40" t="s">
        <v>12</v>
      </c>
      <c r="C7" s="41" t="s">
        <v>74</v>
      </c>
      <c r="D7" s="42">
        <v>31211800</v>
      </c>
      <c r="E7" s="43" t="s">
        <v>505</v>
      </c>
      <c r="F7" s="44" t="s">
        <v>87</v>
      </c>
      <c r="G7" s="45" t="s">
        <v>501</v>
      </c>
      <c r="H7" s="46" t="s">
        <v>502</v>
      </c>
      <c r="I7" s="46" t="s">
        <v>502</v>
      </c>
      <c r="J7" s="46" t="s">
        <v>502</v>
      </c>
      <c r="K7" s="46" t="s">
        <v>502</v>
      </c>
      <c r="L7" s="46" t="s">
        <v>502</v>
      </c>
      <c r="M7" s="46" t="s">
        <v>502</v>
      </c>
      <c r="N7" s="46" t="s">
        <v>502</v>
      </c>
      <c r="O7" s="46" t="s">
        <v>502</v>
      </c>
      <c r="P7" s="46" t="s">
        <v>502</v>
      </c>
      <c r="Q7" s="46" t="s">
        <v>502</v>
      </c>
      <c r="R7" s="46" t="s">
        <v>502</v>
      </c>
      <c r="S7" s="46" t="s">
        <v>502</v>
      </c>
      <c r="T7" s="46">
        <v>23529</v>
      </c>
      <c r="U7" s="47">
        <f t="shared" si="0"/>
        <v>4470.51</v>
      </c>
      <c r="V7" s="48">
        <f t="shared" si="1"/>
        <v>27999.510000000002</v>
      </c>
      <c r="W7" s="46">
        <f>31000/1.19</f>
        <v>26050.420168067227</v>
      </c>
      <c r="X7" s="47">
        <f t="shared" si="2"/>
        <v>4949.5798319327732</v>
      </c>
      <c r="Y7" s="48">
        <f t="shared" si="3"/>
        <v>31000</v>
      </c>
      <c r="Z7" s="46">
        <f>29500/1.19</f>
        <v>24789.915966386554</v>
      </c>
      <c r="AA7" s="47">
        <f t="shared" ref="AA7:AA8" si="9">+Z7*19%</f>
        <v>4710.0840336134452</v>
      </c>
      <c r="AB7" s="48">
        <f t="shared" ref="AB7:AB8" si="10">+Z7+AA7</f>
        <v>29500</v>
      </c>
      <c r="AC7" s="46" t="s">
        <v>502</v>
      </c>
      <c r="AD7" s="46" t="s">
        <v>502</v>
      </c>
      <c r="AE7" s="46" t="s">
        <v>502</v>
      </c>
      <c r="AF7" s="46" t="s">
        <v>502</v>
      </c>
      <c r="AG7" s="46" t="s">
        <v>502</v>
      </c>
      <c r="AH7" s="46" t="s">
        <v>502</v>
      </c>
      <c r="AI7" s="46" t="s">
        <v>502</v>
      </c>
      <c r="AJ7" s="46" t="s">
        <v>502</v>
      </c>
      <c r="AK7" s="46" t="s">
        <v>502</v>
      </c>
      <c r="AL7" s="47">
        <f>29500/1.19</f>
        <v>24789.915966386554</v>
      </c>
      <c r="AM7" s="47">
        <f t="shared" ref="AM7:AM8" si="11">+AL7*19%</f>
        <v>4710.0840336134452</v>
      </c>
      <c r="AN7" s="54">
        <f t="shared" ref="AN7:AN8" si="12">+AL7+AM7</f>
        <v>29500</v>
      </c>
      <c r="AO7" s="46" t="s">
        <v>502</v>
      </c>
      <c r="AP7" s="46" t="s">
        <v>502</v>
      </c>
      <c r="AQ7" s="49" t="s">
        <v>502</v>
      </c>
      <c r="AR7" s="46" t="s">
        <v>502</v>
      </c>
      <c r="AS7" s="46" t="s">
        <v>502</v>
      </c>
      <c r="AT7" s="49" t="s">
        <v>502</v>
      </c>
      <c r="AU7" s="46" t="s">
        <v>502</v>
      </c>
      <c r="AV7" s="46" t="s">
        <v>502</v>
      </c>
      <c r="AW7" s="49" t="s">
        <v>502</v>
      </c>
      <c r="AX7" s="46" t="s">
        <v>502</v>
      </c>
      <c r="AY7" s="46" t="s">
        <v>502</v>
      </c>
      <c r="AZ7" s="49" t="s">
        <v>502</v>
      </c>
      <c r="BA7" s="46" t="s">
        <v>502</v>
      </c>
      <c r="BB7" s="46" t="s">
        <v>502</v>
      </c>
      <c r="BC7" s="49" t="s">
        <v>502</v>
      </c>
      <c r="BD7" s="46" t="s">
        <v>502</v>
      </c>
      <c r="BE7" s="46" t="s">
        <v>502</v>
      </c>
      <c r="BF7" s="49" t="s">
        <v>502</v>
      </c>
      <c r="BG7" s="46" t="s">
        <v>502</v>
      </c>
      <c r="BH7" s="46" t="s">
        <v>502</v>
      </c>
      <c r="BI7" s="49" t="s">
        <v>502</v>
      </c>
      <c r="BJ7" s="46" t="s">
        <v>502</v>
      </c>
      <c r="BK7" s="46" t="s">
        <v>502</v>
      </c>
      <c r="BL7" s="49" t="s">
        <v>502</v>
      </c>
      <c r="BM7" s="46" t="s">
        <v>502</v>
      </c>
      <c r="BN7" s="46" t="s">
        <v>502</v>
      </c>
      <c r="BO7" s="49" t="s">
        <v>502</v>
      </c>
      <c r="BP7" s="46" t="s">
        <v>502</v>
      </c>
      <c r="BQ7" s="46" t="s">
        <v>502</v>
      </c>
      <c r="BR7" s="49" t="s">
        <v>502</v>
      </c>
      <c r="BS7" s="46" t="s">
        <v>502</v>
      </c>
      <c r="BT7" s="46" t="s">
        <v>502</v>
      </c>
      <c r="BU7" s="49" t="s">
        <v>502</v>
      </c>
      <c r="BV7" s="46" t="s">
        <v>502</v>
      </c>
      <c r="BW7" s="46" t="s">
        <v>502</v>
      </c>
      <c r="BX7" s="49" t="s">
        <v>502</v>
      </c>
      <c r="BY7" s="46" t="s">
        <v>502</v>
      </c>
      <c r="BZ7" s="46" t="s">
        <v>502</v>
      </c>
      <c r="CA7" s="49" t="s">
        <v>502</v>
      </c>
      <c r="CB7" s="46" t="s">
        <v>502</v>
      </c>
      <c r="CC7" s="46" t="s">
        <v>502</v>
      </c>
      <c r="CD7" s="49" t="s">
        <v>502</v>
      </c>
      <c r="CE7" s="46" t="s">
        <v>502</v>
      </c>
      <c r="CF7" s="46" t="s">
        <v>502</v>
      </c>
      <c r="CG7" s="49" t="s">
        <v>502</v>
      </c>
      <c r="CH7" s="46" t="s">
        <v>502</v>
      </c>
      <c r="CI7" s="46" t="s">
        <v>502</v>
      </c>
      <c r="CJ7" s="49" t="s">
        <v>502</v>
      </c>
      <c r="CK7" s="46" t="s">
        <v>502</v>
      </c>
      <c r="CL7" s="46" t="s">
        <v>502</v>
      </c>
      <c r="CM7" s="49" t="s">
        <v>502</v>
      </c>
      <c r="CN7" s="46" t="s">
        <v>502</v>
      </c>
      <c r="CO7" s="46" t="s">
        <v>502</v>
      </c>
      <c r="CP7" s="49" t="s">
        <v>502</v>
      </c>
      <c r="CQ7" s="46" t="s">
        <v>502</v>
      </c>
      <c r="CR7" s="46" t="s">
        <v>502</v>
      </c>
      <c r="CS7" s="49" t="s">
        <v>502</v>
      </c>
      <c r="CT7" s="46" t="s">
        <v>502</v>
      </c>
      <c r="CU7" s="46" t="s">
        <v>502</v>
      </c>
      <c r="CV7" s="49" t="s">
        <v>502</v>
      </c>
      <c r="CW7" s="46" t="s">
        <v>502</v>
      </c>
      <c r="CX7" s="46" t="s">
        <v>502</v>
      </c>
      <c r="CY7" s="49" t="s">
        <v>502</v>
      </c>
      <c r="CZ7" s="46" t="s">
        <v>502</v>
      </c>
      <c r="DA7" s="46" t="s">
        <v>502</v>
      </c>
      <c r="DB7" s="49" t="s">
        <v>502</v>
      </c>
      <c r="DC7" s="46" t="s">
        <v>502</v>
      </c>
      <c r="DD7" s="46" t="s">
        <v>502</v>
      </c>
      <c r="DE7" s="49" t="s">
        <v>502</v>
      </c>
      <c r="DF7" s="46" t="s">
        <v>502</v>
      </c>
      <c r="DG7" s="46" t="s">
        <v>502</v>
      </c>
      <c r="DH7" s="49" t="s">
        <v>502</v>
      </c>
      <c r="DI7" s="46" t="s">
        <v>502</v>
      </c>
      <c r="DJ7" s="46" t="s">
        <v>502</v>
      </c>
      <c r="DK7" s="49" t="s">
        <v>502</v>
      </c>
      <c r="DL7" s="46" t="s">
        <v>502</v>
      </c>
      <c r="DM7" s="46" t="s">
        <v>502</v>
      </c>
      <c r="DN7" s="49" t="s">
        <v>502</v>
      </c>
      <c r="DO7" s="46" t="s">
        <v>502</v>
      </c>
      <c r="DP7" s="46" t="s">
        <v>502</v>
      </c>
      <c r="DQ7" s="49" t="s">
        <v>502</v>
      </c>
      <c r="DR7" s="46" t="s">
        <v>502</v>
      </c>
      <c r="DS7" s="46" t="s">
        <v>502</v>
      </c>
      <c r="DT7" s="49" t="s">
        <v>502</v>
      </c>
      <c r="DU7" s="46" t="s">
        <v>502</v>
      </c>
      <c r="DV7" s="46" t="s">
        <v>502</v>
      </c>
      <c r="DW7" s="49" t="s">
        <v>502</v>
      </c>
      <c r="DX7" s="46" t="s">
        <v>502</v>
      </c>
      <c r="DY7" s="46" t="s">
        <v>502</v>
      </c>
      <c r="DZ7" s="49" t="s">
        <v>502</v>
      </c>
      <c r="EA7" s="46" t="s">
        <v>502</v>
      </c>
      <c r="EB7" s="46" t="s">
        <v>502</v>
      </c>
      <c r="EC7" s="49" t="s">
        <v>502</v>
      </c>
      <c r="ED7" s="46" t="s">
        <v>502</v>
      </c>
      <c r="EE7" s="46" t="s">
        <v>502</v>
      </c>
      <c r="EF7" s="49" t="s">
        <v>502</v>
      </c>
      <c r="EG7" s="46" t="s">
        <v>502</v>
      </c>
      <c r="EH7" s="46" t="s">
        <v>502</v>
      </c>
      <c r="EI7" s="49" t="s">
        <v>502</v>
      </c>
      <c r="EJ7" s="46" t="s">
        <v>502</v>
      </c>
      <c r="EK7" s="46" t="s">
        <v>502</v>
      </c>
      <c r="EL7" s="49" t="s">
        <v>502</v>
      </c>
      <c r="EM7" s="46" t="s">
        <v>502</v>
      </c>
      <c r="EN7" s="46" t="s">
        <v>502</v>
      </c>
      <c r="EO7" s="49" t="s">
        <v>502</v>
      </c>
      <c r="EP7" s="46" t="s">
        <v>502</v>
      </c>
      <c r="EQ7" s="46" t="s">
        <v>502</v>
      </c>
      <c r="ER7" s="49" t="s">
        <v>502</v>
      </c>
      <c r="ES7" s="46" t="s">
        <v>502</v>
      </c>
      <c r="ET7" s="46" t="s">
        <v>502</v>
      </c>
      <c r="EU7" s="49" t="s">
        <v>502</v>
      </c>
      <c r="EV7" s="46" t="s">
        <v>502</v>
      </c>
      <c r="EW7" s="46" t="s">
        <v>502</v>
      </c>
      <c r="EX7" s="49" t="s">
        <v>502</v>
      </c>
      <c r="EY7" s="46" t="s">
        <v>502</v>
      </c>
      <c r="EZ7" s="46" t="s">
        <v>502</v>
      </c>
      <c r="FA7" s="49" t="s">
        <v>502</v>
      </c>
      <c r="FB7" s="46" t="s">
        <v>502</v>
      </c>
      <c r="FC7" s="46" t="s">
        <v>502</v>
      </c>
      <c r="FD7" s="49" t="s">
        <v>502</v>
      </c>
      <c r="FE7" s="46" t="s">
        <v>502</v>
      </c>
      <c r="FF7" s="46" t="s">
        <v>502</v>
      </c>
      <c r="FG7" s="49" t="s">
        <v>502</v>
      </c>
      <c r="FH7" s="46" t="s">
        <v>502</v>
      </c>
      <c r="FI7" s="46" t="s">
        <v>502</v>
      </c>
      <c r="FJ7" s="49" t="s">
        <v>502</v>
      </c>
      <c r="FK7" s="46" t="s">
        <v>502</v>
      </c>
      <c r="FL7" s="46" t="s">
        <v>502</v>
      </c>
      <c r="FM7" s="49" t="s">
        <v>502</v>
      </c>
      <c r="FN7" s="46" t="s">
        <v>502</v>
      </c>
      <c r="FO7" s="46" t="s">
        <v>502</v>
      </c>
      <c r="FP7" s="49" t="s">
        <v>502</v>
      </c>
      <c r="FQ7" s="46" t="s">
        <v>502</v>
      </c>
      <c r="FR7" s="46" t="s">
        <v>502</v>
      </c>
      <c r="FS7" s="49" t="s">
        <v>502</v>
      </c>
      <c r="FT7" s="46" t="s">
        <v>502</v>
      </c>
      <c r="FU7" s="46" t="s">
        <v>502</v>
      </c>
      <c r="FV7" s="49" t="s">
        <v>502</v>
      </c>
      <c r="FW7" s="50">
        <f t="shared" si="7"/>
        <v>4</v>
      </c>
      <c r="FX7" s="51">
        <f t="shared" si="8"/>
        <v>29499.877500000002</v>
      </c>
      <c r="FY7" s="46">
        <f t="shared" si="6"/>
        <v>29500</v>
      </c>
      <c r="FZ7" s="52" t="s">
        <v>504</v>
      </c>
    </row>
    <row r="8" spans="1:182" ht="177" customHeight="1" x14ac:dyDescent="0.2">
      <c r="A8" s="39">
        <v>5</v>
      </c>
      <c r="B8" s="40" t="s">
        <v>12</v>
      </c>
      <c r="C8" s="41" t="s">
        <v>75</v>
      </c>
      <c r="D8" s="42">
        <v>12191601</v>
      </c>
      <c r="E8" s="43" t="s">
        <v>102</v>
      </c>
      <c r="F8" s="44" t="s">
        <v>87</v>
      </c>
      <c r="G8" s="45" t="s">
        <v>501</v>
      </c>
      <c r="H8" s="46" t="s">
        <v>502</v>
      </c>
      <c r="I8" s="46" t="s">
        <v>502</v>
      </c>
      <c r="J8" s="46" t="s">
        <v>502</v>
      </c>
      <c r="K8" s="46" t="s">
        <v>502</v>
      </c>
      <c r="L8" s="46" t="s">
        <v>502</v>
      </c>
      <c r="M8" s="46" t="s">
        <v>502</v>
      </c>
      <c r="N8" s="46" t="s">
        <v>502</v>
      </c>
      <c r="O8" s="46" t="s">
        <v>502</v>
      </c>
      <c r="P8" s="46" t="s">
        <v>502</v>
      </c>
      <c r="Q8" s="46" t="s">
        <v>502</v>
      </c>
      <c r="R8" s="46" t="s">
        <v>502</v>
      </c>
      <c r="S8" s="46" t="s">
        <v>502</v>
      </c>
      <c r="T8" s="46">
        <v>28151</v>
      </c>
      <c r="U8" s="47">
        <f t="shared" si="0"/>
        <v>5348.6900000000005</v>
      </c>
      <c r="V8" s="48">
        <f t="shared" si="1"/>
        <v>33499.69</v>
      </c>
      <c r="W8" s="46" t="s">
        <v>502</v>
      </c>
      <c r="X8" s="46" t="s">
        <v>502</v>
      </c>
      <c r="Y8" s="46" t="s">
        <v>502</v>
      </c>
      <c r="Z8" s="46">
        <f>27500/1.19</f>
        <v>23109.243697478993</v>
      </c>
      <c r="AA8" s="47">
        <f t="shared" si="9"/>
        <v>4390.7563025210084</v>
      </c>
      <c r="AB8" s="48">
        <f t="shared" si="10"/>
        <v>27500</v>
      </c>
      <c r="AC8" s="46" t="s">
        <v>502</v>
      </c>
      <c r="AD8" s="46" t="s">
        <v>502</v>
      </c>
      <c r="AE8" s="46" t="s">
        <v>502</v>
      </c>
      <c r="AF8" s="46">
        <f>30000/1.19</f>
        <v>25210.084033613446</v>
      </c>
      <c r="AG8" s="47">
        <f t="shared" ref="AG8" si="13">+AF8*19%</f>
        <v>4789.9159663865548</v>
      </c>
      <c r="AH8" s="48">
        <f t="shared" ref="AH8" si="14">+AF8+AG8</f>
        <v>30000</v>
      </c>
      <c r="AI8" s="46" t="s">
        <v>502</v>
      </c>
      <c r="AJ8" s="46" t="s">
        <v>502</v>
      </c>
      <c r="AK8" s="46" t="s">
        <v>502</v>
      </c>
      <c r="AL8" s="47">
        <f>27500/1.19</f>
        <v>23109.243697478993</v>
      </c>
      <c r="AM8" s="47">
        <f t="shared" si="11"/>
        <v>4390.7563025210084</v>
      </c>
      <c r="AN8" s="54">
        <f t="shared" si="12"/>
        <v>27500</v>
      </c>
      <c r="AO8" s="46" t="s">
        <v>502</v>
      </c>
      <c r="AP8" s="46" t="s">
        <v>502</v>
      </c>
      <c r="AQ8" s="49" t="s">
        <v>502</v>
      </c>
      <c r="AR8" s="46" t="s">
        <v>502</v>
      </c>
      <c r="AS8" s="46" t="s">
        <v>502</v>
      </c>
      <c r="AT8" s="49" t="s">
        <v>502</v>
      </c>
      <c r="AU8" s="46" t="s">
        <v>502</v>
      </c>
      <c r="AV8" s="46" t="s">
        <v>502</v>
      </c>
      <c r="AW8" s="49" t="s">
        <v>502</v>
      </c>
      <c r="AX8" s="46" t="s">
        <v>502</v>
      </c>
      <c r="AY8" s="46" t="s">
        <v>502</v>
      </c>
      <c r="AZ8" s="49" t="s">
        <v>502</v>
      </c>
      <c r="BA8" s="46" t="s">
        <v>502</v>
      </c>
      <c r="BB8" s="46" t="s">
        <v>502</v>
      </c>
      <c r="BC8" s="49" t="s">
        <v>502</v>
      </c>
      <c r="BD8" s="46" t="s">
        <v>502</v>
      </c>
      <c r="BE8" s="46" t="s">
        <v>502</v>
      </c>
      <c r="BF8" s="49" t="s">
        <v>502</v>
      </c>
      <c r="BG8" s="46" t="s">
        <v>502</v>
      </c>
      <c r="BH8" s="46" t="s">
        <v>502</v>
      </c>
      <c r="BI8" s="49" t="s">
        <v>502</v>
      </c>
      <c r="BJ8" s="46" t="s">
        <v>502</v>
      </c>
      <c r="BK8" s="46" t="s">
        <v>502</v>
      </c>
      <c r="BL8" s="49" t="s">
        <v>502</v>
      </c>
      <c r="BM8" s="46" t="s">
        <v>502</v>
      </c>
      <c r="BN8" s="46" t="s">
        <v>502</v>
      </c>
      <c r="BO8" s="49" t="s">
        <v>502</v>
      </c>
      <c r="BP8" s="46" t="s">
        <v>502</v>
      </c>
      <c r="BQ8" s="46" t="s">
        <v>502</v>
      </c>
      <c r="BR8" s="49" t="s">
        <v>502</v>
      </c>
      <c r="BS8" s="46" t="s">
        <v>502</v>
      </c>
      <c r="BT8" s="46" t="s">
        <v>502</v>
      </c>
      <c r="BU8" s="49" t="s">
        <v>502</v>
      </c>
      <c r="BV8" s="46" t="s">
        <v>502</v>
      </c>
      <c r="BW8" s="46" t="s">
        <v>502</v>
      </c>
      <c r="BX8" s="49" t="s">
        <v>502</v>
      </c>
      <c r="BY8" s="46" t="s">
        <v>502</v>
      </c>
      <c r="BZ8" s="46" t="s">
        <v>502</v>
      </c>
      <c r="CA8" s="49" t="s">
        <v>502</v>
      </c>
      <c r="CB8" s="46" t="s">
        <v>502</v>
      </c>
      <c r="CC8" s="46" t="s">
        <v>502</v>
      </c>
      <c r="CD8" s="49" t="s">
        <v>502</v>
      </c>
      <c r="CE8" s="46" t="s">
        <v>502</v>
      </c>
      <c r="CF8" s="46" t="s">
        <v>502</v>
      </c>
      <c r="CG8" s="49" t="s">
        <v>502</v>
      </c>
      <c r="CH8" s="46" t="s">
        <v>502</v>
      </c>
      <c r="CI8" s="46" t="s">
        <v>502</v>
      </c>
      <c r="CJ8" s="49" t="s">
        <v>502</v>
      </c>
      <c r="CK8" s="46" t="s">
        <v>502</v>
      </c>
      <c r="CL8" s="46" t="s">
        <v>502</v>
      </c>
      <c r="CM8" s="49" t="s">
        <v>502</v>
      </c>
      <c r="CN8" s="46" t="s">
        <v>502</v>
      </c>
      <c r="CO8" s="46" t="s">
        <v>502</v>
      </c>
      <c r="CP8" s="49" t="s">
        <v>502</v>
      </c>
      <c r="CQ8" s="46" t="s">
        <v>502</v>
      </c>
      <c r="CR8" s="46" t="s">
        <v>502</v>
      </c>
      <c r="CS8" s="49" t="s">
        <v>502</v>
      </c>
      <c r="CT8" s="46" t="s">
        <v>502</v>
      </c>
      <c r="CU8" s="46" t="s">
        <v>502</v>
      </c>
      <c r="CV8" s="49" t="s">
        <v>502</v>
      </c>
      <c r="CW8" s="46" t="s">
        <v>502</v>
      </c>
      <c r="CX8" s="46" t="s">
        <v>502</v>
      </c>
      <c r="CY8" s="49" t="s">
        <v>502</v>
      </c>
      <c r="CZ8" s="46" t="s">
        <v>502</v>
      </c>
      <c r="DA8" s="46" t="s">
        <v>502</v>
      </c>
      <c r="DB8" s="49" t="s">
        <v>502</v>
      </c>
      <c r="DC8" s="46" t="s">
        <v>502</v>
      </c>
      <c r="DD8" s="46" t="s">
        <v>502</v>
      </c>
      <c r="DE8" s="49" t="s">
        <v>502</v>
      </c>
      <c r="DF8" s="46" t="s">
        <v>502</v>
      </c>
      <c r="DG8" s="46" t="s">
        <v>502</v>
      </c>
      <c r="DH8" s="49" t="s">
        <v>502</v>
      </c>
      <c r="DI8" s="46" t="s">
        <v>502</v>
      </c>
      <c r="DJ8" s="46" t="s">
        <v>502</v>
      </c>
      <c r="DK8" s="49" t="s">
        <v>502</v>
      </c>
      <c r="DL8" s="46" t="s">
        <v>502</v>
      </c>
      <c r="DM8" s="46" t="s">
        <v>502</v>
      </c>
      <c r="DN8" s="49" t="s">
        <v>502</v>
      </c>
      <c r="DO8" s="46" t="s">
        <v>502</v>
      </c>
      <c r="DP8" s="46" t="s">
        <v>502</v>
      </c>
      <c r="DQ8" s="49" t="s">
        <v>502</v>
      </c>
      <c r="DR8" s="46" t="s">
        <v>502</v>
      </c>
      <c r="DS8" s="46" t="s">
        <v>502</v>
      </c>
      <c r="DT8" s="49" t="s">
        <v>502</v>
      </c>
      <c r="DU8" s="46" t="s">
        <v>502</v>
      </c>
      <c r="DV8" s="46" t="s">
        <v>502</v>
      </c>
      <c r="DW8" s="49" t="s">
        <v>502</v>
      </c>
      <c r="DX8" s="46" t="s">
        <v>502</v>
      </c>
      <c r="DY8" s="46" t="s">
        <v>502</v>
      </c>
      <c r="DZ8" s="49" t="s">
        <v>502</v>
      </c>
      <c r="EA8" s="46" t="s">
        <v>502</v>
      </c>
      <c r="EB8" s="46" t="s">
        <v>502</v>
      </c>
      <c r="EC8" s="49" t="s">
        <v>502</v>
      </c>
      <c r="ED8" s="46" t="s">
        <v>502</v>
      </c>
      <c r="EE8" s="46" t="s">
        <v>502</v>
      </c>
      <c r="EF8" s="49" t="s">
        <v>502</v>
      </c>
      <c r="EG8" s="46" t="s">
        <v>502</v>
      </c>
      <c r="EH8" s="46" t="s">
        <v>502</v>
      </c>
      <c r="EI8" s="49" t="s">
        <v>502</v>
      </c>
      <c r="EJ8" s="46" t="s">
        <v>502</v>
      </c>
      <c r="EK8" s="46" t="s">
        <v>502</v>
      </c>
      <c r="EL8" s="49" t="s">
        <v>502</v>
      </c>
      <c r="EM8" s="46" t="s">
        <v>502</v>
      </c>
      <c r="EN8" s="46" t="s">
        <v>502</v>
      </c>
      <c r="EO8" s="49" t="s">
        <v>502</v>
      </c>
      <c r="EP8" s="46" t="s">
        <v>502</v>
      </c>
      <c r="EQ8" s="46" t="s">
        <v>502</v>
      </c>
      <c r="ER8" s="49" t="s">
        <v>502</v>
      </c>
      <c r="ES8" s="46" t="s">
        <v>502</v>
      </c>
      <c r="ET8" s="46" t="s">
        <v>502</v>
      </c>
      <c r="EU8" s="49" t="s">
        <v>502</v>
      </c>
      <c r="EV8" s="46" t="s">
        <v>502</v>
      </c>
      <c r="EW8" s="46" t="s">
        <v>502</v>
      </c>
      <c r="EX8" s="49" t="s">
        <v>502</v>
      </c>
      <c r="EY8" s="46" t="s">
        <v>502</v>
      </c>
      <c r="EZ8" s="46" t="s">
        <v>502</v>
      </c>
      <c r="FA8" s="49" t="s">
        <v>502</v>
      </c>
      <c r="FB8" s="46" t="s">
        <v>502</v>
      </c>
      <c r="FC8" s="46" t="s">
        <v>502</v>
      </c>
      <c r="FD8" s="49" t="s">
        <v>502</v>
      </c>
      <c r="FE8" s="46" t="s">
        <v>502</v>
      </c>
      <c r="FF8" s="46" t="s">
        <v>502</v>
      </c>
      <c r="FG8" s="49" t="s">
        <v>502</v>
      </c>
      <c r="FH8" s="46" t="s">
        <v>502</v>
      </c>
      <c r="FI8" s="46" t="s">
        <v>502</v>
      </c>
      <c r="FJ8" s="49" t="s">
        <v>502</v>
      </c>
      <c r="FK8" s="46" t="s">
        <v>502</v>
      </c>
      <c r="FL8" s="46" t="s">
        <v>502</v>
      </c>
      <c r="FM8" s="49" t="s">
        <v>502</v>
      </c>
      <c r="FN8" s="46" t="s">
        <v>502</v>
      </c>
      <c r="FO8" s="46" t="s">
        <v>502</v>
      </c>
      <c r="FP8" s="49" t="s">
        <v>502</v>
      </c>
      <c r="FQ8" s="46" t="s">
        <v>502</v>
      </c>
      <c r="FR8" s="46" t="s">
        <v>502</v>
      </c>
      <c r="FS8" s="49" t="s">
        <v>502</v>
      </c>
      <c r="FT8" s="46" t="s">
        <v>502</v>
      </c>
      <c r="FU8" s="46" t="s">
        <v>502</v>
      </c>
      <c r="FV8" s="49" t="s">
        <v>502</v>
      </c>
      <c r="FW8" s="50">
        <f t="shared" si="7"/>
        <v>4</v>
      </c>
      <c r="FX8" s="51">
        <f t="shared" si="8"/>
        <v>29624.922500000001</v>
      </c>
      <c r="FY8" s="46">
        <f t="shared" si="6"/>
        <v>29650</v>
      </c>
      <c r="FZ8" s="52" t="s">
        <v>504</v>
      </c>
    </row>
    <row r="9" spans="1:182" ht="177" customHeight="1" x14ac:dyDescent="0.2">
      <c r="A9" s="53">
        <v>6</v>
      </c>
      <c r="B9" s="40" t="s">
        <v>12</v>
      </c>
      <c r="C9" s="41" t="s">
        <v>337</v>
      </c>
      <c r="D9" s="42">
        <v>31211909</v>
      </c>
      <c r="E9" s="43" t="s">
        <v>506</v>
      </c>
      <c r="F9" s="44" t="s">
        <v>86</v>
      </c>
      <c r="G9" s="45" t="s">
        <v>501</v>
      </c>
      <c r="H9" s="46" t="s">
        <v>502</v>
      </c>
      <c r="I9" s="46" t="s">
        <v>502</v>
      </c>
      <c r="J9" s="46" t="s">
        <v>502</v>
      </c>
      <c r="K9" s="46" t="s">
        <v>502</v>
      </c>
      <c r="L9" s="46" t="s">
        <v>502</v>
      </c>
      <c r="M9" s="46" t="s">
        <v>502</v>
      </c>
      <c r="N9" s="46" t="s">
        <v>502</v>
      </c>
      <c r="O9" s="46" t="s">
        <v>502</v>
      </c>
      <c r="P9" s="46" t="s">
        <v>502</v>
      </c>
      <c r="Q9" s="46" t="s">
        <v>502</v>
      </c>
      <c r="R9" s="46" t="s">
        <v>502</v>
      </c>
      <c r="S9" s="46" t="s">
        <v>502</v>
      </c>
      <c r="T9" s="46">
        <v>6303</v>
      </c>
      <c r="U9" s="47">
        <f t="shared" si="0"/>
        <v>1197.57</v>
      </c>
      <c r="V9" s="48">
        <f t="shared" si="1"/>
        <v>7500.57</v>
      </c>
      <c r="W9" s="46">
        <f>7400/1.19</f>
        <v>6218.4873949579833</v>
      </c>
      <c r="X9" s="47">
        <f t="shared" si="2"/>
        <v>1181.5126050420167</v>
      </c>
      <c r="Y9" s="48">
        <f t="shared" ref="Y9" si="15">+W9+X9</f>
        <v>7400</v>
      </c>
      <c r="Z9" s="46" t="s">
        <v>502</v>
      </c>
      <c r="AA9" s="46" t="s">
        <v>502</v>
      </c>
      <c r="AB9" s="46" t="s">
        <v>502</v>
      </c>
      <c r="AC9" s="46">
        <v>6500</v>
      </c>
      <c r="AD9" s="47">
        <f t="shared" ref="AD9:AD10" si="16">+AC9*19%</f>
        <v>1235</v>
      </c>
      <c r="AE9" s="48">
        <f t="shared" ref="AE9:AE10" si="17">+AC9+AD9</f>
        <v>7735</v>
      </c>
      <c r="AF9" s="46" t="s">
        <v>502</v>
      </c>
      <c r="AG9" s="46" t="s">
        <v>502</v>
      </c>
      <c r="AH9" s="46" t="s">
        <v>502</v>
      </c>
      <c r="AI9" s="46" t="s">
        <v>502</v>
      </c>
      <c r="AJ9" s="46" t="s">
        <v>502</v>
      </c>
      <c r="AK9" s="46" t="s">
        <v>502</v>
      </c>
      <c r="AL9" s="46" t="s">
        <v>503</v>
      </c>
      <c r="AM9" s="46" t="s">
        <v>503</v>
      </c>
      <c r="AN9" s="46" t="s">
        <v>503</v>
      </c>
      <c r="AO9" s="46" t="s">
        <v>502</v>
      </c>
      <c r="AP9" s="46" t="s">
        <v>502</v>
      </c>
      <c r="AQ9" s="49" t="s">
        <v>502</v>
      </c>
      <c r="AR9" s="46" t="s">
        <v>502</v>
      </c>
      <c r="AS9" s="46" t="s">
        <v>502</v>
      </c>
      <c r="AT9" s="49" t="s">
        <v>502</v>
      </c>
      <c r="AU9" s="46" t="s">
        <v>502</v>
      </c>
      <c r="AV9" s="46" t="s">
        <v>502</v>
      </c>
      <c r="AW9" s="49" t="s">
        <v>502</v>
      </c>
      <c r="AX9" s="46" t="s">
        <v>502</v>
      </c>
      <c r="AY9" s="46" t="s">
        <v>502</v>
      </c>
      <c r="AZ9" s="49" t="s">
        <v>502</v>
      </c>
      <c r="BA9" s="46" t="s">
        <v>502</v>
      </c>
      <c r="BB9" s="46" t="s">
        <v>502</v>
      </c>
      <c r="BC9" s="49" t="s">
        <v>502</v>
      </c>
      <c r="BD9" s="46" t="s">
        <v>502</v>
      </c>
      <c r="BE9" s="46" t="s">
        <v>502</v>
      </c>
      <c r="BF9" s="49" t="s">
        <v>502</v>
      </c>
      <c r="BG9" s="46" t="s">
        <v>502</v>
      </c>
      <c r="BH9" s="46" t="s">
        <v>502</v>
      </c>
      <c r="BI9" s="49" t="s">
        <v>502</v>
      </c>
      <c r="BJ9" s="46" t="s">
        <v>502</v>
      </c>
      <c r="BK9" s="46" t="s">
        <v>502</v>
      </c>
      <c r="BL9" s="49" t="s">
        <v>502</v>
      </c>
      <c r="BM9" s="46" t="s">
        <v>502</v>
      </c>
      <c r="BN9" s="46" t="s">
        <v>502</v>
      </c>
      <c r="BO9" s="49" t="s">
        <v>502</v>
      </c>
      <c r="BP9" s="46" t="s">
        <v>502</v>
      </c>
      <c r="BQ9" s="46" t="s">
        <v>502</v>
      </c>
      <c r="BR9" s="49" t="s">
        <v>502</v>
      </c>
      <c r="BS9" s="46" t="s">
        <v>502</v>
      </c>
      <c r="BT9" s="46" t="s">
        <v>502</v>
      </c>
      <c r="BU9" s="49" t="s">
        <v>502</v>
      </c>
      <c r="BV9" s="46" t="s">
        <v>502</v>
      </c>
      <c r="BW9" s="46" t="s">
        <v>502</v>
      </c>
      <c r="BX9" s="49" t="s">
        <v>502</v>
      </c>
      <c r="BY9" s="46" t="s">
        <v>502</v>
      </c>
      <c r="BZ9" s="46" t="s">
        <v>502</v>
      </c>
      <c r="CA9" s="49" t="s">
        <v>502</v>
      </c>
      <c r="CB9" s="46" t="s">
        <v>502</v>
      </c>
      <c r="CC9" s="46" t="s">
        <v>502</v>
      </c>
      <c r="CD9" s="49" t="s">
        <v>502</v>
      </c>
      <c r="CE9" s="46" t="s">
        <v>502</v>
      </c>
      <c r="CF9" s="46" t="s">
        <v>502</v>
      </c>
      <c r="CG9" s="49" t="s">
        <v>502</v>
      </c>
      <c r="CH9" s="46" t="s">
        <v>502</v>
      </c>
      <c r="CI9" s="46" t="s">
        <v>502</v>
      </c>
      <c r="CJ9" s="49" t="s">
        <v>502</v>
      </c>
      <c r="CK9" s="46" t="s">
        <v>502</v>
      </c>
      <c r="CL9" s="46" t="s">
        <v>502</v>
      </c>
      <c r="CM9" s="49" t="s">
        <v>502</v>
      </c>
      <c r="CN9" s="46" t="s">
        <v>502</v>
      </c>
      <c r="CO9" s="46" t="s">
        <v>502</v>
      </c>
      <c r="CP9" s="49" t="s">
        <v>502</v>
      </c>
      <c r="CQ9" s="46" t="s">
        <v>502</v>
      </c>
      <c r="CR9" s="46" t="s">
        <v>502</v>
      </c>
      <c r="CS9" s="49" t="s">
        <v>502</v>
      </c>
      <c r="CT9" s="46" t="s">
        <v>502</v>
      </c>
      <c r="CU9" s="46" t="s">
        <v>502</v>
      </c>
      <c r="CV9" s="49" t="s">
        <v>502</v>
      </c>
      <c r="CW9" s="46" t="s">
        <v>502</v>
      </c>
      <c r="CX9" s="46" t="s">
        <v>502</v>
      </c>
      <c r="CY9" s="49" t="s">
        <v>502</v>
      </c>
      <c r="CZ9" s="46" t="s">
        <v>502</v>
      </c>
      <c r="DA9" s="46" t="s">
        <v>502</v>
      </c>
      <c r="DB9" s="49" t="s">
        <v>502</v>
      </c>
      <c r="DC9" s="46" t="s">
        <v>502</v>
      </c>
      <c r="DD9" s="46" t="s">
        <v>502</v>
      </c>
      <c r="DE9" s="49" t="s">
        <v>502</v>
      </c>
      <c r="DF9" s="46" t="s">
        <v>502</v>
      </c>
      <c r="DG9" s="46" t="s">
        <v>502</v>
      </c>
      <c r="DH9" s="49" t="s">
        <v>502</v>
      </c>
      <c r="DI9" s="46" t="s">
        <v>502</v>
      </c>
      <c r="DJ9" s="46" t="s">
        <v>502</v>
      </c>
      <c r="DK9" s="49" t="s">
        <v>502</v>
      </c>
      <c r="DL9" s="46" t="s">
        <v>502</v>
      </c>
      <c r="DM9" s="46" t="s">
        <v>502</v>
      </c>
      <c r="DN9" s="49" t="s">
        <v>502</v>
      </c>
      <c r="DO9" s="46" t="s">
        <v>502</v>
      </c>
      <c r="DP9" s="46" t="s">
        <v>502</v>
      </c>
      <c r="DQ9" s="49" t="s">
        <v>502</v>
      </c>
      <c r="DR9" s="46" t="s">
        <v>502</v>
      </c>
      <c r="DS9" s="46" t="s">
        <v>502</v>
      </c>
      <c r="DT9" s="49" t="s">
        <v>502</v>
      </c>
      <c r="DU9" s="46" t="s">
        <v>502</v>
      </c>
      <c r="DV9" s="46" t="s">
        <v>502</v>
      </c>
      <c r="DW9" s="49" t="s">
        <v>502</v>
      </c>
      <c r="DX9" s="46" t="s">
        <v>502</v>
      </c>
      <c r="DY9" s="46" t="s">
        <v>502</v>
      </c>
      <c r="DZ9" s="49" t="s">
        <v>502</v>
      </c>
      <c r="EA9" s="46" t="s">
        <v>502</v>
      </c>
      <c r="EB9" s="46" t="s">
        <v>502</v>
      </c>
      <c r="EC9" s="49" t="s">
        <v>502</v>
      </c>
      <c r="ED9" s="46">
        <f>7900/1.19</f>
        <v>6638.6554621848745</v>
      </c>
      <c r="EE9" s="47">
        <f t="shared" ref="EE9" si="18">+ED9*19%</f>
        <v>1261.3445378151262</v>
      </c>
      <c r="EF9" s="48">
        <f t="shared" ref="EF9" si="19">+ED9+EE9</f>
        <v>7900.0000000000009</v>
      </c>
      <c r="EG9" s="46" t="s">
        <v>502</v>
      </c>
      <c r="EH9" s="46" t="s">
        <v>502</v>
      </c>
      <c r="EI9" s="49" t="s">
        <v>502</v>
      </c>
      <c r="EJ9" s="46" t="s">
        <v>502</v>
      </c>
      <c r="EK9" s="46" t="s">
        <v>502</v>
      </c>
      <c r="EL9" s="49" t="s">
        <v>502</v>
      </c>
      <c r="EM9" s="46" t="s">
        <v>502</v>
      </c>
      <c r="EN9" s="46" t="s">
        <v>502</v>
      </c>
      <c r="EO9" s="49" t="s">
        <v>502</v>
      </c>
      <c r="EP9" s="46" t="s">
        <v>502</v>
      </c>
      <c r="EQ9" s="46" t="s">
        <v>502</v>
      </c>
      <c r="ER9" s="49" t="s">
        <v>502</v>
      </c>
      <c r="ES9" s="46" t="s">
        <v>502</v>
      </c>
      <c r="ET9" s="46" t="s">
        <v>502</v>
      </c>
      <c r="EU9" s="49" t="s">
        <v>502</v>
      </c>
      <c r="EV9" s="46" t="s">
        <v>502</v>
      </c>
      <c r="EW9" s="46" t="s">
        <v>502</v>
      </c>
      <c r="EX9" s="49" t="s">
        <v>502</v>
      </c>
      <c r="EY9" s="46" t="s">
        <v>502</v>
      </c>
      <c r="EZ9" s="46" t="s">
        <v>502</v>
      </c>
      <c r="FA9" s="49" t="s">
        <v>502</v>
      </c>
      <c r="FB9" s="46" t="s">
        <v>502</v>
      </c>
      <c r="FC9" s="46" t="s">
        <v>502</v>
      </c>
      <c r="FD9" s="49" t="s">
        <v>502</v>
      </c>
      <c r="FE9" s="46" t="s">
        <v>502</v>
      </c>
      <c r="FF9" s="46" t="s">
        <v>502</v>
      </c>
      <c r="FG9" s="49" t="s">
        <v>502</v>
      </c>
      <c r="FH9" s="46" t="s">
        <v>502</v>
      </c>
      <c r="FI9" s="46" t="s">
        <v>502</v>
      </c>
      <c r="FJ9" s="49" t="s">
        <v>502</v>
      </c>
      <c r="FK9" s="46" t="s">
        <v>502</v>
      </c>
      <c r="FL9" s="46" t="s">
        <v>502</v>
      </c>
      <c r="FM9" s="49" t="s">
        <v>502</v>
      </c>
      <c r="FN9" s="46" t="s">
        <v>502</v>
      </c>
      <c r="FO9" s="46" t="s">
        <v>502</v>
      </c>
      <c r="FP9" s="49" t="s">
        <v>502</v>
      </c>
      <c r="FQ9" s="46" t="s">
        <v>502</v>
      </c>
      <c r="FR9" s="46" t="s">
        <v>502</v>
      </c>
      <c r="FS9" s="49" t="s">
        <v>502</v>
      </c>
      <c r="FT9" s="46" t="s">
        <v>502</v>
      </c>
      <c r="FU9" s="46" t="s">
        <v>502</v>
      </c>
      <c r="FV9" s="49" t="s">
        <v>502</v>
      </c>
      <c r="FW9" s="50">
        <f t="shared" si="7"/>
        <v>4</v>
      </c>
      <c r="FX9" s="51">
        <f t="shared" si="8"/>
        <v>7633.8924999999999</v>
      </c>
      <c r="FY9" s="46">
        <f t="shared" si="6"/>
        <v>7650</v>
      </c>
      <c r="FZ9" s="52" t="s">
        <v>504</v>
      </c>
    </row>
    <row r="10" spans="1:182" ht="177" customHeight="1" x14ac:dyDescent="0.2">
      <c r="A10" s="39">
        <v>7</v>
      </c>
      <c r="B10" s="40" t="s">
        <v>12</v>
      </c>
      <c r="C10" s="41" t="s">
        <v>78</v>
      </c>
      <c r="D10" s="42">
        <v>31211904</v>
      </c>
      <c r="E10" s="43" t="s">
        <v>507</v>
      </c>
      <c r="F10" s="44" t="s">
        <v>86</v>
      </c>
      <c r="G10" s="45" t="s">
        <v>501</v>
      </c>
      <c r="H10" s="46" t="s">
        <v>502</v>
      </c>
      <c r="I10" s="46" t="s">
        <v>502</v>
      </c>
      <c r="J10" s="46" t="s">
        <v>502</v>
      </c>
      <c r="K10" s="46" t="s">
        <v>502</v>
      </c>
      <c r="L10" s="46" t="s">
        <v>502</v>
      </c>
      <c r="M10" s="46" t="s">
        <v>502</v>
      </c>
      <c r="N10" s="46" t="s">
        <v>502</v>
      </c>
      <c r="O10" s="46" t="s">
        <v>502</v>
      </c>
      <c r="P10" s="46" t="s">
        <v>502</v>
      </c>
      <c r="Q10" s="46" t="s">
        <v>502</v>
      </c>
      <c r="R10" s="46" t="s">
        <v>502</v>
      </c>
      <c r="S10" s="46" t="s">
        <v>502</v>
      </c>
      <c r="T10" s="46">
        <v>5630</v>
      </c>
      <c r="U10" s="47">
        <f t="shared" si="0"/>
        <v>1069.7</v>
      </c>
      <c r="V10" s="48">
        <f t="shared" si="1"/>
        <v>6699.7</v>
      </c>
      <c r="W10" s="46" t="s">
        <v>503</v>
      </c>
      <c r="X10" s="46" t="s">
        <v>503</v>
      </c>
      <c r="Y10" s="46" t="s">
        <v>503</v>
      </c>
      <c r="Z10" s="46" t="s">
        <v>502</v>
      </c>
      <c r="AA10" s="46" t="s">
        <v>502</v>
      </c>
      <c r="AB10" s="46" t="s">
        <v>502</v>
      </c>
      <c r="AC10" s="46">
        <v>5600</v>
      </c>
      <c r="AD10" s="47">
        <f t="shared" si="16"/>
        <v>1064</v>
      </c>
      <c r="AE10" s="48">
        <f t="shared" si="17"/>
        <v>6664</v>
      </c>
      <c r="AF10" s="46" t="s">
        <v>502</v>
      </c>
      <c r="AG10" s="46" t="s">
        <v>502</v>
      </c>
      <c r="AH10" s="46" t="s">
        <v>502</v>
      </c>
      <c r="AI10" s="46" t="s">
        <v>502</v>
      </c>
      <c r="AJ10" s="46" t="s">
        <v>502</v>
      </c>
      <c r="AK10" s="46" t="s">
        <v>502</v>
      </c>
      <c r="AL10" s="46" t="s">
        <v>502</v>
      </c>
      <c r="AM10" s="46" t="s">
        <v>502</v>
      </c>
      <c r="AN10" s="49" t="s">
        <v>502</v>
      </c>
      <c r="AO10" s="46" t="s">
        <v>502</v>
      </c>
      <c r="AP10" s="46" t="s">
        <v>502</v>
      </c>
      <c r="AQ10" s="49" t="s">
        <v>502</v>
      </c>
      <c r="AR10" s="46" t="s">
        <v>502</v>
      </c>
      <c r="AS10" s="46" t="s">
        <v>502</v>
      </c>
      <c r="AT10" s="49" t="s">
        <v>502</v>
      </c>
      <c r="AU10" s="46" t="s">
        <v>502</v>
      </c>
      <c r="AV10" s="46" t="s">
        <v>502</v>
      </c>
      <c r="AW10" s="49" t="s">
        <v>502</v>
      </c>
      <c r="AX10" s="46" t="s">
        <v>502</v>
      </c>
      <c r="AY10" s="46" t="s">
        <v>502</v>
      </c>
      <c r="AZ10" s="49" t="s">
        <v>502</v>
      </c>
      <c r="BA10" s="46" t="s">
        <v>502</v>
      </c>
      <c r="BB10" s="46" t="s">
        <v>502</v>
      </c>
      <c r="BC10" s="49" t="s">
        <v>502</v>
      </c>
      <c r="BD10" s="46" t="s">
        <v>502</v>
      </c>
      <c r="BE10" s="46" t="s">
        <v>502</v>
      </c>
      <c r="BF10" s="49" t="s">
        <v>502</v>
      </c>
      <c r="BG10" s="46" t="s">
        <v>502</v>
      </c>
      <c r="BH10" s="46" t="s">
        <v>502</v>
      </c>
      <c r="BI10" s="49" t="s">
        <v>502</v>
      </c>
      <c r="BJ10" s="46" t="s">
        <v>502</v>
      </c>
      <c r="BK10" s="46" t="s">
        <v>502</v>
      </c>
      <c r="BL10" s="49" t="s">
        <v>502</v>
      </c>
      <c r="BM10" s="46" t="s">
        <v>502</v>
      </c>
      <c r="BN10" s="46" t="s">
        <v>502</v>
      </c>
      <c r="BO10" s="49" t="s">
        <v>502</v>
      </c>
      <c r="BP10" s="46" t="s">
        <v>502</v>
      </c>
      <c r="BQ10" s="46" t="s">
        <v>502</v>
      </c>
      <c r="BR10" s="49" t="s">
        <v>502</v>
      </c>
      <c r="BS10" s="46" t="s">
        <v>502</v>
      </c>
      <c r="BT10" s="46" t="s">
        <v>502</v>
      </c>
      <c r="BU10" s="49" t="s">
        <v>502</v>
      </c>
      <c r="BV10" s="46" t="s">
        <v>502</v>
      </c>
      <c r="BW10" s="46" t="s">
        <v>502</v>
      </c>
      <c r="BX10" s="49" t="s">
        <v>502</v>
      </c>
      <c r="BY10" s="46" t="s">
        <v>502</v>
      </c>
      <c r="BZ10" s="46" t="s">
        <v>502</v>
      </c>
      <c r="CA10" s="49" t="s">
        <v>502</v>
      </c>
      <c r="CB10" s="46" t="s">
        <v>502</v>
      </c>
      <c r="CC10" s="46" t="s">
        <v>502</v>
      </c>
      <c r="CD10" s="49" t="s">
        <v>502</v>
      </c>
      <c r="CE10" s="46" t="s">
        <v>502</v>
      </c>
      <c r="CF10" s="46" t="s">
        <v>502</v>
      </c>
      <c r="CG10" s="49" t="s">
        <v>502</v>
      </c>
      <c r="CH10" s="46" t="s">
        <v>503</v>
      </c>
      <c r="CI10" s="46" t="s">
        <v>503</v>
      </c>
      <c r="CJ10" s="46" t="s">
        <v>503</v>
      </c>
      <c r="CK10" s="46" t="s">
        <v>502</v>
      </c>
      <c r="CL10" s="46" t="s">
        <v>502</v>
      </c>
      <c r="CM10" s="49" t="s">
        <v>502</v>
      </c>
      <c r="CN10" s="46" t="s">
        <v>502</v>
      </c>
      <c r="CO10" s="46" t="s">
        <v>502</v>
      </c>
      <c r="CP10" s="49" t="s">
        <v>502</v>
      </c>
      <c r="CQ10" s="46" t="s">
        <v>502</v>
      </c>
      <c r="CR10" s="46" t="s">
        <v>502</v>
      </c>
      <c r="CS10" s="49" t="s">
        <v>502</v>
      </c>
      <c r="CT10" s="46" t="s">
        <v>502</v>
      </c>
      <c r="CU10" s="46" t="s">
        <v>502</v>
      </c>
      <c r="CV10" s="49" t="s">
        <v>502</v>
      </c>
      <c r="CW10" s="46" t="s">
        <v>502</v>
      </c>
      <c r="CX10" s="46" t="s">
        <v>502</v>
      </c>
      <c r="CY10" s="49" t="s">
        <v>502</v>
      </c>
      <c r="CZ10" s="46" t="s">
        <v>502</v>
      </c>
      <c r="DA10" s="46" t="s">
        <v>502</v>
      </c>
      <c r="DB10" s="49" t="s">
        <v>502</v>
      </c>
      <c r="DC10" s="46" t="s">
        <v>502</v>
      </c>
      <c r="DD10" s="46" t="s">
        <v>502</v>
      </c>
      <c r="DE10" s="49" t="s">
        <v>502</v>
      </c>
      <c r="DF10" s="46" t="s">
        <v>502</v>
      </c>
      <c r="DG10" s="46" t="s">
        <v>502</v>
      </c>
      <c r="DH10" s="49" t="s">
        <v>502</v>
      </c>
      <c r="DI10" s="46" t="s">
        <v>502</v>
      </c>
      <c r="DJ10" s="46" t="s">
        <v>502</v>
      </c>
      <c r="DK10" s="49" t="s">
        <v>502</v>
      </c>
      <c r="DL10" s="46" t="s">
        <v>502</v>
      </c>
      <c r="DM10" s="46" t="s">
        <v>502</v>
      </c>
      <c r="DN10" s="49" t="s">
        <v>502</v>
      </c>
      <c r="DO10" s="46" t="s">
        <v>502</v>
      </c>
      <c r="DP10" s="46" t="s">
        <v>502</v>
      </c>
      <c r="DQ10" s="49" t="s">
        <v>502</v>
      </c>
      <c r="DR10" s="46" t="s">
        <v>502</v>
      </c>
      <c r="DS10" s="46" t="s">
        <v>502</v>
      </c>
      <c r="DT10" s="49" t="s">
        <v>502</v>
      </c>
      <c r="DU10" s="46" t="s">
        <v>502</v>
      </c>
      <c r="DV10" s="46" t="s">
        <v>502</v>
      </c>
      <c r="DW10" s="49" t="s">
        <v>502</v>
      </c>
      <c r="DX10" s="46" t="s">
        <v>502</v>
      </c>
      <c r="DY10" s="46" t="s">
        <v>502</v>
      </c>
      <c r="DZ10" s="49" t="s">
        <v>502</v>
      </c>
      <c r="EA10" s="46" t="s">
        <v>502</v>
      </c>
      <c r="EB10" s="46" t="s">
        <v>502</v>
      </c>
      <c r="EC10" s="49" t="s">
        <v>502</v>
      </c>
      <c r="ED10" s="46" t="s">
        <v>502</v>
      </c>
      <c r="EE10" s="46" t="s">
        <v>502</v>
      </c>
      <c r="EF10" s="49" t="s">
        <v>502</v>
      </c>
      <c r="EG10" s="46" t="s">
        <v>502</v>
      </c>
      <c r="EH10" s="46" t="s">
        <v>502</v>
      </c>
      <c r="EI10" s="49" t="s">
        <v>502</v>
      </c>
      <c r="EJ10" s="46" t="s">
        <v>502</v>
      </c>
      <c r="EK10" s="46" t="s">
        <v>502</v>
      </c>
      <c r="EL10" s="49" t="s">
        <v>502</v>
      </c>
      <c r="EM10" s="46" t="s">
        <v>502</v>
      </c>
      <c r="EN10" s="46" t="s">
        <v>502</v>
      </c>
      <c r="EO10" s="49" t="s">
        <v>502</v>
      </c>
      <c r="EP10" s="46" t="s">
        <v>502</v>
      </c>
      <c r="EQ10" s="46" t="s">
        <v>502</v>
      </c>
      <c r="ER10" s="49" t="s">
        <v>502</v>
      </c>
      <c r="ES10" s="46" t="s">
        <v>502</v>
      </c>
      <c r="ET10" s="46" t="s">
        <v>502</v>
      </c>
      <c r="EU10" s="49" t="s">
        <v>502</v>
      </c>
      <c r="EV10" s="46" t="s">
        <v>502</v>
      </c>
      <c r="EW10" s="46" t="s">
        <v>502</v>
      </c>
      <c r="EX10" s="49" t="s">
        <v>502</v>
      </c>
      <c r="EY10" s="46" t="s">
        <v>502</v>
      </c>
      <c r="EZ10" s="46" t="s">
        <v>502</v>
      </c>
      <c r="FA10" s="49" t="s">
        <v>502</v>
      </c>
      <c r="FB10" s="46" t="s">
        <v>502</v>
      </c>
      <c r="FC10" s="46" t="s">
        <v>502</v>
      </c>
      <c r="FD10" s="49" t="s">
        <v>502</v>
      </c>
      <c r="FE10" s="46" t="s">
        <v>502</v>
      </c>
      <c r="FF10" s="46" t="s">
        <v>502</v>
      </c>
      <c r="FG10" s="49" t="s">
        <v>502</v>
      </c>
      <c r="FH10" s="46" t="s">
        <v>502</v>
      </c>
      <c r="FI10" s="46" t="s">
        <v>502</v>
      </c>
      <c r="FJ10" s="49" t="s">
        <v>502</v>
      </c>
      <c r="FK10" s="46" t="s">
        <v>502</v>
      </c>
      <c r="FL10" s="46" t="s">
        <v>502</v>
      </c>
      <c r="FM10" s="49" t="s">
        <v>502</v>
      </c>
      <c r="FN10" s="46" t="s">
        <v>502</v>
      </c>
      <c r="FO10" s="46" t="s">
        <v>502</v>
      </c>
      <c r="FP10" s="49" t="s">
        <v>502</v>
      </c>
      <c r="FQ10" s="46" t="s">
        <v>502</v>
      </c>
      <c r="FR10" s="46" t="s">
        <v>502</v>
      </c>
      <c r="FS10" s="49" t="s">
        <v>502</v>
      </c>
      <c r="FT10" s="46" t="s">
        <v>502</v>
      </c>
      <c r="FU10" s="46" t="s">
        <v>502</v>
      </c>
      <c r="FV10" s="49" t="s">
        <v>502</v>
      </c>
      <c r="FW10" s="50">
        <f t="shared" si="7"/>
        <v>2</v>
      </c>
      <c r="FX10" s="51">
        <f t="shared" si="8"/>
        <v>6681.85</v>
      </c>
      <c r="FY10" s="46">
        <f t="shared" si="6"/>
        <v>6700</v>
      </c>
      <c r="FZ10" s="52" t="s">
        <v>504</v>
      </c>
    </row>
    <row r="11" spans="1:182" ht="177" customHeight="1" x14ac:dyDescent="0.2">
      <c r="A11" s="39">
        <v>8</v>
      </c>
      <c r="B11" s="40" t="s">
        <v>12</v>
      </c>
      <c r="C11" s="41" t="s">
        <v>80</v>
      </c>
      <c r="D11" s="42">
        <v>60121229</v>
      </c>
      <c r="E11" s="43" t="s">
        <v>108</v>
      </c>
      <c r="F11" s="44" t="s">
        <v>508</v>
      </c>
      <c r="G11" s="45" t="s">
        <v>501</v>
      </c>
      <c r="H11" s="46" t="s">
        <v>502</v>
      </c>
      <c r="I11" s="46" t="s">
        <v>502</v>
      </c>
      <c r="J11" s="46" t="s">
        <v>502</v>
      </c>
      <c r="K11" s="46" t="s">
        <v>502</v>
      </c>
      <c r="L11" s="46" t="s">
        <v>502</v>
      </c>
      <c r="M11" s="46" t="s">
        <v>502</v>
      </c>
      <c r="N11" s="46" t="s">
        <v>502</v>
      </c>
      <c r="O11" s="46" t="s">
        <v>502</v>
      </c>
      <c r="P11" s="46" t="s">
        <v>502</v>
      </c>
      <c r="Q11" s="46" t="s">
        <v>502</v>
      </c>
      <c r="R11" s="46" t="s">
        <v>502</v>
      </c>
      <c r="S11" s="46" t="s">
        <v>502</v>
      </c>
      <c r="T11" s="46" t="s">
        <v>502</v>
      </c>
      <c r="U11" s="46" t="s">
        <v>502</v>
      </c>
      <c r="V11" s="46" t="s">
        <v>502</v>
      </c>
      <c r="W11" s="46" t="s">
        <v>502</v>
      </c>
      <c r="X11" s="46" t="s">
        <v>502</v>
      </c>
      <c r="Y11" s="46" t="s">
        <v>502</v>
      </c>
      <c r="Z11" s="46" t="s">
        <v>502</v>
      </c>
      <c r="AA11" s="46" t="s">
        <v>502</v>
      </c>
      <c r="AB11" s="46" t="s">
        <v>502</v>
      </c>
      <c r="AC11" s="46" t="s">
        <v>502</v>
      </c>
      <c r="AD11" s="46" t="s">
        <v>502</v>
      </c>
      <c r="AE11" s="46" t="s">
        <v>502</v>
      </c>
      <c r="AF11" s="46" t="s">
        <v>502</v>
      </c>
      <c r="AG11" s="46" t="s">
        <v>502</v>
      </c>
      <c r="AH11" s="46" t="s">
        <v>502</v>
      </c>
      <c r="AI11" s="46" t="s">
        <v>502</v>
      </c>
      <c r="AJ11" s="46" t="s">
        <v>502</v>
      </c>
      <c r="AK11" s="46" t="s">
        <v>502</v>
      </c>
      <c r="AL11" s="46" t="s">
        <v>502</v>
      </c>
      <c r="AM11" s="46" t="s">
        <v>502</v>
      </c>
      <c r="AN11" s="49" t="s">
        <v>502</v>
      </c>
      <c r="AO11" s="46" t="s">
        <v>502</v>
      </c>
      <c r="AP11" s="46" t="s">
        <v>502</v>
      </c>
      <c r="AQ11" s="49" t="s">
        <v>502</v>
      </c>
      <c r="AR11" s="46" t="s">
        <v>502</v>
      </c>
      <c r="AS11" s="46" t="s">
        <v>502</v>
      </c>
      <c r="AT11" s="49" t="s">
        <v>502</v>
      </c>
      <c r="AU11" s="46" t="s">
        <v>502</v>
      </c>
      <c r="AV11" s="46" t="s">
        <v>502</v>
      </c>
      <c r="AW11" s="49" t="s">
        <v>502</v>
      </c>
      <c r="AX11" s="46" t="s">
        <v>502</v>
      </c>
      <c r="AY11" s="46" t="s">
        <v>502</v>
      </c>
      <c r="AZ11" s="49" t="s">
        <v>502</v>
      </c>
      <c r="BA11" s="46" t="s">
        <v>502</v>
      </c>
      <c r="BB11" s="46" t="s">
        <v>502</v>
      </c>
      <c r="BC11" s="49" t="s">
        <v>502</v>
      </c>
      <c r="BD11" s="46" t="s">
        <v>502</v>
      </c>
      <c r="BE11" s="46" t="s">
        <v>502</v>
      </c>
      <c r="BF11" s="49" t="s">
        <v>502</v>
      </c>
      <c r="BG11" s="46" t="s">
        <v>502</v>
      </c>
      <c r="BH11" s="46" t="s">
        <v>502</v>
      </c>
      <c r="BI11" s="49" t="s">
        <v>502</v>
      </c>
      <c r="BJ11" s="46" t="s">
        <v>502</v>
      </c>
      <c r="BK11" s="46" t="s">
        <v>502</v>
      </c>
      <c r="BL11" s="49" t="s">
        <v>502</v>
      </c>
      <c r="BM11" s="46">
        <f>20500/1.19</f>
        <v>17226.89075630252</v>
      </c>
      <c r="BN11" s="47">
        <f t="shared" ref="BN11:BN13" si="20">+BM11*19%</f>
        <v>3273.1092436974791</v>
      </c>
      <c r="BO11" s="55">
        <f t="shared" ref="BO11:BO13" si="21">+BM11+BN11</f>
        <v>20500</v>
      </c>
      <c r="BP11" s="46" t="s">
        <v>502</v>
      </c>
      <c r="BQ11" s="46" t="s">
        <v>502</v>
      </c>
      <c r="BR11" s="49" t="s">
        <v>502</v>
      </c>
      <c r="BS11" s="46" t="s">
        <v>502</v>
      </c>
      <c r="BT11" s="46" t="s">
        <v>502</v>
      </c>
      <c r="BU11" s="49" t="s">
        <v>502</v>
      </c>
      <c r="BV11" s="46" t="s">
        <v>502</v>
      </c>
      <c r="BW11" s="46" t="s">
        <v>502</v>
      </c>
      <c r="BX11" s="49" t="s">
        <v>502</v>
      </c>
      <c r="BY11" s="46" t="s">
        <v>502</v>
      </c>
      <c r="BZ11" s="46" t="s">
        <v>502</v>
      </c>
      <c r="CA11" s="49" t="s">
        <v>502</v>
      </c>
      <c r="CB11" s="46" t="s">
        <v>502</v>
      </c>
      <c r="CC11" s="46" t="s">
        <v>502</v>
      </c>
      <c r="CD11" s="49" t="s">
        <v>502</v>
      </c>
      <c r="CE11" s="46" t="s">
        <v>502</v>
      </c>
      <c r="CF11" s="46" t="s">
        <v>502</v>
      </c>
      <c r="CG11" s="49" t="s">
        <v>502</v>
      </c>
      <c r="CH11" s="46" t="s">
        <v>502</v>
      </c>
      <c r="CI11" s="46" t="s">
        <v>502</v>
      </c>
      <c r="CJ11" s="49" t="s">
        <v>502</v>
      </c>
      <c r="CK11" s="46" t="s">
        <v>502</v>
      </c>
      <c r="CL11" s="46" t="s">
        <v>502</v>
      </c>
      <c r="CM11" s="49" t="s">
        <v>502</v>
      </c>
      <c r="CN11" s="46" t="s">
        <v>502</v>
      </c>
      <c r="CO11" s="46" t="s">
        <v>502</v>
      </c>
      <c r="CP11" s="49" t="s">
        <v>502</v>
      </c>
      <c r="CQ11" s="46" t="s">
        <v>502</v>
      </c>
      <c r="CR11" s="46" t="s">
        <v>502</v>
      </c>
      <c r="CS11" s="49" t="s">
        <v>502</v>
      </c>
      <c r="CT11" s="46" t="s">
        <v>502</v>
      </c>
      <c r="CU11" s="46" t="s">
        <v>502</v>
      </c>
      <c r="CV11" s="49" t="s">
        <v>502</v>
      </c>
      <c r="CW11" s="46" t="s">
        <v>502</v>
      </c>
      <c r="CX11" s="46" t="s">
        <v>502</v>
      </c>
      <c r="CY11" s="49" t="s">
        <v>502</v>
      </c>
      <c r="CZ11" s="46">
        <f>16400/1.19</f>
        <v>13781.512605042017</v>
      </c>
      <c r="DA11" s="47">
        <f t="shared" ref="DA11" si="22">+CZ11*19%</f>
        <v>2618.4873949579833</v>
      </c>
      <c r="DB11" s="48">
        <f t="shared" ref="DB11" si="23">+CZ11+DA11</f>
        <v>16400</v>
      </c>
      <c r="DC11" s="46">
        <f>20150/1.19</f>
        <v>16932.773109243699</v>
      </c>
      <c r="DD11" s="47">
        <f t="shared" ref="DD11" si="24">+DC11*19%</f>
        <v>3217.226890756303</v>
      </c>
      <c r="DE11" s="48">
        <f t="shared" ref="DE11" si="25">+DC11+DD11</f>
        <v>20150</v>
      </c>
      <c r="DF11" s="46" t="s">
        <v>502</v>
      </c>
      <c r="DG11" s="46" t="s">
        <v>502</v>
      </c>
      <c r="DH11" s="49" t="s">
        <v>502</v>
      </c>
      <c r="DI11" s="46" t="s">
        <v>502</v>
      </c>
      <c r="DJ11" s="46" t="s">
        <v>502</v>
      </c>
      <c r="DK11" s="49" t="s">
        <v>502</v>
      </c>
      <c r="DL11" s="46" t="s">
        <v>502</v>
      </c>
      <c r="DM11" s="46" t="s">
        <v>502</v>
      </c>
      <c r="DN11" s="49" t="s">
        <v>502</v>
      </c>
      <c r="DO11" s="46" t="s">
        <v>502</v>
      </c>
      <c r="DP11" s="46" t="s">
        <v>502</v>
      </c>
      <c r="DQ11" s="49" t="s">
        <v>502</v>
      </c>
      <c r="DR11" s="46" t="s">
        <v>502</v>
      </c>
      <c r="DS11" s="46" t="s">
        <v>502</v>
      </c>
      <c r="DT11" s="49" t="s">
        <v>502</v>
      </c>
      <c r="DU11" s="46" t="s">
        <v>502</v>
      </c>
      <c r="DV11" s="46" t="s">
        <v>502</v>
      </c>
      <c r="DW11" s="49" t="s">
        <v>502</v>
      </c>
      <c r="DX11" s="46" t="s">
        <v>502</v>
      </c>
      <c r="DY11" s="46" t="s">
        <v>502</v>
      </c>
      <c r="DZ11" s="49" t="s">
        <v>502</v>
      </c>
      <c r="EA11" s="46" t="s">
        <v>502</v>
      </c>
      <c r="EB11" s="46" t="s">
        <v>502</v>
      </c>
      <c r="EC11" s="49" t="s">
        <v>502</v>
      </c>
      <c r="ED11" s="46" t="s">
        <v>502</v>
      </c>
      <c r="EE11" s="46" t="s">
        <v>502</v>
      </c>
      <c r="EF11" s="49" t="s">
        <v>502</v>
      </c>
      <c r="EG11" s="46" t="s">
        <v>502</v>
      </c>
      <c r="EH11" s="46" t="s">
        <v>502</v>
      </c>
      <c r="EI11" s="49" t="s">
        <v>502</v>
      </c>
      <c r="EJ11" s="46" t="s">
        <v>502</v>
      </c>
      <c r="EK11" s="46" t="s">
        <v>502</v>
      </c>
      <c r="EL11" s="49" t="s">
        <v>502</v>
      </c>
      <c r="EM11" s="46" t="s">
        <v>502</v>
      </c>
      <c r="EN11" s="46" t="s">
        <v>502</v>
      </c>
      <c r="EO11" s="49" t="s">
        <v>502</v>
      </c>
      <c r="EP11" s="46" t="s">
        <v>502</v>
      </c>
      <c r="EQ11" s="46" t="s">
        <v>502</v>
      </c>
      <c r="ER11" s="49" t="s">
        <v>502</v>
      </c>
      <c r="ES11" s="46" t="s">
        <v>502</v>
      </c>
      <c r="ET11" s="46" t="s">
        <v>502</v>
      </c>
      <c r="EU11" s="49" t="s">
        <v>502</v>
      </c>
      <c r="EV11" s="46" t="s">
        <v>502</v>
      </c>
      <c r="EW11" s="46" t="s">
        <v>502</v>
      </c>
      <c r="EX11" s="49" t="s">
        <v>502</v>
      </c>
      <c r="EY11" s="46" t="s">
        <v>502</v>
      </c>
      <c r="EZ11" s="46" t="s">
        <v>502</v>
      </c>
      <c r="FA11" s="49" t="s">
        <v>502</v>
      </c>
      <c r="FB11" s="46" t="s">
        <v>502</v>
      </c>
      <c r="FC11" s="46" t="s">
        <v>502</v>
      </c>
      <c r="FD11" s="49" t="s">
        <v>502</v>
      </c>
      <c r="FE11" s="46" t="s">
        <v>502</v>
      </c>
      <c r="FF11" s="46" t="s">
        <v>502</v>
      </c>
      <c r="FG11" s="49" t="s">
        <v>502</v>
      </c>
      <c r="FH11" s="46" t="s">
        <v>502</v>
      </c>
      <c r="FI11" s="46" t="s">
        <v>502</v>
      </c>
      <c r="FJ11" s="49" t="s">
        <v>502</v>
      </c>
      <c r="FK11" s="46" t="s">
        <v>502</v>
      </c>
      <c r="FL11" s="46" t="s">
        <v>502</v>
      </c>
      <c r="FM11" s="49" t="s">
        <v>502</v>
      </c>
      <c r="FN11" s="46" t="s">
        <v>502</v>
      </c>
      <c r="FO11" s="46" t="s">
        <v>502</v>
      </c>
      <c r="FP11" s="49" t="s">
        <v>502</v>
      </c>
      <c r="FQ11" s="46" t="s">
        <v>502</v>
      </c>
      <c r="FR11" s="46" t="s">
        <v>502</v>
      </c>
      <c r="FS11" s="49" t="s">
        <v>502</v>
      </c>
      <c r="FT11" s="46" t="s">
        <v>502</v>
      </c>
      <c r="FU11" s="46" t="s">
        <v>502</v>
      </c>
      <c r="FV11" s="49" t="s">
        <v>502</v>
      </c>
      <c r="FW11" s="50">
        <f t="shared" si="7"/>
        <v>3</v>
      </c>
      <c r="FX11" s="51">
        <f t="shared" si="8"/>
        <v>19016.666666666668</v>
      </c>
      <c r="FY11" s="46">
        <f t="shared" si="6"/>
        <v>19050</v>
      </c>
      <c r="FZ11" s="52" t="s">
        <v>504</v>
      </c>
    </row>
    <row r="12" spans="1:182" ht="177" customHeight="1" x14ac:dyDescent="0.2">
      <c r="A12" s="53">
        <v>9</v>
      </c>
      <c r="B12" s="40" t="s">
        <v>12</v>
      </c>
      <c r="C12" s="41" t="s">
        <v>82</v>
      </c>
      <c r="D12" s="42">
        <v>27111909</v>
      </c>
      <c r="E12" s="43" t="s">
        <v>509</v>
      </c>
      <c r="F12" s="44" t="s">
        <v>86</v>
      </c>
      <c r="G12" s="45" t="s">
        <v>501</v>
      </c>
      <c r="H12" s="46" t="s">
        <v>502</v>
      </c>
      <c r="I12" s="46" t="s">
        <v>502</v>
      </c>
      <c r="J12" s="46" t="s">
        <v>502</v>
      </c>
      <c r="K12" s="46" t="s">
        <v>502</v>
      </c>
      <c r="L12" s="46" t="s">
        <v>502</v>
      </c>
      <c r="M12" s="46" t="s">
        <v>502</v>
      </c>
      <c r="N12" s="46" t="s">
        <v>502</v>
      </c>
      <c r="O12" s="46" t="s">
        <v>502</v>
      </c>
      <c r="P12" s="46" t="s">
        <v>502</v>
      </c>
      <c r="Q12" s="46" t="s">
        <v>502</v>
      </c>
      <c r="R12" s="46" t="s">
        <v>502</v>
      </c>
      <c r="S12" s="46" t="s">
        <v>502</v>
      </c>
      <c r="T12" s="46" t="s">
        <v>503</v>
      </c>
      <c r="U12" s="46" t="s">
        <v>503</v>
      </c>
      <c r="V12" s="46" t="s">
        <v>503</v>
      </c>
      <c r="W12" s="46" t="s">
        <v>502</v>
      </c>
      <c r="X12" s="46" t="s">
        <v>502</v>
      </c>
      <c r="Y12" s="46" t="s">
        <v>502</v>
      </c>
      <c r="Z12" s="46" t="s">
        <v>502</v>
      </c>
      <c r="AA12" s="46" t="s">
        <v>502</v>
      </c>
      <c r="AB12" s="46" t="s">
        <v>502</v>
      </c>
      <c r="AC12" s="46" t="s">
        <v>502</v>
      </c>
      <c r="AD12" s="46" t="s">
        <v>502</v>
      </c>
      <c r="AE12" s="46" t="s">
        <v>502</v>
      </c>
      <c r="AF12" s="46" t="s">
        <v>502</v>
      </c>
      <c r="AG12" s="46" t="s">
        <v>502</v>
      </c>
      <c r="AH12" s="46" t="s">
        <v>502</v>
      </c>
      <c r="AI12" s="46" t="s">
        <v>502</v>
      </c>
      <c r="AJ12" s="46" t="s">
        <v>502</v>
      </c>
      <c r="AK12" s="46" t="s">
        <v>502</v>
      </c>
      <c r="AL12" s="47">
        <f>3800/1.19</f>
        <v>3193.2773109243699</v>
      </c>
      <c r="AM12" s="47">
        <f t="shared" ref="AM12" si="26">+AL12*19%</f>
        <v>606.72268907563034</v>
      </c>
      <c r="AN12" s="54">
        <f t="shared" ref="AN12" si="27">+AL12+AM12</f>
        <v>3800</v>
      </c>
      <c r="AO12" s="46" t="s">
        <v>502</v>
      </c>
      <c r="AP12" s="46" t="s">
        <v>502</v>
      </c>
      <c r="AQ12" s="49" t="s">
        <v>502</v>
      </c>
      <c r="AR12" s="46" t="s">
        <v>502</v>
      </c>
      <c r="AS12" s="46" t="s">
        <v>502</v>
      </c>
      <c r="AT12" s="49" t="s">
        <v>502</v>
      </c>
      <c r="AU12" s="46" t="s">
        <v>502</v>
      </c>
      <c r="AV12" s="46" t="s">
        <v>502</v>
      </c>
      <c r="AW12" s="49" t="s">
        <v>502</v>
      </c>
      <c r="AX12" s="46" t="s">
        <v>502</v>
      </c>
      <c r="AY12" s="46" t="s">
        <v>502</v>
      </c>
      <c r="AZ12" s="49" t="s">
        <v>502</v>
      </c>
      <c r="BA12" s="46" t="s">
        <v>502</v>
      </c>
      <c r="BB12" s="46" t="s">
        <v>502</v>
      </c>
      <c r="BC12" s="49" t="s">
        <v>502</v>
      </c>
      <c r="BD12" s="46" t="s">
        <v>502</v>
      </c>
      <c r="BE12" s="46" t="s">
        <v>502</v>
      </c>
      <c r="BF12" s="49" t="s">
        <v>502</v>
      </c>
      <c r="BG12" s="46" t="s">
        <v>502</v>
      </c>
      <c r="BH12" s="46" t="s">
        <v>502</v>
      </c>
      <c r="BI12" s="49" t="s">
        <v>502</v>
      </c>
      <c r="BJ12" s="46" t="s">
        <v>502</v>
      </c>
      <c r="BK12" s="46" t="s">
        <v>502</v>
      </c>
      <c r="BL12" s="49" t="s">
        <v>502</v>
      </c>
      <c r="BM12" s="46">
        <f>4500/1.19</f>
        <v>3781.5126050420172</v>
      </c>
      <c r="BN12" s="47">
        <f t="shared" si="20"/>
        <v>718.48739495798327</v>
      </c>
      <c r="BO12" s="55">
        <f t="shared" si="21"/>
        <v>4500</v>
      </c>
      <c r="BP12" s="46" t="s">
        <v>502</v>
      </c>
      <c r="BQ12" s="46" t="s">
        <v>502</v>
      </c>
      <c r="BR12" s="49" t="s">
        <v>502</v>
      </c>
      <c r="BS12" s="46" t="s">
        <v>502</v>
      </c>
      <c r="BT12" s="46" t="s">
        <v>502</v>
      </c>
      <c r="BU12" s="49" t="s">
        <v>502</v>
      </c>
      <c r="BV12" s="46" t="s">
        <v>502</v>
      </c>
      <c r="BW12" s="46" t="s">
        <v>502</v>
      </c>
      <c r="BX12" s="49" t="s">
        <v>502</v>
      </c>
      <c r="BY12" s="46" t="s">
        <v>502</v>
      </c>
      <c r="BZ12" s="46" t="s">
        <v>502</v>
      </c>
      <c r="CA12" s="49" t="s">
        <v>502</v>
      </c>
      <c r="CB12" s="46" t="s">
        <v>502</v>
      </c>
      <c r="CC12" s="46" t="s">
        <v>502</v>
      </c>
      <c r="CD12" s="49" t="s">
        <v>502</v>
      </c>
      <c r="CE12" s="46" t="s">
        <v>502</v>
      </c>
      <c r="CF12" s="46" t="s">
        <v>502</v>
      </c>
      <c r="CG12" s="49" t="s">
        <v>502</v>
      </c>
      <c r="CH12" s="46" t="s">
        <v>503</v>
      </c>
      <c r="CI12" s="46" t="s">
        <v>503</v>
      </c>
      <c r="CJ12" s="46" t="s">
        <v>503</v>
      </c>
      <c r="CK12" s="46" t="s">
        <v>502</v>
      </c>
      <c r="CL12" s="46" t="s">
        <v>502</v>
      </c>
      <c r="CM12" s="49" t="s">
        <v>502</v>
      </c>
      <c r="CN12" s="46" t="s">
        <v>502</v>
      </c>
      <c r="CO12" s="46" t="s">
        <v>502</v>
      </c>
      <c r="CP12" s="49" t="s">
        <v>502</v>
      </c>
      <c r="CQ12" s="46" t="s">
        <v>502</v>
      </c>
      <c r="CR12" s="46" t="s">
        <v>502</v>
      </c>
      <c r="CS12" s="49" t="s">
        <v>502</v>
      </c>
      <c r="CT12" s="46" t="s">
        <v>502</v>
      </c>
      <c r="CU12" s="46" t="s">
        <v>502</v>
      </c>
      <c r="CV12" s="49" t="s">
        <v>502</v>
      </c>
      <c r="CW12" s="46" t="s">
        <v>502</v>
      </c>
      <c r="CX12" s="46" t="s">
        <v>502</v>
      </c>
      <c r="CY12" s="49" t="s">
        <v>502</v>
      </c>
      <c r="CZ12" s="46" t="s">
        <v>502</v>
      </c>
      <c r="DA12" s="46" t="s">
        <v>502</v>
      </c>
      <c r="DB12" s="49" t="s">
        <v>502</v>
      </c>
      <c r="DC12" s="46" t="s">
        <v>502</v>
      </c>
      <c r="DD12" s="46" t="s">
        <v>502</v>
      </c>
      <c r="DE12" s="49" t="s">
        <v>502</v>
      </c>
      <c r="DF12" s="46">
        <f>4128/1.19</f>
        <v>3468.90756302521</v>
      </c>
      <c r="DG12" s="47">
        <f t="shared" ref="DG12:DG13" si="28">+DF12*19%</f>
        <v>659.09243697478996</v>
      </c>
      <c r="DH12" s="48">
        <f t="shared" ref="DH12:DH13" si="29">+DF12+DG12</f>
        <v>4128</v>
      </c>
      <c r="DI12" s="46" t="s">
        <v>502</v>
      </c>
      <c r="DJ12" s="46" t="s">
        <v>502</v>
      </c>
      <c r="DK12" s="49" t="s">
        <v>502</v>
      </c>
      <c r="DL12" s="46" t="s">
        <v>502</v>
      </c>
      <c r="DM12" s="46" t="s">
        <v>502</v>
      </c>
      <c r="DN12" s="49" t="s">
        <v>502</v>
      </c>
      <c r="DO12" s="46" t="s">
        <v>502</v>
      </c>
      <c r="DP12" s="46" t="s">
        <v>502</v>
      </c>
      <c r="DQ12" s="49" t="s">
        <v>502</v>
      </c>
      <c r="DR12" s="46" t="s">
        <v>502</v>
      </c>
      <c r="DS12" s="46" t="s">
        <v>502</v>
      </c>
      <c r="DT12" s="49" t="s">
        <v>502</v>
      </c>
      <c r="DU12" s="46" t="s">
        <v>502</v>
      </c>
      <c r="DV12" s="46" t="s">
        <v>502</v>
      </c>
      <c r="DW12" s="49" t="s">
        <v>502</v>
      </c>
      <c r="DX12" s="46" t="s">
        <v>502</v>
      </c>
      <c r="DY12" s="46" t="s">
        <v>502</v>
      </c>
      <c r="DZ12" s="49" t="s">
        <v>502</v>
      </c>
      <c r="EA12" s="46" t="s">
        <v>502</v>
      </c>
      <c r="EB12" s="46" t="s">
        <v>502</v>
      </c>
      <c r="EC12" s="49" t="s">
        <v>502</v>
      </c>
      <c r="ED12" s="46" t="s">
        <v>502</v>
      </c>
      <c r="EE12" s="46" t="s">
        <v>502</v>
      </c>
      <c r="EF12" s="49" t="s">
        <v>502</v>
      </c>
      <c r="EG12" s="46" t="s">
        <v>502</v>
      </c>
      <c r="EH12" s="46" t="s">
        <v>502</v>
      </c>
      <c r="EI12" s="49" t="s">
        <v>502</v>
      </c>
      <c r="EJ12" s="46" t="s">
        <v>502</v>
      </c>
      <c r="EK12" s="46" t="s">
        <v>502</v>
      </c>
      <c r="EL12" s="49" t="s">
        <v>502</v>
      </c>
      <c r="EM12" s="46" t="s">
        <v>502</v>
      </c>
      <c r="EN12" s="46" t="s">
        <v>502</v>
      </c>
      <c r="EO12" s="49" t="s">
        <v>502</v>
      </c>
      <c r="EP12" s="46" t="s">
        <v>502</v>
      </c>
      <c r="EQ12" s="46" t="s">
        <v>502</v>
      </c>
      <c r="ER12" s="49" t="s">
        <v>502</v>
      </c>
      <c r="ES12" s="46" t="s">
        <v>502</v>
      </c>
      <c r="ET12" s="46" t="s">
        <v>502</v>
      </c>
      <c r="EU12" s="49" t="s">
        <v>502</v>
      </c>
      <c r="EV12" s="46" t="s">
        <v>502</v>
      </c>
      <c r="EW12" s="46" t="s">
        <v>502</v>
      </c>
      <c r="EX12" s="49" t="s">
        <v>502</v>
      </c>
      <c r="EY12" s="46" t="s">
        <v>502</v>
      </c>
      <c r="EZ12" s="46" t="s">
        <v>502</v>
      </c>
      <c r="FA12" s="49" t="s">
        <v>502</v>
      </c>
      <c r="FB12" s="46" t="s">
        <v>502</v>
      </c>
      <c r="FC12" s="46" t="s">
        <v>502</v>
      </c>
      <c r="FD12" s="49" t="s">
        <v>502</v>
      </c>
      <c r="FE12" s="46" t="s">
        <v>502</v>
      </c>
      <c r="FF12" s="46" t="s">
        <v>502</v>
      </c>
      <c r="FG12" s="49" t="s">
        <v>502</v>
      </c>
      <c r="FH12" s="46" t="s">
        <v>502</v>
      </c>
      <c r="FI12" s="46" t="s">
        <v>502</v>
      </c>
      <c r="FJ12" s="49" t="s">
        <v>502</v>
      </c>
      <c r="FK12" s="46" t="s">
        <v>502</v>
      </c>
      <c r="FL12" s="46" t="s">
        <v>502</v>
      </c>
      <c r="FM12" s="49" t="s">
        <v>502</v>
      </c>
      <c r="FN12" s="46" t="s">
        <v>502</v>
      </c>
      <c r="FO12" s="46" t="s">
        <v>502</v>
      </c>
      <c r="FP12" s="49" t="s">
        <v>502</v>
      </c>
      <c r="FQ12" s="46" t="s">
        <v>502</v>
      </c>
      <c r="FR12" s="46" t="s">
        <v>502</v>
      </c>
      <c r="FS12" s="49" t="s">
        <v>502</v>
      </c>
      <c r="FT12" s="46" t="s">
        <v>502</v>
      </c>
      <c r="FU12" s="46" t="s">
        <v>502</v>
      </c>
      <c r="FV12" s="49" t="s">
        <v>502</v>
      </c>
      <c r="FW12" s="50">
        <f t="shared" si="7"/>
        <v>3</v>
      </c>
      <c r="FX12" s="51">
        <f t="shared" si="8"/>
        <v>4142.666666666667</v>
      </c>
      <c r="FY12" s="46">
        <f t="shared" si="6"/>
        <v>4150</v>
      </c>
      <c r="FZ12" s="52" t="s">
        <v>504</v>
      </c>
    </row>
    <row r="13" spans="1:182" ht="177" customHeight="1" x14ac:dyDescent="0.2">
      <c r="A13" s="39">
        <v>10</v>
      </c>
      <c r="B13" s="40" t="s">
        <v>12</v>
      </c>
      <c r="C13" s="41" t="s">
        <v>83</v>
      </c>
      <c r="D13" s="42">
        <v>27111909</v>
      </c>
      <c r="E13" s="43" t="s">
        <v>510</v>
      </c>
      <c r="F13" s="44" t="s">
        <v>86</v>
      </c>
      <c r="G13" s="45" t="s">
        <v>501</v>
      </c>
      <c r="H13" s="46" t="s">
        <v>502</v>
      </c>
      <c r="I13" s="46" t="s">
        <v>502</v>
      </c>
      <c r="J13" s="46" t="s">
        <v>502</v>
      </c>
      <c r="K13" s="46" t="s">
        <v>502</v>
      </c>
      <c r="L13" s="46" t="s">
        <v>502</v>
      </c>
      <c r="M13" s="46" t="s">
        <v>502</v>
      </c>
      <c r="N13" s="46" t="s">
        <v>502</v>
      </c>
      <c r="O13" s="46" t="s">
        <v>502</v>
      </c>
      <c r="P13" s="46" t="s">
        <v>502</v>
      </c>
      <c r="Q13" s="46" t="s">
        <v>502</v>
      </c>
      <c r="R13" s="46" t="s">
        <v>502</v>
      </c>
      <c r="S13" s="46" t="s">
        <v>502</v>
      </c>
      <c r="T13" s="46" t="s">
        <v>502</v>
      </c>
      <c r="U13" s="46" t="s">
        <v>502</v>
      </c>
      <c r="V13" s="46" t="s">
        <v>502</v>
      </c>
      <c r="W13" s="46" t="s">
        <v>502</v>
      </c>
      <c r="X13" s="46" t="s">
        <v>502</v>
      </c>
      <c r="Y13" s="46" t="s">
        <v>502</v>
      </c>
      <c r="Z13" s="46" t="s">
        <v>502</v>
      </c>
      <c r="AA13" s="46" t="s">
        <v>502</v>
      </c>
      <c r="AB13" s="46" t="s">
        <v>502</v>
      </c>
      <c r="AC13" s="46" t="s">
        <v>502</v>
      </c>
      <c r="AD13" s="46" t="s">
        <v>502</v>
      </c>
      <c r="AE13" s="46" t="s">
        <v>502</v>
      </c>
      <c r="AF13" s="46" t="s">
        <v>502</v>
      </c>
      <c r="AG13" s="46" t="s">
        <v>502</v>
      </c>
      <c r="AH13" s="46" t="s">
        <v>502</v>
      </c>
      <c r="AI13" s="46" t="s">
        <v>502</v>
      </c>
      <c r="AJ13" s="46" t="s">
        <v>502</v>
      </c>
      <c r="AK13" s="46" t="s">
        <v>502</v>
      </c>
      <c r="AL13" s="46" t="s">
        <v>502</v>
      </c>
      <c r="AM13" s="46" t="s">
        <v>502</v>
      </c>
      <c r="AN13" s="49" t="s">
        <v>502</v>
      </c>
      <c r="AO13" s="46" t="s">
        <v>502</v>
      </c>
      <c r="AP13" s="46" t="s">
        <v>502</v>
      </c>
      <c r="AQ13" s="49" t="s">
        <v>502</v>
      </c>
      <c r="AR13" s="46" t="s">
        <v>502</v>
      </c>
      <c r="AS13" s="46" t="s">
        <v>502</v>
      </c>
      <c r="AT13" s="49" t="s">
        <v>502</v>
      </c>
      <c r="AU13" s="46" t="s">
        <v>502</v>
      </c>
      <c r="AV13" s="46" t="s">
        <v>502</v>
      </c>
      <c r="AW13" s="49" t="s">
        <v>502</v>
      </c>
      <c r="AX13" s="46" t="s">
        <v>502</v>
      </c>
      <c r="AY13" s="46" t="s">
        <v>502</v>
      </c>
      <c r="AZ13" s="49" t="s">
        <v>502</v>
      </c>
      <c r="BA13" s="46" t="s">
        <v>502</v>
      </c>
      <c r="BB13" s="46" t="s">
        <v>502</v>
      </c>
      <c r="BC13" s="49" t="s">
        <v>502</v>
      </c>
      <c r="BD13" s="46" t="s">
        <v>502</v>
      </c>
      <c r="BE13" s="46" t="s">
        <v>502</v>
      </c>
      <c r="BF13" s="49" t="s">
        <v>502</v>
      </c>
      <c r="BG13" s="46" t="s">
        <v>502</v>
      </c>
      <c r="BH13" s="46" t="s">
        <v>502</v>
      </c>
      <c r="BI13" s="49" t="s">
        <v>502</v>
      </c>
      <c r="BJ13" s="46" t="s">
        <v>502</v>
      </c>
      <c r="BK13" s="46" t="s">
        <v>502</v>
      </c>
      <c r="BL13" s="49" t="s">
        <v>502</v>
      </c>
      <c r="BM13" s="46">
        <f>7000/1.19</f>
        <v>5882.3529411764712</v>
      </c>
      <c r="BN13" s="47">
        <f t="shared" si="20"/>
        <v>1117.6470588235295</v>
      </c>
      <c r="BO13" s="55">
        <f t="shared" si="21"/>
        <v>7000.0000000000009</v>
      </c>
      <c r="BP13" s="46" t="s">
        <v>502</v>
      </c>
      <c r="BQ13" s="46" t="s">
        <v>502</v>
      </c>
      <c r="BR13" s="49" t="s">
        <v>502</v>
      </c>
      <c r="BS13" s="46" t="s">
        <v>502</v>
      </c>
      <c r="BT13" s="46" t="s">
        <v>502</v>
      </c>
      <c r="BU13" s="49" t="s">
        <v>502</v>
      </c>
      <c r="BV13" s="46" t="s">
        <v>502</v>
      </c>
      <c r="BW13" s="46" t="s">
        <v>502</v>
      </c>
      <c r="BX13" s="49" t="s">
        <v>502</v>
      </c>
      <c r="BY13" s="46" t="s">
        <v>502</v>
      </c>
      <c r="BZ13" s="46" t="s">
        <v>502</v>
      </c>
      <c r="CA13" s="49" t="s">
        <v>502</v>
      </c>
      <c r="CB13" s="46" t="s">
        <v>502</v>
      </c>
      <c r="CC13" s="46" t="s">
        <v>502</v>
      </c>
      <c r="CD13" s="49" t="s">
        <v>502</v>
      </c>
      <c r="CE13" s="46" t="s">
        <v>502</v>
      </c>
      <c r="CF13" s="46" t="s">
        <v>502</v>
      </c>
      <c r="CG13" s="49" t="s">
        <v>502</v>
      </c>
      <c r="CH13" s="46" t="s">
        <v>503</v>
      </c>
      <c r="CI13" s="46" t="s">
        <v>503</v>
      </c>
      <c r="CJ13" s="46" t="s">
        <v>503</v>
      </c>
      <c r="CK13" s="46" t="s">
        <v>502</v>
      </c>
      <c r="CL13" s="46" t="s">
        <v>502</v>
      </c>
      <c r="CM13" s="49" t="s">
        <v>502</v>
      </c>
      <c r="CN13" s="46" t="s">
        <v>502</v>
      </c>
      <c r="CO13" s="46" t="s">
        <v>502</v>
      </c>
      <c r="CP13" s="49" t="s">
        <v>502</v>
      </c>
      <c r="CQ13" s="46" t="s">
        <v>502</v>
      </c>
      <c r="CR13" s="46" t="s">
        <v>502</v>
      </c>
      <c r="CS13" s="49" t="s">
        <v>502</v>
      </c>
      <c r="CT13" s="46" t="s">
        <v>502</v>
      </c>
      <c r="CU13" s="46" t="s">
        <v>502</v>
      </c>
      <c r="CV13" s="49" t="s">
        <v>502</v>
      </c>
      <c r="CW13" s="46" t="s">
        <v>502</v>
      </c>
      <c r="CX13" s="46" t="s">
        <v>502</v>
      </c>
      <c r="CY13" s="49" t="s">
        <v>502</v>
      </c>
      <c r="CZ13" s="46" t="s">
        <v>502</v>
      </c>
      <c r="DA13" s="46" t="s">
        <v>502</v>
      </c>
      <c r="DB13" s="49" t="s">
        <v>502</v>
      </c>
      <c r="DC13" s="46" t="s">
        <v>502</v>
      </c>
      <c r="DD13" s="46" t="s">
        <v>502</v>
      </c>
      <c r="DE13" s="49" t="s">
        <v>502</v>
      </c>
      <c r="DF13" s="46">
        <f>6364/1.19</f>
        <v>5347.8991596638662</v>
      </c>
      <c r="DG13" s="47">
        <f t="shared" si="28"/>
        <v>1016.1008403361346</v>
      </c>
      <c r="DH13" s="48">
        <f t="shared" si="29"/>
        <v>6364.0000000000009</v>
      </c>
      <c r="DI13" s="46" t="s">
        <v>502</v>
      </c>
      <c r="DJ13" s="46" t="s">
        <v>502</v>
      </c>
      <c r="DK13" s="49" t="s">
        <v>502</v>
      </c>
      <c r="DL13" s="46" t="s">
        <v>502</v>
      </c>
      <c r="DM13" s="46" t="s">
        <v>502</v>
      </c>
      <c r="DN13" s="49" t="s">
        <v>502</v>
      </c>
      <c r="DO13" s="46" t="s">
        <v>502</v>
      </c>
      <c r="DP13" s="46" t="s">
        <v>502</v>
      </c>
      <c r="DQ13" s="49" t="s">
        <v>502</v>
      </c>
      <c r="DR13" s="46" t="s">
        <v>502</v>
      </c>
      <c r="DS13" s="46" t="s">
        <v>502</v>
      </c>
      <c r="DT13" s="49" t="s">
        <v>502</v>
      </c>
      <c r="DU13" s="46" t="s">
        <v>502</v>
      </c>
      <c r="DV13" s="46" t="s">
        <v>502</v>
      </c>
      <c r="DW13" s="49" t="s">
        <v>502</v>
      </c>
      <c r="DX13" s="46" t="s">
        <v>502</v>
      </c>
      <c r="DY13" s="46" t="s">
        <v>502</v>
      </c>
      <c r="DZ13" s="49" t="s">
        <v>502</v>
      </c>
      <c r="EA13" s="46" t="s">
        <v>502</v>
      </c>
      <c r="EB13" s="46" t="s">
        <v>502</v>
      </c>
      <c r="EC13" s="49" t="s">
        <v>502</v>
      </c>
      <c r="ED13" s="46">
        <f>6900/1.19</f>
        <v>5798.3193277310929</v>
      </c>
      <c r="EE13" s="47">
        <f t="shared" ref="EE13" si="30">+ED13*19%</f>
        <v>1101.6806722689078</v>
      </c>
      <c r="EF13" s="48">
        <f t="shared" ref="EF13" si="31">+ED13+EE13</f>
        <v>6900.0000000000009</v>
      </c>
      <c r="EG13" s="46" t="s">
        <v>502</v>
      </c>
      <c r="EH13" s="46" t="s">
        <v>502</v>
      </c>
      <c r="EI13" s="49" t="s">
        <v>502</v>
      </c>
      <c r="EJ13" s="46" t="s">
        <v>502</v>
      </c>
      <c r="EK13" s="46" t="s">
        <v>502</v>
      </c>
      <c r="EL13" s="49" t="s">
        <v>502</v>
      </c>
      <c r="EM13" s="46" t="s">
        <v>502</v>
      </c>
      <c r="EN13" s="46" t="s">
        <v>502</v>
      </c>
      <c r="EO13" s="49" t="s">
        <v>502</v>
      </c>
      <c r="EP13" s="46" t="s">
        <v>502</v>
      </c>
      <c r="EQ13" s="46" t="s">
        <v>502</v>
      </c>
      <c r="ER13" s="49" t="s">
        <v>502</v>
      </c>
      <c r="ES13" s="46" t="s">
        <v>502</v>
      </c>
      <c r="ET13" s="46" t="s">
        <v>502</v>
      </c>
      <c r="EU13" s="49" t="s">
        <v>502</v>
      </c>
      <c r="EV13" s="46" t="s">
        <v>502</v>
      </c>
      <c r="EW13" s="46" t="s">
        <v>502</v>
      </c>
      <c r="EX13" s="49" t="s">
        <v>502</v>
      </c>
      <c r="EY13" s="46" t="s">
        <v>502</v>
      </c>
      <c r="EZ13" s="46" t="s">
        <v>502</v>
      </c>
      <c r="FA13" s="49" t="s">
        <v>502</v>
      </c>
      <c r="FB13" s="46" t="s">
        <v>502</v>
      </c>
      <c r="FC13" s="46" t="s">
        <v>502</v>
      </c>
      <c r="FD13" s="49" t="s">
        <v>502</v>
      </c>
      <c r="FE13" s="46" t="s">
        <v>502</v>
      </c>
      <c r="FF13" s="46" t="s">
        <v>502</v>
      </c>
      <c r="FG13" s="49" t="s">
        <v>502</v>
      </c>
      <c r="FH13" s="46" t="s">
        <v>502</v>
      </c>
      <c r="FI13" s="46" t="s">
        <v>502</v>
      </c>
      <c r="FJ13" s="49" t="s">
        <v>502</v>
      </c>
      <c r="FK13" s="46" t="s">
        <v>502</v>
      </c>
      <c r="FL13" s="46" t="s">
        <v>502</v>
      </c>
      <c r="FM13" s="49" t="s">
        <v>502</v>
      </c>
      <c r="FN13" s="46" t="s">
        <v>502</v>
      </c>
      <c r="FO13" s="46" t="s">
        <v>502</v>
      </c>
      <c r="FP13" s="49" t="s">
        <v>502</v>
      </c>
      <c r="FQ13" s="46" t="s">
        <v>502</v>
      </c>
      <c r="FR13" s="46" t="s">
        <v>502</v>
      </c>
      <c r="FS13" s="49" t="s">
        <v>502</v>
      </c>
      <c r="FT13" s="46" t="s">
        <v>502</v>
      </c>
      <c r="FU13" s="46" t="s">
        <v>502</v>
      </c>
      <c r="FV13" s="49" t="s">
        <v>502</v>
      </c>
      <c r="FW13" s="50">
        <f t="shared" si="7"/>
        <v>3</v>
      </c>
      <c r="FX13" s="51">
        <f t="shared" si="8"/>
        <v>6754.6666666666679</v>
      </c>
      <c r="FY13" s="46">
        <f t="shared" si="6"/>
        <v>6800</v>
      </c>
      <c r="FZ13" s="52" t="s">
        <v>504</v>
      </c>
    </row>
    <row r="14" spans="1:182" ht="177" customHeight="1" x14ac:dyDescent="0.2">
      <c r="A14" s="39">
        <v>11</v>
      </c>
      <c r="B14" s="40" t="s">
        <v>12</v>
      </c>
      <c r="C14" s="41" t="s">
        <v>111</v>
      </c>
      <c r="D14" s="42">
        <v>60121008</v>
      </c>
      <c r="E14" s="43" t="s">
        <v>112</v>
      </c>
      <c r="F14" s="44" t="s">
        <v>119</v>
      </c>
      <c r="G14" s="45" t="s">
        <v>501</v>
      </c>
      <c r="H14" s="56">
        <v>1000</v>
      </c>
      <c r="I14" s="47">
        <f>+H14*19%</f>
        <v>190</v>
      </c>
      <c r="J14" s="48">
        <f>+H14+I14</f>
        <v>1190</v>
      </c>
      <c r="K14" s="57">
        <v>875</v>
      </c>
      <c r="L14" s="58">
        <f t="shared" ref="L14:L15" si="32">+K14*19%</f>
        <v>166.25</v>
      </c>
      <c r="M14" s="48">
        <f t="shared" ref="M14:M15" si="33">+K14+L14</f>
        <v>1041.25</v>
      </c>
      <c r="N14" s="46" t="s">
        <v>503</v>
      </c>
      <c r="O14" s="46" t="s">
        <v>503</v>
      </c>
      <c r="P14" s="46" t="s">
        <v>503</v>
      </c>
      <c r="Q14" s="46" t="s">
        <v>511</v>
      </c>
      <c r="R14" s="46" t="s">
        <v>511</v>
      </c>
      <c r="S14" s="46" t="s">
        <v>511</v>
      </c>
      <c r="T14" s="46" t="s">
        <v>502</v>
      </c>
      <c r="U14" s="46" t="s">
        <v>502</v>
      </c>
      <c r="V14" s="46" t="s">
        <v>502</v>
      </c>
      <c r="W14" s="46" t="s">
        <v>502</v>
      </c>
      <c r="X14" s="46" t="s">
        <v>502</v>
      </c>
      <c r="Y14" s="46" t="s">
        <v>502</v>
      </c>
      <c r="Z14" s="46" t="s">
        <v>502</v>
      </c>
      <c r="AA14" s="46" t="s">
        <v>502</v>
      </c>
      <c r="AB14" s="46" t="s">
        <v>502</v>
      </c>
      <c r="AC14" s="46" t="s">
        <v>502</v>
      </c>
      <c r="AD14" s="46" t="s">
        <v>502</v>
      </c>
      <c r="AE14" s="46" t="s">
        <v>502</v>
      </c>
      <c r="AF14" s="46" t="s">
        <v>502</v>
      </c>
      <c r="AG14" s="46" t="s">
        <v>502</v>
      </c>
      <c r="AH14" s="46" t="s">
        <v>502</v>
      </c>
      <c r="AI14" s="46" t="s">
        <v>502</v>
      </c>
      <c r="AJ14" s="46" t="s">
        <v>502</v>
      </c>
      <c r="AK14" s="46" t="s">
        <v>502</v>
      </c>
      <c r="AL14" s="46" t="s">
        <v>502</v>
      </c>
      <c r="AM14" s="46" t="s">
        <v>502</v>
      </c>
      <c r="AN14" s="49" t="s">
        <v>502</v>
      </c>
      <c r="AO14" s="46" t="s">
        <v>502</v>
      </c>
      <c r="AP14" s="46" t="s">
        <v>502</v>
      </c>
      <c r="AQ14" s="49" t="s">
        <v>502</v>
      </c>
      <c r="AR14" s="46" t="s">
        <v>502</v>
      </c>
      <c r="AS14" s="46" t="s">
        <v>502</v>
      </c>
      <c r="AT14" s="49" t="s">
        <v>502</v>
      </c>
      <c r="AU14" s="46" t="s">
        <v>502</v>
      </c>
      <c r="AV14" s="46" t="s">
        <v>502</v>
      </c>
      <c r="AW14" s="49" t="s">
        <v>502</v>
      </c>
      <c r="AX14" s="46" t="s">
        <v>502</v>
      </c>
      <c r="AY14" s="46" t="s">
        <v>502</v>
      </c>
      <c r="AZ14" s="49" t="s">
        <v>502</v>
      </c>
      <c r="BA14" s="46" t="s">
        <v>502</v>
      </c>
      <c r="BB14" s="46" t="s">
        <v>502</v>
      </c>
      <c r="BC14" s="49" t="s">
        <v>502</v>
      </c>
      <c r="BD14" s="46" t="s">
        <v>502</v>
      </c>
      <c r="BE14" s="46" t="s">
        <v>502</v>
      </c>
      <c r="BF14" s="49" t="s">
        <v>502</v>
      </c>
      <c r="BG14" s="46" t="s">
        <v>502</v>
      </c>
      <c r="BH14" s="46" t="s">
        <v>502</v>
      </c>
      <c r="BI14" s="49" t="s">
        <v>502</v>
      </c>
      <c r="BJ14" s="46" t="s">
        <v>502</v>
      </c>
      <c r="BK14" s="46" t="s">
        <v>502</v>
      </c>
      <c r="BL14" s="49" t="s">
        <v>502</v>
      </c>
      <c r="BM14" s="46" t="s">
        <v>502</v>
      </c>
      <c r="BN14" s="46" t="s">
        <v>502</v>
      </c>
      <c r="BO14" s="49" t="s">
        <v>502</v>
      </c>
      <c r="BP14" s="46" t="s">
        <v>502</v>
      </c>
      <c r="BQ14" s="46" t="s">
        <v>502</v>
      </c>
      <c r="BR14" s="49" t="s">
        <v>502</v>
      </c>
      <c r="BS14" s="46" t="s">
        <v>502</v>
      </c>
      <c r="BT14" s="46" t="s">
        <v>502</v>
      </c>
      <c r="BU14" s="49" t="s">
        <v>502</v>
      </c>
      <c r="BV14" s="46" t="s">
        <v>502</v>
      </c>
      <c r="BW14" s="46" t="s">
        <v>502</v>
      </c>
      <c r="BX14" s="49" t="s">
        <v>502</v>
      </c>
      <c r="BY14" s="46" t="s">
        <v>502</v>
      </c>
      <c r="BZ14" s="46" t="s">
        <v>502</v>
      </c>
      <c r="CA14" s="49" t="s">
        <v>502</v>
      </c>
      <c r="CB14" s="46" t="s">
        <v>502</v>
      </c>
      <c r="CC14" s="46" t="s">
        <v>502</v>
      </c>
      <c r="CD14" s="49" t="s">
        <v>502</v>
      </c>
      <c r="CE14" s="46" t="s">
        <v>502</v>
      </c>
      <c r="CF14" s="46" t="s">
        <v>502</v>
      </c>
      <c r="CG14" s="49" t="s">
        <v>502</v>
      </c>
      <c r="CH14" s="46" t="s">
        <v>502</v>
      </c>
      <c r="CI14" s="46" t="s">
        <v>502</v>
      </c>
      <c r="CJ14" s="49" t="s">
        <v>502</v>
      </c>
      <c r="CK14" s="46" t="s">
        <v>502</v>
      </c>
      <c r="CL14" s="46" t="s">
        <v>502</v>
      </c>
      <c r="CM14" s="49" t="s">
        <v>502</v>
      </c>
      <c r="CN14" s="46" t="s">
        <v>502</v>
      </c>
      <c r="CO14" s="46" t="s">
        <v>502</v>
      </c>
      <c r="CP14" s="49" t="s">
        <v>502</v>
      </c>
      <c r="CQ14" s="46" t="s">
        <v>502</v>
      </c>
      <c r="CR14" s="46" t="s">
        <v>502</v>
      </c>
      <c r="CS14" s="49" t="s">
        <v>502</v>
      </c>
      <c r="CT14" s="46" t="s">
        <v>502</v>
      </c>
      <c r="CU14" s="46" t="s">
        <v>502</v>
      </c>
      <c r="CV14" s="49" t="s">
        <v>502</v>
      </c>
      <c r="CW14" s="46" t="s">
        <v>502</v>
      </c>
      <c r="CX14" s="46" t="s">
        <v>502</v>
      </c>
      <c r="CY14" s="49" t="s">
        <v>502</v>
      </c>
      <c r="CZ14" s="46" t="s">
        <v>502</v>
      </c>
      <c r="DA14" s="46" t="s">
        <v>502</v>
      </c>
      <c r="DB14" s="49" t="s">
        <v>502</v>
      </c>
      <c r="DC14" s="46" t="s">
        <v>502</v>
      </c>
      <c r="DD14" s="46" t="s">
        <v>502</v>
      </c>
      <c r="DE14" s="49" t="s">
        <v>502</v>
      </c>
      <c r="DF14" s="46" t="s">
        <v>502</v>
      </c>
      <c r="DG14" s="46" t="s">
        <v>502</v>
      </c>
      <c r="DH14" s="49" t="s">
        <v>502</v>
      </c>
      <c r="DI14" s="46" t="s">
        <v>502</v>
      </c>
      <c r="DJ14" s="46" t="s">
        <v>502</v>
      </c>
      <c r="DK14" s="49" t="s">
        <v>502</v>
      </c>
      <c r="DL14" s="46" t="s">
        <v>502</v>
      </c>
      <c r="DM14" s="46" t="s">
        <v>502</v>
      </c>
      <c r="DN14" s="49" t="s">
        <v>502</v>
      </c>
      <c r="DO14" s="46" t="s">
        <v>502</v>
      </c>
      <c r="DP14" s="46" t="s">
        <v>502</v>
      </c>
      <c r="DQ14" s="49" t="s">
        <v>502</v>
      </c>
      <c r="DR14" s="46" t="s">
        <v>502</v>
      </c>
      <c r="DS14" s="46" t="s">
        <v>502</v>
      </c>
      <c r="DT14" s="49" t="s">
        <v>502</v>
      </c>
      <c r="DU14" s="46" t="s">
        <v>502</v>
      </c>
      <c r="DV14" s="46" t="s">
        <v>502</v>
      </c>
      <c r="DW14" s="49" t="s">
        <v>502</v>
      </c>
      <c r="DX14" s="46" t="s">
        <v>502</v>
      </c>
      <c r="DY14" s="46" t="s">
        <v>502</v>
      </c>
      <c r="DZ14" s="49" t="s">
        <v>502</v>
      </c>
      <c r="EA14" s="46" t="s">
        <v>502</v>
      </c>
      <c r="EB14" s="46" t="s">
        <v>502</v>
      </c>
      <c r="EC14" s="49" t="s">
        <v>502</v>
      </c>
      <c r="ED14" s="46" t="s">
        <v>502</v>
      </c>
      <c r="EE14" s="46" t="s">
        <v>502</v>
      </c>
      <c r="EF14" s="49" t="s">
        <v>502</v>
      </c>
      <c r="EG14" s="46" t="s">
        <v>502</v>
      </c>
      <c r="EH14" s="46" t="s">
        <v>502</v>
      </c>
      <c r="EI14" s="49" t="s">
        <v>502</v>
      </c>
      <c r="EJ14" s="46" t="s">
        <v>502</v>
      </c>
      <c r="EK14" s="46" t="s">
        <v>502</v>
      </c>
      <c r="EL14" s="49" t="s">
        <v>502</v>
      </c>
      <c r="EM14" s="46" t="s">
        <v>502</v>
      </c>
      <c r="EN14" s="46" t="s">
        <v>502</v>
      </c>
      <c r="EO14" s="49" t="s">
        <v>502</v>
      </c>
      <c r="EP14" s="46" t="s">
        <v>502</v>
      </c>
      <c r="EQ14" s="46" t="s">
        <v>502</v>
      </c>
      <c r="ER14" s="49" t="s">
        <v>502</v>
      </c>
      <c r="ES14" s="46" t="s">
        <v>502</v>
      </c>
      <c r="ET14" s="46" t="s">
        <v>502</v>
      </c>
      <c r="EU14" s="49" t="s">
        <v>502</v>
      </c>
      <c r="EV14" s="46" t="s">
        <v>502</v>
      </c>
      <c r="EW14" s="46" t="s">
        <v>502</v>
      </c>
      <c r="EX14" s="49" t="s">
        <v>502</v>
      </c>
      <c r="EY14" s="46" t="s">
        <v>502</v>
      </c>
      <c r="EZ14" s="46" t="s">
        <v>502</v>
      </c>
      <c r="FA14" s="49" t="s">
        <v>502</v>
      </c>
      <c r="FB14" s="46" t="s">
        <v>502</v>
      </c>
      <c r="FC14" s="46" t="s">
        <v>502</v>
      </c>
      <c r="FD14" s="49" t="s">
        <v>502</v>
      </c>
      <c r="FE14" s="46" t="s">
        <v>502</v>
      </c>
      <c r="FF14" s="46" t="s">
        <v>502</v>
      </c>
      <c r="FG14" s="49" t="s">
        <v>502</v>
      </c>
      <c r="FH14" s="46" t="s">
        <v>502</v>
      </c>
      <c r="FI14" s="46" t="s">
        <v>502</v>
      </c>
      <c r="FJ14" s="49" t="s">
        <v>502</v>
      </c>
      <c r="FK14" s="46" t="s">
        <v>502</v>
      </c>
      <c r="FL14" s="46" t="s">
        <v>502</v>
      </c>
      <c r="FM14" s="49" t="s">
        <v>502</v>
      </c>
      <c r="FN14" s="46" t="s">
        <v>502</v>
      </c>
      <c r="FO14" s="46" t="s">
        <v>502</v>
      </c>
      <c r="FP14" s="49" t="s">
        <v>502</v>
      </c>
      <c r="FQ14" s="46" t="s">
        <v>502</v>
      </c>
      <c r="FR14" s="46" t="s">
        <v>502</v>
      </c>
      <c r="FS14" s="49" t="s">
        <v>502</v>
      </c>
      <c r="FT14" s="46" t="s">
        <v>502</v>
      </c>
      <c r="FU14" s="46" t="s">
        <v>502</v>
      </c>
      <c r="FV14" s="49" t="s">
        <v>502</v>
      </c>
      <c r="FW14" s="50">
        <f t="shared" si="7"/>
        <v>2</v>
      </c>
      <c r="FX14" s="51">
        <f t="shared" si="8"/>
        <v>1115.625</v>
      </c>
      <c r="FY14" s="46">
        <f t="shared" si="6"/>
        <v>1150</v>
      </c>
      <c r="FZ14" s="52" t="s">
        <v>504</v>
      </c>
    </row>
    <row r="15" spans="1:182" ht="177" customHeight="1" x14ac:dyDescent="0.2">
      <c r="A15" s="53">
        <v>12</v>
      </c>
      <c r="B15" s="40" t="s">
        <v>12</v>
      </c>
      <c r="C15" s="41" t="s">
        <v>115</v>
      </c>
      <c r="D15" s="59">
        <v>82101501</v>
      </c>
      <c r="E15" s="43" t="s">
        <v>116</v>
      </c>
      <c r="F15" s="44" t="s">
        <v>120</v>
      </c>
      <c r="G15" s="45" t="s">
        <v>501</v>
      </c>
      <c r="H15" s="46" t="s">
        <v>503</v>
      </c>
      <c r="I15" s="46" t="s">
        <v>503</v>
      </c>
      <c r="J15" s="46" t="s">
        <v>503</v>
      </c>
      <c r="K15" s="57">
        <v>251000</v>
      </c>
      <c r="L15" s="58">
        <f t="shared" si="32"/>
        <v>47690</v>
      </c>
      <c r="M15" s="48">
        <f t="shared" si="33"/>
        <v>298690</v>
      </c>
      <c r="N15" s="46" t="s">
        <v>503</v>
      </c>
      <c r="O15" s="46" t="s">
        <v>503</v>
      </c>
      <c r="P15" s="46" t="s">
        <v>503</v>
      </c>
      <c r="Q15" s="48">
        <v>290000</v>
      </c>
      <c r="R15" s="47">
        <f t="shared" ref="R15:R16" si="34">+Q15*19%</f>
        <v>55100</v>
      </c>
      <c r="S15" s="48">
        <f t="shared" ref="S15:S16" si="35">+Q15+R15</f>
        <v>345100</v>
      </c>
      <c r="T15" s="46" t="s">
        <v>502</v>
      </c>
      <c r="U15" s="46" t="s">
        <v>502</v>
      </c>
      <c r="V15" s="46" t="s">
        <v>502</v>
      </c>
      <c r="W15" s="46" t="s">
        <v>502</v>
      </c>
      <c r="X15" s="46" t="s">
        <v>502</v>
      </c>
      <c r="Y15" s="46" t="s">
        <v>502</v>
      </c>
      <c r="Z15" s="46" t="s">
        <v>502</v>
      </c>
      <c r="AA15" s="46" t="s">
        <v>502</v>
      </c>
      <c r="AB15" s="46" t="s">
        <v>502</v>
      </c>
      <c r="AC15" s="46" t="s">
        <v>502</v>
      </c>
      <c r="AD15" s="46" t="s">
        <v>502</v>
      </c>
      <c r="AE15" s="46" t="s">
        <v>502</v>
      </c>
      <c r="AF15" s="46" t="s">
        <v>502</v>
      </c>
      <c r="AG15" s="46" t="s">
        <v>502</v>
      </c>
      <c r="AH15" s="46" t="s">
        <v>502</v>
      </c>
      <c r="AI15" s="46" t="s">
        <v>502</v>
      </c>
      <c r="AJ15" s="46" t="s">
        <v>502</v>
      </c>
      <c r="AK15" s="46" t="s">
        <v>502</v>
      </c>
      <c r="AL15" s="46" t="s">
        <v>502</v>
      </c>
      <c r="AM15" s="46" t="s">
        <v>502</v>
      </c>
      <c r="AN15" s="49" t="s">
        <v>502</v>
      </c>
      <c r="AO15" s="46" t="s">
        <v>502</v>
      </c>
      <c r="AP15" s="46" t="s">
        <v>502</v>
      </c>
      <c r="AQ15" s="49" t="s">
        <v>502</v>
      </c>
      <c r="AR15" s="46" t="s">
        <v>502</v>
      </c>
      <c r="AS15" s="46" t="s">
        <v>502</v>
      </c>
      <c r="AT15" s="49" t="s">
        <v>502</v>
      </c>
      <c r="AU15" s="46" t="s">
        <v>502</v>
      </c>
      <c r="AV15" s="46" t="s">
        <v>502</v>
      </c>
      <c r="AW15" s="49" t="s">
        <v>502</v>
      </c>
      <c r="AX15" s="46" t="s">
        <v>502</v>
      </c>
      <c r="AY15" s="46" t="s">
        <v>502</v>
      </c>
      <c r="AZ15" s="49" t="s">
        <v>502</v>
      </c>
      <c r="BA15" s="46" t="s">
        <v>502</v>
      </c>
      <c r="BB15" s="46" t="s">
        <v>502</v>
      </c>
      <c r="BC15" s="49" t="s">
        <v>502</v>
      </c>
      <c r="BD15" s="46" t="s">
        <v>502</v>
      </c>
      <c r="BE15" s="46" t="s">
        <v>502</v>
      </c>
      <c r="BF15" s="49" t="s">
        <v>502</v>
      </c>
      <c r="BG15" s="46" t="s">
        <v>502</v>
      </c>
      <c r="BH15" s="46" t="s">
        <v>502</v>
      </c>
      <c r="BI15" s="49" t="s">
        <v>502</v>
      </c>
      <c r="BJ15" s="46" t="s">
        <v>502</v>
      </c>
      <c r="BK15" s="46" t="s">
        <v>502</v>
      </c>
      <c r="BL15" s="49" t="s">
        <v>502</v>
      </c>
      <c r="BM15" s="46" t="s">
        <v>502</v>
      </c>
      <c r="BN15" s="46" t="s">
        <v>502</v>
      </c>
      <c r="BO15" s="49" t="s">
        <v>502</v>
      </c>
      <c r="BP15" s="46" t="s">
        <v>502</v>
      </c>
      <c r="BQ15" s="46" t="s">
        <v>502</v>
      </c>
      <c r="BR15" s="49" t="s">
        <v>502</v>
      </c>
      <c r="BS15" s="46" t="s">
        <v>502</v>
      </c>
      <c r="BT15" s="46" t="s">
        <v>502</v>
      </c>
      <c r="BU15" s="49" t="s">
        <v>502</v>
      </c>
      <c r="BV15" s="46" t="s">
        <v>502</v>
      </c>
      <c r="BW15" s="46" t="s">
        <v>502</v>
      </c>
      <c r="BX15" s="49" t="s">
        <v>502</v>
      </c>
      <c r="BY15" s="46" t="s">
        <v>502</v>
      </c>
      <c r="BZ15" s="46" t="s">
        <v>502</v>
      </c>
      <c r="CA15" s="49" t="s">
        <v>502</v>
      </c>
      <c r="CB15" s="46" t="s">
        <v>502</v>
      </c>
      <c r="CC15" s="46" t="s">
        <v>502</v>
      </c>
      <c r="CD15" s="49" t="s">
        <v>502</v>
      </c>
      <c r="CE15" s="46" t="s">
        <v>502</v>
      </c>
      <c r="CF15" s="46" t="s">
        <v>502</v>
      </c>
      <c r="CG15" s="49" t="s">
        <v>502</v>
      </c>
      <c r="CH15" s="46" t="s">
        <v>502</v>
      </c>
      <c r="CI15" s="46" t="s">
        <v>502</v>
      </c>
      <c r="CJ15" s="49" t="s">
        <v>502</v>
      </c>
      <c r="CK15" s="46" t="s">
        <v>502</v>
      </c>
      <c r="CL15" s="46" t="s">
        <v>502</v>
      </c>
      <c r="CM15" s="49" t="s">
        <v>502</v>
      </c>
      <c r="CN15" s="46" t="s">
        <v>502</v>
      </c>
      <c r="CO15" s="46" t="s">
        <v>502</v>
      </c>
      <c r="CP15" s="49" t="s">
        <v>502</v>
      </c>
      <c r="CQ15" s="46" t="s">
        <v>502</v>
      </c>
      <c r="CR15" s="46" t="s">
        <v>502</v>
      </c>
      <c r="CS15" s="49" t="s">
        <v>502</v>
      </c>
      <c r="CT15" s="46" t="s">
        <v>502</v>
      </c>
      <c r="CU15" s="46" t="s">
        <v>502</v>
      </c>
      <c r="CV15" s="49" t="s">
        <v>502</v>
      </c>
      <c r="CW15" s="46" t="s">
        <v>502</v>
      </c>
      <c r="CX15" s="46" t="s">
        <v>502</v>
      </c>
      <c r="CY15" s="49" t="s">
        <v>502</v>
      </c>
      <c r="CZ15" s="46" t="s">
        <v>502</v>
      </c>
      <c r="DA15" s="46" t="s">
        <v>502</v>
      </c>
      <c r="DB15" s="49" t="s">
        <v>502</v>
      </c>
      <c r="DC15" s="46" t="s">
        <v>502</v>
      </c>
      <c r="DD15" s="46" t="s">
        <v>502</v>
      </c>
      <c r="DE15" s="49" t="s">
        <v>502</v>
      </c>
      <c r="DF15" s="46" t="s">
        <v>502</v>
      </c>
      <c r="DG15" s="46" t="s">
        <v>502</v>
      </c>
      <c r="DH15" s="49" t="s">
        <v>502</v>
      </c>
      <c r="DI15" s="46" t="s">
        <v>502</v>
      </c>
      <c r="DJ15" s="46" t="s">
        <v>502</v>
      </c>
      <c r="DK15" s="49" t="s">
        <v>502</v>
      </c>
      <c r="DL15" s="46" t="s">
        <v>502</v>
      </c>
      <c r="DM15" s="46" t="s">
        <v>502</v>
      </c>
      <c r="DN15" s="49" t="s">
        <v>502</v>
      </c>
      <c r="DO15" s="46" t="s">
        <v>502</v>
      </c>
      <c r="DP15" s="46" t="s">
        <v>502</v>
      </c>
      <c r="DQ15" s="49" t="s">
        <v>502</v>
      </c>
      <c r="DR15" s="46" t="s">
        <v>502</v>
      </c>
      <c r="DS15" s="46" t="s">
        <v>502</v>
      </c>
      <c r="DT15" s="49" t="s">
        <v>502</v>
      </c>
      <c r="DU15" s="46" t="s">
        <v>502</v>
      </c>
      <c r="DV15" s="46" t="s">
        <v>502</v>
      </c>
      <c r="DW15" s="49" t="s">
        <v>502</v>
      </c>
      <c r="DX15" s="46" t="s">
        <v>502</v>
      </c>
      <c r="DY15" s="46" t="s">
        <v>502</v>
      </c>
      <c r="DZ15" s="49" t="s">
        <v>502</v>
      </c>
      <c r="EA15" s="46" t="s">
        <v>502</v>
      </c>
      <c r="EB15" s="46" t="s">
        <v>502</v>
      </c>
      <c r="EC15" s="49" t="s">
        <v>502</v>
      </c>
      <c r="ED15" s="46" t="s">
        <v>502</v>
      </c>
      <c r="EE15" s="46" t="s">
        <v>502</v>
      </c>
      <c r="EF15" s="49" t="s">
        <v>502</v>
      </c>
      <c r="EG15" s="46" t="s">
        <v>502</v>
      </c>
      <c r="EH15" s="46" t="s">
        <v>502</v>
      </c>
      <c r="EI15" s="49" t="s">
        <v>502</v>
      </c>
      <c r="EJ15" s="46" t="s">
        <v>502</v>
      </c>
      <c r="EK15" s="46" t="s">
        <v>502</v>
      </c>
      <c r="EL15" s="49" t="s">
        <v>502</v>
      </c>
      <c r="EM15" s="46" t="s">
        <v>502</v>
      </c>
      <c r="EN15" s="46" t="s">
        <v>502</v>
      </c>
      <c r="EO15" s="49" t="s">
        <v>502</v>
      </c>
      <c r="EP15" s="46" t="s">
        <v>502</v>
      </c>
      <c r="EQ15" s="46" t="s">
        <v>502</v>
      </c>
      <c r="ER15" s="49" t="s">
        <v>502</v>
      </c>
      <c r="ES15" s="46" t="s">
        <v>502</v>
      </c>
      <c r="ET15" s="46" t="s">
        <v>502</v>
      </c>
      <c r="EU15" s="49" t="s">
        <v>502</v>
      </c>
      <c r="EV15" s="46" t="s">
        <v>502</v>
      </c>
      <c r="EW15" s="46" t="s">
        <v>502</v>
      </c>
      <c r="EX15" s="49" t="s">
        <v>502</v>
      </c>
      <c r="EY15" s="46" t="s">
        <v>502</v>
      </c>
      <c r="EZ15" s="46" t="s">
        <v>502</v>
      </c>
      <c r="FA15" s="49" t="s">
        <v>502</v>
      </c>
      <c r="FB15" s="46" t="s">
        <v>502</v>
      </c>
      <c r="FC15" s="46" t="s">
        <v>502</v>
      </c>
      <c r="FD15" s="49" t="s">
        <v>502</v>
      </c>
      <c r="FE15" s="46" t="s">
        <v>502</v>
      </c>
      <c r="FF15" s="46" t="s">
        <v>502</v>
      </c>
      <c r="FG15" s="49" t="s">
        <v>502</v>
      </c>
      <c r="FH15" s="46" t="s">
        <v>502</v>
      </c>
      <c r="FI15" s="46" t="s">
        <v>502</v>
      </c>
      <c r="FJ15" s="49" t="s">
        <v>502</v>
      </c>
      <c r="FK15" s="46" t="s">
        <v>502</v>
      </c>
      <c r="FL15" s="46" t="s">
        <v>502</v>
      </c>
      <c r="FM15" s="49" t="s">
        <v>502</v>
      </c>
      <c r="FN15" s="46" t="s">
        <v>502</v>
      </c>
      <c r="FO15" s="46" t="s">
        <v>502</v>
      </c>
      <c r="FP15" s="49" t="s">
        <v>502</v>
      </c>
      <c r="FQ15" s="46" t="s">
        <v>502</v>
      </c>
      <c r="FR15" s="46" t="s">
        <v>502</v>
      </c>
      <c r="FS15" s="49" t="s">
        <v>502</v>
      </c>
      <c r="FT15" s="46" t="s">
        <v>502</v>
      </c>
      <c r="FU15" s="46" t="s">
        <v>502</v>
      </c>
      <c r="FV15" s="49" t="s">
        <v>502</v>
      </c>
      <c r="FW15" s="50">
        <f t="shared" si="7"/>
        <v>2</v>
      </c>
      <c r="FX15" s="51">
        <f t="shared" si="8"/>
        <v>321895</v>
      </c>
      <c r="FY15" s="46">
        <f t="shared" si="6"/>
        <v>321900</v>
      </c>
      <c r="FZ15" s="52" t="s">
        <v>504</v>
      </c>
    </row>
    <row r="16" spans="1:182" ht="177" customHeight="1" x14ac:dyDescent="0.2">
      <c r="A16" s="39">
        <v>13</v>
      </c>
      <c r="B16" s="40" t="s">
        <v>12</v>
      </c>
      <c r="C16" s="41" t="s">
        <v>115</v>
      </c>
      <c r="D16" s="42">
        <v>82101501</v>
      </c>
      <c r="E16" s="43" t="s">
        <v>117</v>
      </c>
      <c r="F16" s="44" t="s">
        <v>86</v>
      </c>
      <c r="G16" s="45" t="s">
        <v>501</v>
      </c>
      <c r="H16" s="46" t="s">
        <v>503</v>
      </c>
      <c r="I16" s="46" t="s">
        <v>503</v>
      </c>
      <c r="J16" s="46" t="s">
        <v>503</v>
      </c>
      <c r="K16" s="57">
        <v>180000</v>
      </c>
      <c r="L16" s="58">
        <f>+K16*19%</f>
        <v>34200</v>
      </c>
      <c r="M16" s="48">
        <f>+K16+L16</f>
        <v>214200</v>
      </c>
      <c r="N16" s="46" t="s">
        <v>503</v>
      </c>
      <c r="O16" s="46" t="s">
        <v>503</v>
      </c>
      <c r="P16" s="46" t="s">
        <v>503</v>
      </c>
      <c r="Q16" s="48">
        <v>204480</v>
      </c>
      <c r="R16" s="47">
        <f t="shared" si="34"/>
        <v>38851.199999999997</v>
      </c>
      <c r="S16" s="48">
        <f t="shared" si="35"/>
        <v>243331.20000000001</v>
      </c>
      <c r="T16" s="46" t="s">
        <v>502</v>
      </c>
      <c r="U16" s="46" t="s">
        <v>502</v>
      </c>
      <c r="V16" s="46" t="s">
        <v>502</v>
      </c>
      <c r="W16" s="46" t="s">
        <v>502</v>
      </c>
      <c r="X16" s="46" t="s">
        <v>502</v>
      </c>
      <c r="Y16" s="46" t="s">
        <v>502</v>
      </c>
      <c r="Z16" s="46" t="s">
        <v>502</v>
      </c>
      <c r="AA16" s="46" t="s">
        <v>502</v>
      </c>
      <c r="AB16" s="46" t="s">
        <v>502</v>
      </c>
      <c r="AC16" s="46" t="s">
        <v>502</v>
      </c>
      <c r="AD16" s="46" t="s">
        <v>502</v>
      </c>
      <c r="AE16" s="46" t="s">
        <v>502</v>
      </c>
      <c r="AF16" s="46" t="s">
        <v>502</v>
      </c>
      <c r="AG16" s="46" t="s">
        <v>502</v>
      </c>
      <c r="AH16" s="46" t="s">
        <v>502</v>
      </c>
      <c r="AI16" s="46" t="s">
        <v>502</v>
      </c>
      <c r="AJ16" s="46" t="s">
        <v>502</v>
      </c>
      <c r="AK16" s="46" t="s">
        <v>502</v>
      </c>
      <c r="AL16" s="46" t="s">
        <v>502</v>
      </c>
      <c r="AM16" s="46" t="s">
        <v>502</v>
      </c>
      <c r="AN16" s="49" t="s">
        <v>502</v>
      </c>
      <c r="AO16" s="46" t="s">
        <v>502</v>
      </c>
      <c r="AP16" s="46" t="s">
        <v>502</v>
      </c>
      <c r="AQ16" s="49" t="s">
        <v>502</v>
      </c>
      <c r="AR16" s="46" t="s">
        <v>502</v>
      </c>
      <c r="AS16" s="46" t="s">
        <v>502</v>
      </c>
      <c r="AT16" s="49" t="s">
        <v>502</v>
      </c>
      <c r="AU16" s="46" t="s">
        <v>502</v>
      </c>
      <c r="AV16" s="46" t="s">
        <v>502</v>
      </c>
      <c r="AW16" s="49" t="s">
        <v>502</v>
      </c>
      <c r="AX16" s="46" t="s">
        <v>502</v>
      </c>
      <c r="AY16" s="46" t="s">
        <v>502</v>
      </c>
      <c r="AZ16" s="49" t="s">
        <v>502</v>
      </c>
      <c r="BA16" s="46" t="s">
        <v>502</v>
      </c>
      <c r="BB16" s="46" t="s">
        <v>502</v>
      </c>
      <c r="BC16" s="49" t="s">
        <v>502</v>
      </c>
      <c r="BD16" s="46" t="s">
        <v>502</v>
      </c>
      <c r="BE16" s="46" t="s">
        <v>502</v>
      </c>
      <c r="BF16" s="49" t="s">
        <v>502</v>
      </c>
      <c r="BG16" s="46" t="s">
        <v>502</v>
      </c>
      <c r="BH16" s="46" t="s">
        <v>502</v>
      </c>
      <c r="BI16" s="49" t="s">
        <v>502</v>
      </c>
      <c r="BJ16" s="46" t="s">
        <v>502</v>
      </c>
      <c r="BK16" s="46" t="s">
        <v>502</v>
      </c>
      <c r="BL16" s="49" t="s">
        <v>502</v>
      </c>
      <c r="BM16" s="46" t="s">
        <v>502</v>
      </c>
      <c r="BN16" s="46" t="s">
        <v>502</v>
      </c>
      <c r="BO16" s="49" t="s">
        <v>502</v>
      </c>
      <c r="BP16" s="46" t="s">
        <v>502</v>
      </c>
      <c r="BQ16" s="46" t="s">
        <v>502</v>
      </c>
      <c r="BR16" s="49" t="s">
        <v>502</v>
      </c>
      <c r="BS16" s="46" t="s">
        <v>502</v>
      </c>
      <c r="BT16" s="46" t="s">
        <v>502</v>
      </c>
      <c r="BU16" s="49" t="s">
        <v>502</v>
      </c>
      <c r="BV16" s="46" t="s">
        <v>502</v>
      </c>
      <c r="BW16" s="46" t="s">
        <v>502</v>
      </c>
      <c r="BX16" s="49" t="s">
        <v>502</v>
      </c>
      <c r="BY16" s="46" t="s">
        <v>502</v>
      </c>
      <c r="BZ16" s="46" t="s">
        <v>502</v>
      </c>
      <c r="CA16" s="49" t="s">
        <v>502</v>
      </c>
      <c r="CB16" s="46" t="s">
        <v>502</v>
      </c>
      <c r="CC16" s="46" t="s">
        <v>502</v>
      </c>
      <c r="CD16" s="49" t="s">
        <v>502</v>
      </c>
      <c r="CE16" s="46" t="s">
        <v>502</v>
      </c>
      <c r="CF16" s="46" t="s">
        <v>502</v>
      </c>
      <c r="CG16" s="49" t="s">
        <v>502</v>
      </c>
      <c r="CH16" s="46" t="s">
        <v>502</v>
      </c>
      <c r="CI16" s="46" t="s">
        <v>502</v>
      </c>
      <c r="CJ16" s="49" t="s">
        <v>502</v>
      </c>
      <c r="CK16" s="46" t="s">
        <v>502</v>
      </c>
      <c r="CL16" s="46" t="s">
        <v>502</v>
      </c>
      <c r="CM16" s="49" t="s">
        <v>502</v>
      </c>
      <c r="CN16" s="46" t="s">
        <v>502</v>
      </c>
      <c r="CO16" s="46" t="s">
        <v>502</v>
      </c>
      <c r="CP16" s="49" t="s">
        <v>502</v>
      </c>
      <c r="CQ16" s="46" t="s">
        <v>502</v>
      </c>
      <c r="CR16" s="46" t="s">
        <v>502</v>
      </c>
      <c r="CS16" s="49" t="s">
        <v>502</v>
      </c>
      <c r="CT16" s="46" t="s">
        <v>502</v>
      </c>
      <c r="CU16" s="46" t="s">
        <v>502</v>
      </c>
      <c r="CV16" s="49" t="s">
        <v>502</v>
      </c>
      <c r="CW16" s="46" t="s">
        <v>502</v>
      </c>
      <c r="CX16" s="46" t="s">
        <v>502</v>
      </c>
      <c r="CY16" s="49" t="s">
        <v>502</v>
      </c>
      <c r="CZ16" s="46" t="s">
        <v>502</v>
      </c>
      <c r="DA16" s="46" t="s">
        <v>502</v>
      </c>
      <c r="DB16" s="49" t="s">
        <v>502</v>
      </c>
      <c r="DC16" s="46" t="s">
        <v>502</v>
      </c>
      <c r="DD16" s="46" t="s">
        <v>502</v>
      </c>
      <c r="DE16" s="49" t="s">
        <v>502</v>
      </c>
      <c r="DF16" s="46" t="s">
        <v>502</v>
      </c>
      <c r="DG16" s="46" t="s">
        <v>502</v>
      </c>
      <c r="DH16" s="49" t="s">
        <v>502</v>
      </c>
      <c r="DI16" s="46" t="s">
        <v>502</v>
      </c>
      <c r="DJ16" s="46" t="s">
        <v>502</v>
      </c>
      <c r="DK16" s="49" t="s">
        <v>502</v>
      </c>
      <c r="DL16" s="46" t="s">
        <v>502</v>
      </c>
      <c r="DM16" s="46" t="s">
        <v>502</v>
      </c>
      <c r="DN16" s="49" t="s">
        <v>502</v>
      </c>
      <c r="DO16" s="46" t="s">
        <v>502</v>
      </c>
      <c r="DP16" s="46" t="s">
        <v>502</v>
      </c>
      <c r="DQ16" s="49" t="s">
        <v>502</v>
      </c>
      <c r="DR16" s="46" t="s">
        <v>502</v>
      </c>
      <c r="DS16" s="46" t="s">
        <v>502</v>
      </c>
      <c r="DT16" s="49" t="s">
        <v>502</v>
      </c>
      <c r="DU16" s="46" t="s">
        <v>502</v>
      </c>
      <c r="DV16" s="46" t="s">
        <v>502</v>
      </c>
      <c r="DW16" s="49" t="s">
        <v>502</v>
      </c>
      <c r="DX16" s="46" t="s">
        <v>502</v>
      </c>
      <c r="DY16" s="46" t="s">
        <v>502</v>
      </c>
      <c r="DZ16" s="49" t="s">
        <v>502</v>
      </c>
      <c r="EA16" s="46" t="s">
        <v>502</v>
      </c>
      <c r="EB16" s="46" t="s">
        <v>502</v>
      </c>
      <c r="EC16" s="49" t="s">
        <v>502</v>
      </c>
      <c r="ED16" s="46" t="s">
        <v>502</v>
      </c>
      <c r="EE16" s="46" t="s">
        <v>502</v>
      </c>
      <c r="EF16" s="49" t="s">
        <v>502</v>
      </c>
      <c r="EG16" s="46" t="s">
        <v>502</v>
      </c>
      <c r="EH16" s="46" t="s">
        <v>502</v>
      </c>
      <c r="EI16" s="49" t="s">
        <v>502</v>
      </c>
      <c r="EJ16" s="46" t="s">
        <v>502</v>
      </c>
      <c r="EK16" s="46" t="s">
        <v>502</v>
      </c>
      <c r="EL16" s="49" t="s">
        <v>502</v>
      </c>
      <c r="EM16" s="46" t="s">
        <v>502</v>
      </c>
      <c r="EN16" s="46" t="s">
        <v>502</v>
      </c>
      <c r="EO16" s="49" t="s">
        <v>502</v>
      </c>
      <c r="EP16" s="46" t="s">
        <v>502</v>
      </c>
      <c r="EQ16" s="46" t="s">
        <v>502</v>
      </c>
      <c r="ER16" s="49" t="s">
        <v>502</v>
      </c>
      <c r="ES16" s="46" t="s">
        <v>502</v>
      </c>
      <c r="ET16" s="46" t="s">
        <v>502</v>
      </c>
      <c r="EU16" s="49" t="s">
        <v>502</v>
      </c>
      <c r="EV16" s="46" t="s">
        <v>502</v>
      </c>
      <c r="EW16" s="46" t="s">
        <v>502</v>
      </c>
      <c r="EX16" s="49" t="s">
        <v>502</v>
      </c>
      <c r="EY16" s="46" t="s">
        <v>502</v>
      </c>
      <c r="EZ16" s="46" t="s">
        <v>502</v>
      </c>
      <c r="FA16" s="49" t="s">
        <v>502</v>
      </c>
      <c r="FB16" s="46" t="s">
        <v>502</v>
      </c>
      <c r="FC16" s="46" t="s">
        <v>502</v>
      </c>
      <c r="FD16" s="49" t="s">
        <v>502</v>
      </c>
      <c r="FE16" s="46" t="s">
        <v>502</v>
      </c>
      <c r="FF16" s="46" t="s">
        <v>502</v>
      </c>
      <c r="FG16" s="49" t="s">
        <v>502</v>
      </c>
      <c r="FH16" s="46" t="s">
        <v>502</v>
      </c>
      <c r="FI16" s="46" t="s">
        <v>502</v>
      </c>
      <c r="FJ16" s="49" t="s">
        <v>502</v>
      </c>
      <c r="FK16" s="46" t="s">
        <v>502</v>
      </c>
      <c r="FL16" s="46" t="s">
        <v>502</v>
      </c>
      <c r="FM16" s="49" t="s">
        <v>502</v>
      </c>
      <c r="FN16" s="46" t="s">
        <v>502</v>
      </c>
      <c r="FO16" s="46" t="s">
        <v>502</v>
      </c>
      <c r="FP16" s="49" t="s">
        <v>502</v>
      </c>
      <c r="FQ16" s="46" t="s">
        <v>502</v>
      </c>
      <c r="FR16" s="46" t="s">
        <v>502</v>
      </c>
      <c r="FS16" s="49" t="s">
        <v>502</v>
      </c>
      <c r="FT16" s="46" t="s">
        <v>502</v>
      </c>
      <c r="FU16" s="46" t="s">
        <v>502</v>
      </c>
      <c r="FV16" s="49" t="s">
        <v>502</v>
      </c>
      <c r="FW16" s="50">
        <f t="shared" si="7"/>
        <v>2</v>
      </c>
      <c r="FX16" s="51">
        <f t="shared" si="8"/>
        <v>228765.6</v>
      </c>
      <c r="FY16" s="46">
        <f t="shared" si="6"/>
        <v>228800</v>
      </c>
      <c r="FZ16" s="52" t="s">
        <v>504</v>
      </c>
    </row>
    <row r="17" spans="1:182" ht="168.75" customHeight="1" x14ac:dyDescent="0.2">
      <c r="A17" s="39">
        <v>14</v>
      </c>
      <c r="B17" s="60" t="s">
        <v>12</v>
      </c>
      <c r="C17" s="41" t="s">
        <v>335</v>
      </c>
      <c r="D17" s="42">
        <v>93141701</v>
      </c>
      <c r="E17" s="43" t="s">
        <v>336</v>
      </c>
      <c r="F17" s="44" t="s">
        <v>86</v>
      </c>
      <c r="G17" s="45" t="s">
        <v>501</v>
      </c>
      <c r="H17" s="46" t="s">
        <v>502</v>
      </c>
      <c r="I17" s="46" t="s">
        <v>502</v>
      </c>
      <c r="J17" s="46" t="s">
        <v>502</v>
      </c>
      <c r="K17" s="46" t="s">
        <v>502</v>
      </c>
      <c r="L17" s="46" t="s">
        <v>502</v>
      </c>
      <c r="M17" s="46" t="s">
        <v>502</v>
      </c>
      <c r="N17" s="46" t="s">
        <v>502</v>
      </c>
      <c r="O17" s="46" t="s">
        <v>502</v>
      </c>
      <c r="P17" s="46" t="s">
        <v>502</v>
      </c>
      <c r="Q17" s="46" t="s">
        <v>502</v>
      </c>
      <c r="R17" s="46" t="s">
        <v>502</v>
      </c>
      <c r="S17" s="46" t="s">
        <v>502</v>
      </c>
      <c r="T17" s="46" t="s">
        <v>502</v>
      </c>
      <c r="U17" s="46" t="s">
        <v>502</v>
      </c>
      <c r="V17" s="46" t="s">
        <v>502</v>
      </c>
      <c r="W17" s="46" t="s">
        <v>502</v>
      </c>
      <c r="X17" s="46" t="s">
        <v>502</v>
      </c>
      <c r="Y17" s="46" t="s">
        <v>502</v>
      </c>
      <c r="Z17" s="46" t="s">
        <v>502</v>
      </c>
      <c r="AA17" s="46" t="s">
        <v>502</v>
      </c>
      <c r="AB17" s="46" t="s">
        <v>502</v>
      </c>
      <c r="AC17" s="46" t="s">
        <v>502</v>
      </c>
      <c r="AD17" s="46" t="s">
        <v>502</v>
      </c>
      <c r="AE17" s="46" t="s">
        <v>502</v>
      </c>
      <c r="AF17" s="46" t="s">
        <v>502</v>
      </c>
      <c r="AG17" s="46" t="s">
        <v>502</v>
      </c>
      <c r="AH17" s="46" t="s">
        <v>502</v>
      </c>
      <c r="AI17" s="46" t="s">
        <v>502</v>
      </c>
      <c r="AJ17" s="46" t="s">
        <v>502</v>
      </c>
      <c r="AK17" s="46" t="s">
        <v>502</v>
      </c>
      <c r="AL17" s="46" t="s">
        <v>502</v>
      </c>
      <c r="AM17" s="46" t="s">
        <v>502</v>
      </c>
      <c r="AN17" s="49" t="s">
        <v>502</v>
      </c>
      <c r="AO17" s="46" t="s">
        <v>502</v>
      </c>
      <c r="AP17" s="46" t="s">
        <v>502</v>
      </c>
      <c r="AQ17" s="49" t="s">
        <v>502</v>
      </c>
      <c r="AR17" s="46" t="s">
        <v>502</v>
      </c>
      <c r="AS17" s="46" t="s">
        <v>502</v>
      </c>
      <c r="AT17" s="49" t="s">
        <v>502</v>
      </c>
      <c r="AU17" s="46" t="s">
        <v>502</v>
      </c>
      <c r="AV17" s="46" t="s">
        <v>502</v>
      </c>
      <c r="AW17" s="49" t="s">
        <v>502</v>
      </c>
      <c r="AX17" s="46" t="s">
        <v>502</v>
      </c>
      <c r="AY17" s="46" t="s">
        <v>502</v>
      </c>
      <c r="AZ17" s="49" t="s">
        <v>502</v>
      </c>
      <c r="BA17" s="46" t="s">
        <v>502</v>
      </c>
      <c r="BB17" s="46" t="s">
        <v>502</v>
      </c>
      <c r="BC17" s="49" t="s">
        <v>502</v>
      </c>
      <c r="BD17" s="46" t="s">
        <v>502</v>
      </c>
      <c r="BE17" s="46" t="s">
        <v>502</v>
      </c>
      <c r="BF17" s="49" t="s">
        <v>502</v>
      </c>
      <c r="BG17" s="46" t="s">
        <v>502</v>
      </c>
      <c r="BH17" s="46" t="s">
        <v>502</v>
      </c>
      <c r="BI17" s="49" t="s">
        <v>502</v>
      </c>
      <c r="BJ17" s="46" t="s">
        <v>502</v>
      </c>
      <c r="BK17" s="46" t="s">
        <v>502</v>
      </c>
      <c r="BL17" s="49" t="s">
        <v>502</v>
      </c>
      <c r="BM17" s="46" t="s">
        <v>502</v>
      </c>
      <c r="BN17" s="46" t="s">
        <v>502</v>
      </c>
      <c r="BO17" s="49" t="s">
        <v>502</v>
      </c>
      <c r="BP17" s="46">
        <v>4700000</v>
      </c>
      <c r="BQ17" s="46">
        <f>+BP17*19%</f>
        <v>893000</v>
      </c>
      <c r="BR17" s="49">
        <f>+BP17+BQ17</f>
        <v>5593000</v>
      </c>
      <c r="BS17" s="46" t="s">
        <v>502</v>
      </c>
      <c r="BT17" s="46" t="s">
        <v>502</v>
      </c>
      <c r="BU17" s="49" t="s">
        <v>502</v>
      </c>
      <c r="BV17" s="46" t="s">
        <v>502</v>
      </c>
      <c r="BW17" s="46" t="s">
        <v>502</v>
      </c>
      <c r="BX17" s="49" t="s">
        <v>502</v>
      </c>
      <c r="BY17" s="46" t="s">
        <v>502</v>
      </c>
      <c r="BZ17" s="46" t="s">
        <v>502</v>
      </c>
      <c r="CA17" s="49" t="s">
        <v>502</v>
      </c>
      <c r="CB17" s="46" t="s">
        <v>502</v>
      </c>
      <c r="CC17" s="46" t="s">
        <v>502</v>
      </c>
      <c r="CD17" s="49" t="s">
        <v>502</v>
      </c>
      <c r="CE17" s="46" t="s">
        <v>502</v>
      </c>
      <c r="CF17" s="46" t="s">
        <v>502</v>
      </c>
      <c r="CG17" s="49" t="s">
        <v>502</v>
      </c>
      <c r="CH17" s="46" t="s">
        <v>502</v>
      </c>
      <c r="CI17" s="46" t="s">
        <v>502</v>
      </c>
      <c r="CJ17" s="49" t="s">
        <v>502</v>
      </c>
      <c r="CK17" s="46" t="s">
        <v>502</v>
      </c>
      <c r="CL17" s="46" t="s">
        <v>502</v>
      </c>
      <c r="CM17" s="49" t="s">
        <v>502</v>
      </c>
      <c r="CN17" s="46" t="s">
        <v>502</v>
      </c>
      <c r="CO17" s="46" t="s">
        <v>502</v>
      </c>
      <c r="CP17" s="49" t="s">
        <v>502</v>
      </c>
      <c r="CQ17" s="46" t="s">
        <v>502</v>
      </c>
      <c r="CR17" s="46" t="s">
        <v>502</v>
      </c>
      <c r="CS17" s="49" t="s">
        <v>502</v>
      </c>
      <c r="CT17" s="46" t="s">
        <v>502</v>
      </c>
      <c r="CU17" s="46" t="s">
        <v>502</v>
      </c>
      <c r="CV17" s="49" t="s">
        <v>502</v>
      </c>
      <c r="CW17" s="46" t="s">
        <v>502</v>
      </c>
      <c r="CX17" s="46" t="s">
        <v>502</v>
      </c>
      <c r="CY17" s="49" t="s">
        <v>502</v>
      </c>
      <c r="CZ17" s="46" t="s">
        <v>502</v>
      </c>
      <c r="DA17" s="46" t="s">
        <v>502</v>
      </c>
      <c r="DB17" s="49" t="s">
        <v>502</v>
      </c>
      <c r="DC17" s="46" t="s">
        <v>502</v>
      </c>
      <c r="DD17" s="46" t="s">
        <v>502</v>
      </c>
      <c r="DE17" s="49" t="s">
        <v>502</v>
      </c>
      <c r="DF17" s="46" t="s">
        <v>502</v>
      </c>
      <c r="DG17" s="46" t="s">
        <v>502</v>
      </c>
      <c r="DH17" s="49" t="s">
        <v>502</v>
      </c>
      <c r="DI17" s="46" t="s">
        <v>502</v>
      </c>
      <c r="DJ17" s="46" t="s">
        <v>502</v>
      </c>
      <c r="DK17" s="49" t="s">
        <v>502</v>
      </c>
      <c r="DL17" s="46" t="s">
        <v>502</v>
      </c>
      <c r="DM17" s="46" t="s">
        <v>502</v>
      </c>
      <c r="DN17" s="49" t="s">
        <v>502</v>
      </c>
      <c r="DO17" s="46" t="s">
        <v>502</v>
      </c>
      <c r="DP17" s="46" t="s">
        <v>502</v>
      </c>
      <c r="DQ17" s="49" t="s">
        <v>502</v>
      </c>
      <c r="DR17" s="46" t="s">
        <v>502</v>
      </c>
      <c r="DS17" s="46" t="s">
        <v>502</v>
      </c>
      <c r="DT17" s="49" t="s">
        <v>502</v>
      </c>
      <c r="DU17" s="46" t="s">
        <v>502</v>
      </c>
      <c r="DV17" s="46" t="s">
        <v>502</v>
      </c>
      <c r="DW17" s="49" t="s">
        <v>502</v>
      </c>
      <c r="DX17" s="46" t="s">
        <v>502</v>
      </c>
      <c r="DY17" s="46" t="s">
        <v>502</v>
      </c>
      <c r="DZ17" s="49" t="s">
        <v>502</v>
      </c>
      <c r="EA17" s="46" t="s">
        <v>502</v>
      </c>
      <c r="EB17" s="46" t="s">
        <v>502</v>
      </c>
      <c r="EC17" s="49" t="s">
        <v>502</v>
      </c>
      <c r="ED17" s="46" t="s">
        <v>502</v>
      </c>
      <c r="EE17" s="46" t="s">
        <v>502</v>
      </c>
      <c r="EF17" s="49" t="s">
        <v>502</v>
      </c>
      <c r="EG17" s="46" t="s">
        <v>502</v>
      </c>
      <c r="EH17" s="46" t="s">
        <v>502</v>
      </c>
      <c r="EI17" s="49" t="s">
        <v>502</v>
      </c>
      <c r="EJ17" s="46" t="s">
        <v>502</v>
      </c>
      <c r="EK17" s="46" t="s">
        <v>502</v>
      </c>
      <c r="EL17" s="49" t="s">
        <v>502</v>
      </c>
      <c r="EM17" s="46" t="s">
        <v>502</v>
      </c>
      <c r="EN17" s="46" t="s">
        <v>502</v>
      </c>
      <c r="EO17" s="49" t="s">
        <v>502</v>
      </c>
      <c r="EP17" s="46" t="s">
        <v>502</v>
      </c>
      <c r="EQ17" s="46" t="s">
        <v>502</v>
      </c>
      <c r="ER17" s="49" t="s">
        <v>502</v>
      </c>
      <c r="ES17" s="46" t="s">
        <v>502</v>
      </c>
      <c r="ET17" s="46" t="s">
        <v>502</v>
      </c>
      <c r="EU17" s="49" t="s">
        <v>502</v>
      </c>
      <c r="EV17" s="46" t="s">
        <v>502</v>
      </c>
      <c r="EW17" s="46" t="s">
        <v>502</v>
      </c>
      <c r="EX17" s="49" t="s">
        <v>502</v>
      </c>
      <c r="EY17" s="46" t="s">
        <v>502</v>
      </c>
      <c r="EZ17" s="46" t="s">
        <v>502</v>
      </c>
      <c r="FA17" s="49" t="s">
        <v>502</v>
      </c>
      <c r="FB17" s="46" t="s">
        <v>502</v>
      </c>
      <c r="FC17" s="46" t="s">
        <v>502</v>
      </c>
      <c r="FD17" s="49" t="s">
        <v>502</v>
      </c>
      <c r="FE17" s="46" t="s">
        <v>502</v>
      </c>
      <c r="FF17" s="46" t="s">
        <v>502</v>
      </c>
      <c r="FG17" s="49" t="s">
        <v>502</v>
      </c>
      <c r="FH17" s="46" t="s">
        <v>502</v>
      </c>
      <c r="FI17" s="46" t="s">
        <v>502</v>
      </c>
      <c r="FJ17" s="49" t="s">
        <v>502</v>
      </c>
      <c r="FK17" s="46" t="s">
        <v>502</v>
      </c>
      <c r="FL17" s="46" t="s">
        <v>502</v>
      </c>
      <c r="FM17" s="49" t="s">
        <v>502</v>
      </c>
      <c r="FN17" s="46" t="s">
        <v>502</v>
      </c>
      <c r="FO17" s="46" t="s">
        <v>502</v>
      </c>
      <c r="FP17" s="49" t="s">
        <v>502</v>
      </c>
      <c r="FQ17" s="46" t="s">
        <v>502</v>
      </c>
      <c r="FR17" s="46" t="s">
        <v>502</v>
      </c>
      <c r="FS17" s="49" t="s">
        <v>502</v>
      </c>
      <c r="FT17" s="46" t="s">
        <v>502</v>
      </c>
      <c r="FU17" s="46" t="s">
        <v>502</v>
      </c>
      <c r="FV17" s="49" t="s">
        <v>502</v>
      </c>
      <c r="FW17" s="50">
        <f t="shared" si="7"/>
        <v>1</v>
      </c>
      <c r="FX17" s="51">
        <f t="shared" si="8"/>
        <v>5593000</v>
      </c>
      <c r="FY17" s="46">
        <f t="shared" si="6"/>
        <v>5593000</v>
      </c>
      <c r="FZ17" s="61" t="s">
        <v>512</v>
      </c>
    </row>
    <row r="18" spans="1:182" ht="177" customHeight="1" x14ac:dyDescent="0.2">
      <c r="A18" s="53">
        <v>15</v>
      </c>
      <c r="B18" s="40" t="s">
        <v>12</v>
      </c>
      <c r="C18" s="41" t="s">
        <v>127</v>
      </c>
      <c r="D18" s="41">
        <v>95131700</v>
      </c>
      <c r="E18" s="43" t="s">
        <v>513</v>
      </c>
      <c r="F18" s="44" t="s">
        <v>86</v>
      </c>
      <c r="G18" s="45" t="s">
        <v>501</v>
      </c>
      <c r="H18" s="46" t="s">
        <v>502</v>
      </c>
      <c r="I18" s="46" t="s">
        <v>502</v>
      </c>
      <c r="J18" s="46" t="s">
        <v>502</v>
      </c>
      <c r="K18" s="46" t="s">
        <v>502</v>
      </c>
      <c r="L18" s="46" t="s">
        <v>502</v>
      </c>
      <c r="M18" s="46" t="s">
        <v>502</v>
      </c>
      <c r="N18" s="46" t="s">
        <v>502</v>
      </c>
      <c r="O18" s="46" t="s">
        <v>502</v>
      </c>
      <c r="P18" s="46" t="s">
        <v>502</v>
      </c>
      <c r="Q18" s="46" t="s">
        <v>502</v>
      </c>
      <c r="R18" s="46" t="s">
        <v>502</v>
      </c>
      <c r="S18" s="46" t="s">
        <v>502</v>
      </c>
      <c r="T18" s="46" t="s">
        <v>502</v>
      </c>
      <c r="U18" s="46" t="s">
        <v>502</v>
      </c>
      <c r="V18" s="46" t="s">
        <v>502</v>
      </c>
      <c r="W18" s="46" t="s">
        <v>502</v>
      </c>
      <c r="X18" s="46" t="s">
        <v>502</v>
      </c>
      <c r="Y18" s="46" t="s">
        <v>502</v>
      </c>
      <c r="Z18" s="46" t="s">
        <v>502</v>
      </c>
      <c r="AA18" s="46" t="s">
        <v>502</v>
      </c>
      <c r="AB18" s="46" t="s">
        <v>502</v>
      </c>
      <c r="AC18" s="46" t="s">
        <v>502</v>
      </c>
      <c r="AD18" s="46" t="s">
        <v>502</v>
      </c>
      <c r="AE18" s="46" t="s">
        <v>502</v>
      </c>
      <c r="AF18" s="46" t="s">
        <v>502</v>
      </c>
      <c r="AG18" s="46" t="s">
        <v>502</v>
      </c>
      <c r="AH18" s="46" t="s">
        <v>502</v>
      </c>
      <c r="AI18" s="46" t="s">
        <v>502</v>
      </c>
      <c r="AJ18" s="46" t="s">
        <v>502</v>
      </c>
      <c r="AK18" s="46" t="s">
        <v>502</v>
      </c>
      <c r="AL18" s="46" t="s">
        <v>502</v>
      </c>
      <c r="AM18" s="46" t="s">
        <v>502</v>
      </c>
      <c r="AN18" s="49" t="s">
        <v>502</v>
      </c>
      <c r="AO18" s="46" t="s">
        <v>502</v>
      </c>
      <c r="AP18" s="46" t="s">
        <v>502</v>
      </c>
      <c r="AQ18" s="49" t="s">
        <v>502</v>
      </c>
      <c r="AR18" s="46" t="s">
        <v>502</v>
      </c>
      <c r="AS18" s="46" t="s">
        <v>502</v>
      </c>
      <c r="AT18" s="49" t="s">
        <v>502</v>
      </c>
      <c r="AU18" s="46" t="s">
        <v>502</v>
      </c>
      <c r="AV18" s="46" t="s">
        <v>502</v>
      </c>
      <c r="AW18" s="49" t="s">
        <v>502</v>
      </c>
      <c r="AX18" s="46" t="s">
        <v>502</v>
      </c>
      <c r="AY18" s="46" t="s">
        <v>502</v>
      </c>
      <c r="AZ18" s="49" t="s">
        <v>502</v>
      </c>
      <c r="BA18" s="46" t="s">
        <v>502</v>
      </c>
      <c r="BB18" s="46" t="s">
        <v>502</v>
      </c>
      <c r="BC18" s="49" t="s">
        <v>502</v>
      </c>
      <c r="BD18" s="46" t="s">
        <v>502</v>
      </c>
      <c r="BE18" s="46" t="s">
        <v>502</v>
      </c>
      <c r="BF18" s="49" t="s">
        <v>502</v>
      </c>
      <c r="BG18" s="46" t="s">
        <v>502</v>
      </c>
      <c r="BH18" s="46" t="s">
        <v>502</v>
      </c>
      <c r="BI18" s="49" t="s">
        <v>502</v>
      </c>
      <c r="BJ18" s="46" t="s">
        <v>502</v>
      </c>
      <c r="BK18" s="46" t="s">
        <v>502</v>
      </c>
      <c r="BL18" s="49" t="s">
        <v>502</v>
      </c>
      <c r="BM18" s="46" t="s">
        <v>502</v>
      </c>
      <c r="BN18" s="46" t="s">
        <v>502</v>
      </c>
      <c r="BO18" s="49" t="s">
        <v>502</v>
      </c>
      <c r="BP18" s="46" t="s">
        <v>502</v>
      </c>
      <c r="BQ18" s="46" t="s">
        <v>502</v>
      </c>
      <c r="BR18" s="49" t="s">
        <v>502</v>
      </c>
      <c r="BS18" s="46" t="s">
        <v>502</v>
      </c>
      <c r="BT18" s="46" t="s">
        <v>502</v>
      </c>
      <c r="BU18" s="49" t="s">
        <v>502</v>
      </c>
      <c r="BV18" s="46" t="s">
        <v>502</v>
      </c>
      <c r="BW18" s="46" t="s">
        <v>502</v>
      </c>
      <c r="BX18" s="49" t="s">
        <v>502</v>
      </c>
      <c r="BY18" s="46" t="s">
        <v>502</v>
      </c>
      <c r="BZ18" s="46" t="s">
        <v>502</v>
      </c>
      <c r="CA18" s="49" t="s">
        <v>502</v>
      </c>
      <c r="CB18" s="46" t="s">
        <v>502</v>
      </c>
      <c r="CC18" s="46" t="s">
        <v>502</v>
      </c>
      <c r="CD18" s="49" t="s">
        <v>502</v>
      </c>
      <c r="CE18" s="46" t="s">
        <v>502</v>
      </c>
      <c r="CF18" s="46" t="s">
        <v>502</v>
      </c>
      <c r="CG18" s="49" t="s">
        <v>502</v>
      </c>
      <c r="CH18" s="46" t="s">
        <v>502</v>
      </c>
      <c r="CI18" s="46" t="s">
        <v>502</v>
      </c>
      <c r="CJ18" s="49" t="s">
        <v>502</v>
      </c>
      <c r="CK18" s="46" t="s">
        <v>502</v>
      </c>
      <c r="CL18" s="46" t="s">
        <v>502</v>
      </c>
      <c r="CM18" s="49" t="s">
        <v>502</v>
      </c>
      <c r="CN18" s="46" t="s">
        <v>503</v>
      </c>
      <c r="CO18" s="46" t="s">
        <v>503</v>
      </c>
      <c r="CP18" s="46" t="s">
        <v>503</v>
      </c>
      <c r="CQ18" s="46" t="s">
        <v>502</v>
      </c>
      <c r="CR18" s="46" t="s">
        <v>502</v>
      </c>
      <c r="CS18" s="49" t="s">
        <v>502</v>
      </c>
      <c r="CT18" s="62">
        <v>160000</v>
      </c>
      <c r="CU18" s="62">
        <f t="shared" ref="CU18:CU22" si="36">+CT18*19%</f>
        <v>30400</v>
      </c>
      <c r="CV18" s="63">
        <f t="shared" ref="CV18:CV22" si="37">+CT18+CU18</f>
        <v>190400</v>
      </c>
      <c r="CW18" s="46" t="s">
        <v>502</v>
      </c>
      <c r="CX18" s="46" t="s">
        <v>502</v>
      </c>
      <c r="CY18" s="49" t="s">
        <v>502</v>
      </c>
      <c r="CZ18" s="46" t="s">
        <v>502</v>
      </c>
      <c r="DA18" s="46" t="s">
        <v>502</v>
      </c>
      <c r="DB18" s="49" t="s">
        <v>502</v>
      </c>
      <c r="DC18" s="46" t="s">
        <v>502</v>
      </c>
      <c r="DD18" s="46" t="s">
        <v>502</v>
      </c>
      <c r="DE18" s="49" t="s">
        <v>502</v>
      </c>
      <c r="DF18" s="46" t="s">
        <v>502</v>
      </c>
      <c r="DG18" s="46" t="s">
        <v>502</v>
      </c>
      <c r="DH18" s="49" t="s">
        <v>502</v>
      </c>
      <c r="DI18" s="46" t="s">
        <v>502</v>
      </c>
      <c r="DJ18" s="46" t="s">
        <v>502</v>
      </c>
      <c r="DK18" s="49" t="s">
        <v>502</v>
      </c>
      <c r="DL18" s="46" t="s">
        <v>502</v>
      </c>
      <c r="DM18" s="46" t="s">
        <v>502</v>
      </c>
      <c r="DN18" s="49" t="s">
        <v>502</v>
      </c>
      <c r="DO18" s="48">
        <v>140000</v>
      </c>
      <c r="DP18" s="48">
        <f>+DO18*19%</f>
        <v>26600</v>
      </c>
      <c r="DQ18" s="48">
        <f>+DO18+DP18</f>
        <v>166600</v>
      </c>
      <c r="DR18" s="46" t="s">
        <v>502</v>
      </c>
      <c r="DS18" s="46" t="s">
        <v>502</v>
      </c>
      <c r="DT18" s="49" t="s">
        <v>502</v>
      </c>
      <c r="DU18" s="46" t="s">
        <v>502</v>
      </c>
      <c r="DV18" s="46" t="s">
        <v>502</v>
      </c>
      <c r="DW18" s="49" t="s">
        <v>502</v>
      </c>
      <c r="DX18" s="46" t="s">
        <v>502</v>
      </c>
      <c r="DY18" s="46" t="s">
        <v>502</v>
      </c>
      <c r="DZ18" s="49" t="s">
        <v>502</v>
      </c>
      <c r="EA18" s="49">
        <f>170000/1.19</f>
        <v>142857.14285714287</v>
      </c>
      <c r="EB18" s="49">
        <f>+EA18*19%</f>
        <v>27142.857142857145</v>
      </c>
      <c r="EC18" s="49">
        <f>+EA18+EB18</f>
        <v>170000</v>
      </c>
      <c r="ED18" s="46" t="s">
        <v>502</v>
      </c>
      <c r="EE18" s="46" t="s">
        <v>502</v>
      </c>
      <c r="EF18" s="49" t="s">
        <v>502</v>
      </c>
      <c r="EG18" s="46" t="s">
        <v>502</v>
      </c>
      <c r="EH18" s="46" t="s">
        <v>502</v>
      </c>
      <c r="EI18" s="49" t="s">
        <v>502</v>
      </c>
      <c r="EJ18" s="46" t="s">
        <v>502</v>
      </c>
      <c r="EK18" s="46" t="s">
        <v>502</v>
      </c>
      <c r="EL18" s="49" t="s">
        <v>502</v>
      </c>
      <c r="EM18" s="46" t="s">
        <v>502</v>
      </c>
      <c r="EN18" s="46" t="s">
        <v>502</v>
      </c>
      <c r="EO18" s="49" t="s">
        <v>502</v>
      </c>
      <c r="EP18" s="46" t="s">
        <v>502</v>
      </c>
      <c r="EQ18" s="46" t="s">
        <v>502</v>
      </c>
      <c r="ER18" s="49" t="s">
        <v>502</v>
      </c>
      <c r="ES18" s="46" t="s">
        <v>502</v>
      </c>
      <c r="ET18" s="46" t="s">
        <v>502</v>
      </c>
      <c r="EU18" s="49" t="s">
        <v>502</v>
      </c>
      <c r="EV18" s="46" t="s">
        <v>502</v>
      </c>
      <c r="EW18" s="46" t="s">
        <v>502</v>
      </c>
      <c r="EX18" s="49" t="s">
        <v>502</v>
      </c>
      <c r="EY18" s="46" t="s">
        <v>502</v>
      </c>
      <c r="EZ18" s="46" t="s">
        <v>502</v>
      </c>
      <c r="FA18" s="49" t="s">
        <v>502</v>
      </c>
      <c r="FB18" s="46" t="s">
        <v>502</v>
      </c>
      <c r="FC18" s="46" t="s">
        <v>502</v>
      </c>
      <c r="FD18" s="49" t="s">
        <v>502</v>
      </c>
      <c r="FE18" s="46" t="s">
        <v>502</v>
      </c>
      <c r="FF18" s="46" t="s">
        <v>502</v>
      </c>
      <c r="FG18" s="49" t="s">
        <v>502</v>
      </c>
      <c r="FH18" s="46" t="s">
        <v>502</v>
      </c>
      <c r="FI18" s="46" t="s">
        <v>502</v>
      </c>
      <c r="FJ18" s="49" t="s">
        <v>502</v>
      </c>
      <c r="FK18" s="46" t="s">
        <v>502</v>
      </c>
      <c r="FL18" s="46" t="s">
        <v>502</v>
      </c>
      <c r="FM18" s="49" t="s">
        <v>502</v>
      </c>
      <c r="FN18" s="46" t="s">
        <v>502</v>
      </c>
      <c r="FO18" s="46" t="s">
        <v>502</v>
      </c>
      <c r="FP18" s="49" t="s">
        <v>502</v>
      </c>
      <c r="FQ18" s="46" t="s">
        <v>502</v>
      </c>
      <c r="FR18" s="46" t="s">
        <v>502</v>
      </c>
      <c r="FS18" s="49" t="s">
        <v>502</v>
      </c>
      <c r="FT18" s="46" t="s">
        <v>502</v>
      </c>
      <c r="FU18" s="46" t="s">
        <v>502</v>
      </c>
      <c r="FV18" s="49" t="s">
        <v>502</v>
      </c>
      <c r="FW18" s="50">
        <f t="shared" si="7"/>
        <v>3</v>
      </c>
      <c r="FX18" s="51">
        <f t="shared" si="8"/>
        <v>175666.66666666666</v>
      </c>
      <c r="FY18" s="46">
        <f t="shared" si="6"/>
        <v>175700</v>
      </c>
      <c r="FZ18" s="52" t="s">
        <v>504</v>
      </c>
    </row>
    <row r="19" spans="1:182" ht="177" customHeight="1" x14ac:dyDescent="0.2">
      <c r="A19" s="39">
        <v>16</v>
      </c>
      <c r="B19" s="40" t="s">
        <v>12</v>
      </c>
      <c r="C19" s="41" t="s">
        <v>301</v>
      </c>
      <c r="D19" s="41">
        <v>95131700</v>
      </c>
      <c r="E19" s="43" t="s">
        <v>332</v>
      </c>
      <c r="F19" s="44" t="s">
        <v>86</v>
      </c>
      <c r="G19" s="45" t="s">
        <v>501</v>
      </c>
      <c r="H19" s="46" t="s">
        <v>502</v>
      </c>
      <c r="I19" s="46" t="s">
        <v>502</v>
      </c>
      <c r="J19" s="46" t="s">
        <v>502</v>
      </c>
      <c r="K19" s="46" t="s">
        <v>502</v>
      </c>
      <c r="L19" s="46" t="s">
        <v>502</v>
      </c>
      <c r="M19" s="46" t="s">
        <v>502</v>
      </c>
      <c r="N19" s="46" t="s">
        <v>502</v>
      </c>
      <c r="O19" s="46" t="s">
        <v>502</v>
      </c>
      <c r="P19" s="46" t="s">
        <v>502</v>
      </c>
      <c r="Q19" s="46" t="s">
        <v>502</v>
      </c>
      <c r="R19" s="46" t="s">
        <v>502</v>
      </c>
      <c r="S19" s="46" t="s">
        <v>502</v>
      </c>
      <c r="T19" s="46" t="s">
        <v>502</v>
      </c>
      <c r="U19" s="46" t="s">
        <v>502</v>
      </c>
      <c r="V19" s="46" t="s">
        <v>502</v>
      </c>
      <c r="W19" s="46" t="s">
        <v>502</v>
      </c>
      <c r="X19" s="46" t="s">
        <v>502</v>
      </c>
      <c r="Y19" s="46" t="s">
        <v>502</v>
      </c>
      <c r="Z19" s="46" t="s">
        <v>502</v>
      </c>
      <c r="AA19" s="46" t="s">
        <v>502</v>
      </c>
      <c r="AB19" s="46" t="s">
        <v>502</v>
      </c>
      <c r="AC19" s="46" t="s">
        <v>502</v>
      </c>
      <c r="AD19" s="46" t="s">
        <v>502</v>
      </c>
      <c r="AE19" s="46" t="s">
        <v>502</v>
      </c>
      <c r="AF19" s="46" t="s">
        <v>502</v>
      </c>
      <c r="AG19" s="46" t="s">
        <v>502</v>
      </c>
      <c r="AH19" s="46" t="s">
        <v>502</v>
      </c>
      <c r="AI19" s="46" t="s">
        <v>502</v>
      </c>
      <c r="AJ19" s="46" t="s">
        <v>502</v>
      </c>
      <c r="AK19" s="46" t="s">
        <v>502</v>
      </c>
      <c r="AL19" s="46" t="s">
        <v>502</v>
      </c>
      <c r="AM19" s="46" t="s">
        <v>502</v>
      </c>
      <c r="AN19" s="49" t="s">
        <v>502</v>
      </c>
      <c r="AO19" s="46" t="s">
        <v>502</v>
      </c>
      <c r="AP19" s="46" t="s">
        <v>502</v>
      </c>
      <c r="AQ19" s="49" t="s">
        <v>502</v>
      </c>
      <c r="AR19" s="46" t="s">
        <v>502</v>
      </c>
      <c r="AS19" s="46" t="s">
        <v>502</v>
      </c>
      <c r="AT19" s="49" t="s">
        <v>502</v>
      </c>
      <c r="AU19" s="46" t="s">
        <v>502</v>
      </c>
      <c r="AV19" s="46" t="s">
        <v>502</v>
      </c>
      <c r="AW19" s="49" t="s">
        <v>502</v>
      </c>
      <c r="AX19" s="46" t="s">
        <v>502</v>
      </c>
      <c r="AY19" s="46" t="s">
        <v>502</v>
      </c>
      <c r="AZ19" s="49" t="s">
        <v>502</v>
      </c>
      <c r="BA19" s="46" t="s">
        <v>502</v>
      </c>
      <c r="BB19" s="46" t="s">
        <v>502</v>
      </c>
      <c r="BC19" s="49" t="s">
        <v>502</v>
      </c>
      <c r="BD19" s="46" t="s">
        <v>502</v>
      </c>
      <c r="BE19" s="46" t="s">
        <v>502</v>
      </c>
      <c r="BF19" s="49" t="s">
        <v>502</v>
      </c>
      <c r="BG19" s="46" t="s">
        <v>502</v>
      </c>
      <c r="BH19" s="46" t="s">
        <v>502</v>
      </c>
      <c r="BI19" s="49" t="s">
        <v>502</v>
      </c>
      <c r="BJ19" s="46" t="s">
        <v>502</v>
      </c>
      <c r="BK19" s="46" t="s">
        <v>502</v>
      </c>
      <c r="BL19" s="49" t="s">
        <v>502</v>
      </c>
      <c r="BM19" s="46" t="s">
        <v>502</v>
      </c>
      <c r="BN19" s="46" t="s">
        <v>502</v>
      </c>
      <c r="BO19" s="49" t="s">
        <v>502</v>
      </c>
      <c r="BP19" s="46" t="s">
        <v>502</v>
      </c>
      <c r="BQ19" s="46" t="s">
        <v>502</v>
      </c>
      <c r="BR19" s="49" t="s">
        <v>502</v>
      </c>
      <c r="BS19" s="46" t="s">
        <v>502</v>
      </c>
      <c r="BT19" s="46" t="s">
        <v>502</v>
      </c>
      <c r="BU19" s="49" t="s">
        <v>502</v>
      </c>
      <c r="BV19" s="46" t="s">
        <v>502</v>
      </c>
      <c r="BW19" s="46" t="s">
        <v>502</v>
      </c>
      <c r="BX19" s="49" t="s">
        <v>502</v>
      </c>
      <c r="BY19" s="46" t="s">
        <v>502</v>
      </c>
      <c r="BZ19" s="46" t="s">
        <v>502</v>
      </c>
      <c r="CA19" s="49" t="s">
        <v>502</v>
      </c>
      <c r="CB19" s="46" t="s">
        <v>502</v>
      </c>
      <c r="CC19" s="46" t="s">
        <v>502</v>
      </c>
      <c r="CD19" s="49" t="s">
        <v>502</v>
      </c>
      <c r="CE19" s="46" t="s">
        <v>502</v>
      </c>
      <c r="CF19" s="46" t="s">
        <v>502</v>
      </c>
      <c r="CG19" s="49" t="s">
        <v>502</v>
      </c>
      <c r="CH19" s="46" t="s">
        <v>502</v>
      </c>
      <c r="CI19" s="46" t="s">
        <v>502</v>
      </c>
      <c r="CJ19" s="49" t="s">
        <v>502</v>
      </c>
      <c r="CK19" s="46" t="s">
        <v>502</v>
      </c>
      <c r="CL19" s="46" t="s">
        <v>502</v>
      </c>
      <c r="CM19" s="49" t="s">
        <v>502</v>
      </c>
      <c r="CN19" s="46" t="s">
        <v>503</v>
      </c>
      <c r="CO19" s="46" t="s">
        <v>503</v>
      </c>
      <c r="CP19" s="46" t="s">
        <v>503</v>
      </c>
      <c r="CQ19" s="46" t="s">
        <v>502</v>
      </c>
      <c r="CR19" s="46" t="s">
        <v>502</v>
      </c>
      <c r="CS19" s="49" t="s">
        <v>502</v>
      </c>
      <c r="CT19" s="62">
        <v>190000</v>
      </c>
      <c r="CU19" s="62">
        <f t="shared" si="36"/>
        <v>36100</v>
      </c>
      <c r="CV19" s="63">
        <f t="shared" si="37"/>
        <v>226100</v>
      </c>
      <c r="CW19" s="46" t="s">
        <v>502</v>
      </c>
      <c r="CX19" s="46" t="s">
        <v>502</v>
      </c>
      <c r="CY19" s="49" t="s">
        <v>502</v>
      </c>
      <c r="CZ19" s="46" t="s">
        <v>502</v>
      </c>
      <c r="DA19" s="46" t="s">
        <v>502</v>
      </c>
      <c r="DB19" s="49" t="s">
        <v>502</v>
      </c>
      <c r="DC19" s="46" t="s">
        <v>502</v>
      </c>
      <c r="DD19" s="46" t="s">
        <v>502</v>
      </c>
      <c r="DE19" s="49" t="s">
        <v>502</v>
      </c>
      <c r="DF19" s="46" t="s">
        <v>502</v>
      </c>
      <c r="DG19" s="46" t="s">
        <v>502</v>
      </c>
      <c r="DH19" s="49" t="s">
        <v>502</v>
      </c>
      <c r="DI19" s="46" t="s">
        <v>502</v>
      </c>
      <c r="DJ19" s="46" t="s">
        <v>502</v>
      </c>
      <c r="DK19" s="49" t="s">
        <v>502</v>
      </c>
      <c r="DL19" s="46" t="s">
        <v>502</v>
      </c>
      <c r="DM19" s="46" t="s">
        <v>502</v>
      </c>
      <c r="DN19" s="49" t="s">
        <v>502</v>
      </c>
      <c r="DO19" s="46">
        <v>180000</v>
      </c>
      <c r="DP19" s="48">
        <f>+DO19*19%</f>
        <v>34200</v>
      </c>
      <c r="DQ19" s="48">
        <f>+DO19+DP19</f>
        <v>214200</v>
      </c>
      <c r="DR19" s="46" t="s">
        <v>502</v>
      </c>
      <c r="DS19" s="46" t="s">
        <v>502</v>
      </c>
      <c r="DT19" s="49" t="s">
        <v>502</v>
      </c>
      <c r="DU19" s="46" t="s">
        <v>502</v>
      </c>
      <c r="DV19" s="46" t="s">
        <v>502</v>
      </c>
      <c r="DW19" s="49" t="s">
        <v>502</v>
      </c>
      <c r="DX19" s="46" t="s">
        <v>502</v>
      </c>
      <c r="DY19" s="46" t="s">
        <v>502</v>
      </c>
      <c r="DZ19" s="49" t="s">
        <v>502</v>
      </c>
      <c r="EA19" s="49">
        <f>190000/1.19</f>
        <v>159663.8655462185</v>
      </c>
      <c r="EB19" s="49">
        <f t="shared" ref="EB19:EB20" si="38">+EA19*19%</f>
        <v>30336.134453781517</v>
      </c>
      <c r="EC19" s="49">
        <f t="shared" ref="EC19:EC20" si="39">+EA19+EB19</f>
        <v>190000</v>
      </c>
      <c r="ED19" s="46" t="s">
        <v>502</v>
      </c>
      <c r="EE19" s="46" t="s">
        <v>502</v>
      </c>
      <c r="EF19" s="49" t="s">
        <v>502</v>
      </c>
      <c r="EG19" s="46" t="s">
        <v>502</v>
      </c>
      <c r="EH19" s="46" t="s">
        <v>502</v>
      </c>
      <c r="EI19" s="49" t="s">
        <v>502</v>
      </c>
      <c r="EJ19" s="46" t="s">
        <v>502</v>
      </c>
      <c r="EK19" s="46" t="s">
        <v>502</v>
      </c>
      <c r="EL19" s="49" t="s">
        <v>502</v>
      </c>
      <c r="EM19" s="46" t="s">
        <v>502</v>
      </c>
      <c r="EN19" s="46" t="s">
        <v>502</v>
      </c>
      <c r="EO19" s="49" t="s">
        <v>502</v>
      </c>
      <c r="EP19" s="46" t="s">
        <v>502</v>
      </c>
      <c r="EQ19" s="46" t="s">
        <v>502</v>
      </c>
      <c r="ER19" s="49" t="s">
        <v>502</v>
      </c>
      <c r="ES19" s="46" t="s">
        <v>502</v>
      </c>
      <c r="ET19" s="46" t="s">
        <v>502</v>
      </c>
      <c r="EU19" s="49" t="s">
        <v>502</v>
      </c>
      <c r="EV19" s="46" t="s">
        <v>502</v>
      </c>
      <c r="EW19" s="46" t="s">
        <v>502</v>
      </c>
      <c r="EX19" s="49" t="s">
        <v>502</v>
      </c>
      <c r="EY19" s="46" t="s">
        <v>502</v>
      </c>
      <c r="EZ19" s="46" t="s">
        <v>502</v>
      </c>
      <c r="FA19" s="49" t="s">
        <v>502</v>
      </c>
      <c r="FB19" s="46" t="s">
        <v>502</v>
      </c>
      <c r="FC19" s="46" t="s">
        <v>502</v>
      </c>
      <c r="FD19" s="49" t="s">
        <v>502</v>
      </c>
      <c r="FE19" s="46" t="s">
        <v>502</v>
      </c>
      <c r="FF19" s="46" t="s">
        <v>502</v>
      </c>
      <c r="FG19" s="49" t="s">
        <v>502</v>
      </c>
      <c r="FH19" s="46" t="s">
        <v>502</v>
      </c>
      <c r="FI19" s="46" t="s">
        <v>502</v>
      </c>
      <c r="FJ19" s="49" t="s">
        <v>502</v>
      </c>
      <c r="FK19" s="46" t="s">
        <v>502</v>
      </c>
      <c r="FL19" s="46" t="s">
        <v>502</v>
      </c>
      <c r="FM19" s="49" t="s">
        <v>502</v>
      </c>
      <c r="FN19" s="46" t="s">
        <v>502</v>
      </c>
      <c r="FO19" s="46" t="s">
        <v>502</v>
      </c>
      <c r="FP19" s="49" t="s">
        <v>502</v>
      </c>
      <c r="FQ19" s="46" t="s">
        <v>502</v>
      </c>
      <c r="FR19" s="46" t="s">
        <v>502</v>
      </c>
      <c r="FS19" s="49" t="s">
        <v>502</v>
      </c>
      <c r="FT19" s="46" t="s">
        <v>502</v>
      </c>
      <c r="FU19" s="46" t="s">
        <v>502</v>
      </c>
      <c r="FV19" s="49" t="s">
        <v>502</v>
      </c>
      <c r="FW19" s="50">
        <f t="shared" si="7"/>
        <v>3</v>
      </c>
      <c r="FX19" s="51">
        <f t="shared" si="8"/>
        <v>210100</v>
      </c>
      <c r="FY19" s="46">
        <f t="shared" si="6"/>
        <v>210100</v>
      </c>
      <c r="FZ19" s="52" t="s">
        <v>504</v>
      </c>
    </row>
    <row r="20" spans="1:182" ht="147" customHeight="1" x14ac:dyDescent="0.2">
      <c r="A20" s="39">
        <v>17</v>
      </c>
      <c r="B20" s="40" t="s">
        <v>12</v>
      </c>
      <c r="C20" s="41" t="s">
        <v>302</v>
      </c>
      <c r="D20" s="41">
        <v>95131700</v>
      </c>
      <c r="E20" s="43" t="s">
        <v>333</v>
      </c>
      <c r="F20" s="44" t="s">
        <v>86</v>
      </c>
      <c r="G20" s="45" t="s">
        <v>501</v>
      </c>
      <c r="H20" s="46" t="s">
        <v>502</v>
      </c>
      <c r="I20" s="46" t="s">
        <v>502</v>
      </c>
      <c r="J20" s="46" t="s">
        <v>502</v>
      </c>
      <c r="K20" s="46" t="s">
        <v>502</v>
      </c>
      <c r="L20" s="46" t="s">
        <v>502</v>
      </c>
      <c r="M20" s="46" t="s">
        <v>502</v>
      </c>
      <c r="N20" s="46" t="s">
        <v>502</v>
      </c>
      <c r="O20" s="46" t="s">
        <v>502</v>
      </c>
      <c r="P20" s="46" t="s">
        <v>502</v>
      </c>
      <c r="Q20" s="46" t="s">
        <v>502</v>
      </c>
      <c r="R20" s="46" t="s">
        <v>502</v>
      </c>
      <c r="S20" s="46" t="s">
        <v>502</v>
      </c>
      <c r="T20" s="46" t="s">
        <v>502</v>
      </c>
      <c r="U20" s="46" t="s">
        <v>502</v>
      </c>
      <c r="V20" s="46" t="s">
        <v>502</v>
      </c>
      <c r="W20" s="46" t="s">
        <v>502</v>
      </c>
      <c r="X20" s="46" t="s">
        <v>502</v>
      </c>
      <c r="Y20" s="46" t="s">
        <v>502</v>
      </c>
      <c r="Z20" s="46" t="s">
        <v>502</v>
      </c>
      <c r="AA20" s="46" t="s">
        <v>502</v>
      </c>
      <c r="AB20" s="46" t="s">
        <v>502</v>
      </c>
      <c r="AC20" s="46" t="s">
        <v>502</v>
      </c>
      <c r="AD20" s="46" t="s">
        <v>502</v>
      </c>
      <c r="AE20" s="46" t="s">
        <v>502</v>
      </c>
      <c r="AF20" s="46" t="s">
        <v>502</v>
      </c>
      <c r="AG20" s="46" t="s">
        <v>502</v>
      </c>
      <c r="AH20" s="46" t="s">
        <v>502</v>
      </c>
      <c r="AI20" s="46" t="s">
        <v>502</v>
      </c>
      <c r="AJ20" s="46" t="s">
        <v>502</v>
      </c>
      <c r="AK20" s="46" t="s">
        <v>502</v>
      </c>
      <c r="AL20" s="46" t="s">
        <v>502</v>
      </c>
      <c r="AM20" s="46" t="s">
        <v>502</v>
      </c>
      <c r="AN20" s="49" t="s">
        <v>502</v>
      </c>
      <c r="AO20" s="46" t="s">
        <v>502</v>
      </c>
      <c r="AP20" s="46" t="s">
        <v>502</v>
      </c>
      <c r="AQ20" s="49" t="s">
        <v>502</v>
      </c>
      <c r="AR20" s="46" t="s">
        <v>502</v>
      </c>
      <c r="AS20" s="46" t="s">
        <v>502</v>
      </c>
      <c r="AT20" s="49" t="s">
        <v>502</v>
      </c>
      <c r="AU20" s="46" t="s">
        <v>502</v>
      </c>
      <c r="AV20" s="46" t="s">
        <v>502</v>
      </c>
      <c r="AW20" s="49" t="s">
        <v>502</v>
      </c>
      <c r="AX20" s="46" t="s">
        <v>502</v>
      </c>
      <c r="AY20" s="46" t="s">
        <v>502</v>
      </c>
      <c r="AZ20" s="49" t="s">
        <v>502</v>
      </c>
      <c r="BA20" s="46" t="s">
        <v>502</v>
      </c>
      <c r="BB20" s="46" t="s">
        <v>502</v>
      </c>
      <c r="BC20" s="49" t="s">
        <v>502</v>
      </c>
      <c r="BD20" s="46" t="s">
        <v>502</v>
      </c>
      <c r="BE20" s="46" t="s">
        <v>502</v>
      </c>
      <c r="BF20" s="49" t="s">
        <v>502</v>
      </c>
      <c r="BG20" s="46" t="s">
        <v>502</v>
      </c>
      <c r="BH20" s="46" t="s">
        <v>502</v>
      </c>
      <c r="BI20" s="49" t="s">
        <v>502</v>
      </c>
      <c r="BJ20" s="46" t="s">
        <v>502</v>
      </c>
      <c r="BK20" s="46" t="s">
        <v>502</v>
      </c>
      <c r="BL20" s="49" t="s">
        <v>502</v>
      </c>
      <c r="BM20" s="46" t="s">
        <v>502</v>
      </c>
      <c r="BN20" s="46" t="s">
        <v>502</v>
      </c>
      <c r="BO20" s="49" t="s">
        <v>502</v>
      </c>
      <c r="BP20" s="46" t="s">
        <v>502</v>
      </c>
      <c r="BQ20" s="46" t="s">
        <v>502</v>
      </c>
      <c r="BR20" s="49" t="s">
        <v>502</v>
      </c>
      <c r="BS20" s="46" t="s">
        <v>502</v>
      </c>
      <c r="BT20" s="46" t="s">
        <v>502</v>
      </c>
      <c r="BU20" s="49" t="s">
        <v>502</v>
      </c>
      <c r="BV20" s="46" t="s">
        <v>502</v>
      </c>
      <c r="BW20" s="46" t="s">
        <v>502</v>
      </c>
      <c r="BX20" s="49" t="s">
        <v>502</v>
      </c>
      <c r="BY20" s="46" t="s">
        <v>502</v>
      </c>
      <c r="BZ20" s="46" t="s">
        <v>502</v>
      </c>
      <c r="CA20" s="49" t="s">
        <v>502</v>
      </c>
      <c r="CB20" s="46" t="s">
        <v>502</v>
      </c>
      <c r="CC20" s="46" t="s">
        <v>502</v>
      </c>
      <c r="CD20" s="49" t="s">
        <v>502</v>
      </c>
      <c r="CE20" s="46" t="s">
        <v>502</v>
      </c>
      <c r="CF20" s="46" t="s">
        <v>502</v>
      </c>
      <c r="CG20" s="49" t="s">
        <v>502</v>
      </c>
      <c r="CH20" s="46" t="s">
        <v>502</v>
      </c>
      <c r="CI20" s="46" t="s">
        <v>502</v>
      </c>
      <c r="CJ20" s="49" t="s">
        <v>502</v>
      </c>
      <c r="CK20" s="46" t="s">
        <v>502</v>
      </c>
      <c r="CL20" s="46" t="s">
        <v>502</v>
      </c>
      <c r="CM20" s="49" t="s">
        <v>502</v>
      </c>
      <c r="CN20" s="46" t="s">
        <v>503</v>
      </c>
      <c r="CO20" s="46" t="s">
        <v>503</v>
      </c>
      <c r="CP20" s="46" t="s">
        <v>503</v>
      </c>
      <c r="CQ20" s="46" t="s">
        <v>502</v>
      </c>
      <c r="CR20" s="46" t="s">
        <v>502</v>
      </c>
      <c r="CS20" s="49" t="s">
        <v>502</v>
      </c>
      <c r="CT20" s="62">
        <v>230000</v>
      </c>
      <c r="CU20" s="62">
        <f t="shared" si="36"/>
        <v>43700</v>
      </c>
      <c r="CV20" s="63">
        <f t="shared" si="37"/>
        <v>273700</v>
      </c>
      <c r="CW20" s="46" t="s">
        <v>502</v>
      </c>
      <c r="CX20" s="46" t="s">
        <v>502</v>
      </c>
      <c r="CY20" s="49" t="s">
        <v>502</v>
      </c>
      <c r="CZ20" s="46" t="s">
        <v>502</v>
      </c>
      <c r="DA20" s="46" t="s">
        <v>502</v>
      </c>
      <c r="DB20" s="49" t="s">
        <v>502</v>
      </c>
      <c r="DC20" s="46" t="s">
        <v>502</v>
      </c>
      <c r="DD20" s="46" t="s">
        <v>502</v>
      </c>
      <c r="DE20" s="49" t="s">
        <v>502</v>
      </c>
      <c r="DF20" s="46" t="s">
        <v>502</v>
      </c>
      <c r="DG20" s="46" t="s">
        <v>502</v>
      </c>
      <c r="DH20" s="49" t="s">
        <v>502</v>
      </c>
      <c r="DI20" s="46" t="s">
        <v>502</v>
      </c>
      <c r="DJ20" s="46" t="s">
        <v>502</v>
      </c>
      <c r="DK20" s="49" t="s">
        <v>502</v>
      </c>
      <c r="DL20" s="46" t="s">
        <v>502</v>
      </c>
      <c r="DM20" s="46" t="s">
        <v>502</v>
      </c>
      <c r="DN20" s="49" t="s">
        <v>502</v>
      </c>
      <c r="DO20" s="46">
        <v>220000</v>
      </c>
      <c r="DP20" s="48">
        <f t="shared" ref="DP20:DP22" si="40">+DO20*19%</f>
        <v>41800</v>
      </c>
      <c r="DQ20" s="48">
        <f t="shared" ref="DQ20:DQ22" si="41">+DO20+DP20</f>
        <v>261800</v>
      </c>
      <c r="DR20" s="46" t="s">
        <v>502</v>
      </c>
      <c r="DS20" s="46" t="s">
        <v>502</v>
      </c>
      <c r="DT20" s="49" t="s">
        <v>502</v>
      </c>
      <c r="DU20" s="46" t="s">
        <v>502</v>
      </c>
      <c r="DV20" s="46" t="s">
        <v>502</v>
      </c>
      <c r="DW20" s="49" t="s">
        <v>502</v>
      </c>
      <c r="DX20" s="46" t="s">
        <v>502</v>
      </c>
      <c r="DY20" s="46" t="s">
        <v>502</v>
      </c>
      <c r="DZ20" s="49" t="s">
        <v>502</v>
      </c>
      <c r="EA20" s="49">
        <f>290000/1.19</f>
        <v>243697.47899159664</v>
      </c>
      <c r="EB20" s="49">
        <f t="shared" si="38"/>
        <v>46302.521008403361</v>
      </c>
      <c r="EC20" s="49">
        <f t="shared" si="39"/>
        <v>290000</v>
      </c>
      <c r="ED20" s="46" t="s">
        <v>502</v>
      </c>
      <c r="EE20" s="46" t="s">
        <v>502</v>
      </c>
      <c r="EF20" s="49" t="s">
        <v>502</v>
      </c>
      <c r="EG20" s="46" t="s">
        <v>502</v>
      </c>
      <c r="EH20" s="46" t="s">
        <v>502</v>
      </c>
      <c r="EI20" s="49" t="s">
        <v>502</v>
      </c>
      <c r="EJ20" s="46" t="s">
        <v>502</v>
      </c>
      <c r="EK20" s="46" t="s">
        <v>502</v>
      </c>
      <c r="EL20" s="49" t="s">
        <v>502</v>
      </c>
      <c r="EM20" s="46" t="s">
        <v>502</v>
      </c>
      <c r="EN20" s="46" t="s">
        <v>502</v>
      </c>
      <c r="EO20" s="49" t="s">
        <v>502</v>
      </c>
      <c r="EP20" s="46" t="s">
        <v>502</v>
      </c>
      <c r="EQ20" s="46" t="s">
        <v>502</v>
      </c>
      <c r="ER20" s="49" t="s">
        <v>502</v>
      </c>
      <c r="ES20" s="46" t="s">
        <v>502</v>
      </c>
      <c r="ET20" s="46" t="s">
        <v>502</v>
      </c>
      <c r="EU20" s="49" t="s">
        <v>502</v>
      </c>
      <c r="EV20" s="46" t="s">
        <v>502</v>
      </c>
      <c r="EW20" s="46" t="s">
        <v>502</v>
      </c>
      <c r="EX20" s="49" t="s">
        <v>502</v>
      </c>
      <c r="EY20" s="46" t="s">
        <v>502</v>
      </c>
      <c r="EZ20" s="46" t="s">
        <v>502</v>
      </c>
      <c r="FA20" s="49" t="s">
        <v>502</v>
      </c>
      <c r="FB20" s="46" t="s">
        <v>502</v>
      </c>
      <c r="FC20" s="46" t="s">
        <v>502</v>
      </c>
      <c r="FD20" s="49" t="s">
        <v>502</v>
      </c>
      <c r="FE20" s="46" t="s">
        <v>502</v>
      </c>
      <c r="FF20" s="46" t="s">
        <v>502</v>
      </c>
      <c r="FG20" s="49" t="s">
        <v>502</v>
      </c>
      <c r="FH20" s="46" t="s">
        <v>502</v>
      </c>
      <c r="FI20" s="46" t="s">
        <v>502</v>
      </c>
      <c r="FJ20" s="49" t="s">
        <v>502</v>
      </c>
      <c r="FK20" s="46" t="s">
        <v>502</v>
      </c>
      <c r="FL20" s="46" t="s">
        <v>502</v>
      </c>
      <c r="FM20" s="49" t="s">
        <v>502</v>
      </c>
      <c r="FN20" s="46" t="s">
        <v>502</v>
      </c>
      <c r="FO20" s="46" t="s">
        <v>502</v>
      </c>
      <c r="FP20" s="49" t="s">
        <v>502</v>
      </c>
      <c r="FQ20" s="46" t="s">
        <v>502</v>
      </c>
      <c r="FR20" s="46" t="s">
        <v>502</v>
      </c>
      <c r="FS20" s="49" t="s">
        <v>502</v>
      </c>
      <c r="FT20" s="46" t="s">
        <v>502</v>
      </c>
      <c r="FU20" s="46" t="s">
        <v>502</v>
      </c>
      <c r="FV20" s="49" t="s">
        <v>502</v>
      </c>
      <c r="FW20" s="50">
        <f t="shared" si="7"/>
        <v>3</v>
      </c>
      <c r="FX20" s="51">
        <f t="shared" si="8"/>
        <v>275166.66666666669</v>
      </c>
      <c r="FY20" s="46">
        <f t="shared" si="6"/>
        <v>275200</v>
      </c>
      <c r="FZ20" s="52" t="s">
        <v>504</v>
      </c>
    </row>
    <row r="21" spans="1:182" ht="127.5" customHeight="1" x14ac:dyDescent="0.2">
      <c r="A21" s="53">
        <v>18</v>
      </c>
      <c r="B21" s="40" t="s">
        <v>12</v>
      </c>
      <c r="C21" s="41" t="s">
        <v>129</v>
      </c>
      <c r="D21" s="42">
        <v>90101602</v>
      </c>
      <c r="E21" s="43" t="s">
        <v>130</v>
      </c>
      <c r="F21" s="44" t="s">
        <v>86</v>
      </c>
      <c r="G21" s="45" t="s">
        <v>501</v>
      </c>
      <c r="H21" s="46" t="s">
        <v>502</v>
      </c>
      <c r="I21" s="46" t="s">
        <v>502</v>
      </c>
      <c r="J21" s="46" t="s">
        <v>502</v>
      </c>
      <c r="K21" s="46" t="s">
        <v>502</v>
      </c>
      <c r="L21" s="46" t="s">
        <v>502</v>
      </c>
      <c r="M21" s="46" t="s">
        <v>502</v>
      </c>
      <c r="N21" s="46" t="s">
        <v>502</v>
      </c>
      <c r="O21" s="46" t="s">
        <v>502</v>
      </c>
      <c r="P21" s="46" t="s">
        <v>502</v>
      </c>
      <c r="Q21" s="46" t="s">
        <v>502</v>
      </c>
      <c r="R21" s="46" t="s">
        <v>502</v>
      </c>
      <c r="S21" s="46" t="s">
        <v>502</v>
      </c>
      <c r="T21" s="46" t="s">
        <v>502</v>
      </c>
      <c r="U21" s="46" t="s">
        <v>502</v>
      </c>
      <c r="V21" s="46" t="s">
        <v>502</v>
      </c>
      <c r="W21" s="46" t="s">
        <v>502</v>
      </c>
      <c r="X21" s="46" t="s">
        <v>502</v>
      </c>
      <c r="Y21" s="46" t="s">
        <v>502</v>
      </c>
      <c r="Z21" s="46" t="s">
        <v>502</v>
      </c>
      <c r="AA21" s="46" t="s">
        <v>502</v>
      </c>
      <c r="AB21" s="46" t="s">
        <v>502</v>
      </c>
      <c r="AC21" s="46" t="s">
        <v>502</v>
      </c>
      <c r="AD21" s="46" t="s">
        <v>502</v>
      </c>
      <c r="AE21" s="46" t="s">
        <v>502</v>
      </c>
      <c r="AF21" s="46" t="s">
        <v>502</v>
      </c>
      <c r="AG21" s="46" t="s">
        <v>502</v>
      </c>
      <c r="AH21" s="46" t="s">
        <v>502</v>
      </c>
      <c r="AI21" s="46" t="s">
        <v>502</v>
      </c>
      <c r="AJ21" s="46" t="s">
        <v>502</v>
      </c>
      <c r="AK21" s="46" t="s">
        <v>502</v>
      </c>
      <c r="AL21" s="46" t="s">
        <v>502</v>
      </c>
      <c r="AM21" s="46" t="s">
        <v>502</v>
      </c>
      <c r="AN21" s="49" t="s">
        <v>502</v>
      </c>
      <c r="AO21" s="46" t="s">
        <v>502</v>
      </c>
      <c r="AP21" s="46" t="s">
        <v>502</v>
      </c>
      <c r="AQ21" s="49" t="s">
        <v>502</v>
      </c>
      <c r="AR21" s="46" t="s">
        <v>502</v>
      </c>
      <c r="AS21" s="46" t="s">
        <v>502</v>
      </c>
      <c r="AT21" s="49" t="s">
        <v>502</v>
      </c>
      <c r="AU21" s="46" t="s">
        <v>502</v>
      </c>
      <c r="AV21" s="46" t="s">
        <v>502</v>
      </c>
      <c r="AW21" s="49" t="s">
        <v>502</v>
      </c>
      <c r="AX21" s="46" t="s">
        <v>502</v>
      </c>
      <c r="AY21" s="46" t="s">
        <v>502</v>
      </c>
      <c r="AZ21" s="49" t="s">
        <v>502</v>
      </c>
      <c r="BA21" s="46" t="s">
        <v>502</v>
      </c>
      <c r="BB21" s="46" t="s">
        <v>502</v>
      </c>
      <c r="BC21" s="49" t="s">
        <v>502</v>
      </c>
      <c r="BD21" s="46" t="s">
        <v>502</v>
      </c>
      <c r="BE21" s="46" t="s">
        <v>502</v>
      </c>
      <c r="BF21" s="49" t="s">
        <v>502</v>
      </c>
      <c r="BG21" s="46" t="s">
        <v>502</v>
      </c>
      <c r="BH21" s="46" t="s">
        <v>502</v>
      </c>
      <c r="BI21" s="49" t="s">
        <v>502</v>
      </c>
      <c r="BJ21" s="46" t="s">
        <v>502</v>
      </c>
      <c r="BK21" s="46" t="s">
        <v>502</v>
      </c>
      <c r="BL21" s="49" t="s">
        <v>502</v>
      </c>
      <c r="BM21" s="46" t="s">
        <v>502</v>
      </c>
      <c r="BN21" s="46" t="s">
        <v>502</v>
      </c>
      <c r="BO21" s="49" t="s">
        <v>502</v>
      </c>
      <c r="BP21" s="46" t="s">
        <v>502</v>
      </c>
      <c r="BQ21" s="46" t="s">
        <v>502</v>
      </c>
      <c r="BR21" s="49" t="s">
        <v>502</v>
      </c>
      <c r="BS21" s="46" t="s">
        <v>502</v>
      </c>
      <c r="BT21" s="46" t="s">
        <v>502</v>
      </c>
      <c r="BU21" s="49" t="s">
        <v>502</v>
      </c>
      <c r="BV21" s="46" t="s">
        <v>502</v>
      </c>
      <c r="BW21" s="46" t="s">
        <v>502</v>
      </c>
      <c r="BX21" s="49" t="s">
        <v>502</v>
      </c>
      <c r="BY21" s="46" t="s">
        <v>502</v>
      </c>
      <c r="BZ21" s="46" t="s">
        <v>502</v>
      </c>
      <c r="CA21" s="49" t="s">
        <v>502</v>
      </c>
      <c r="CB21" s="46" t="s">
        <v>502</v>
      </c>
      <c r="CC21" s="46" t="s">
        <v>502</v>
      </c>
      <c r="CD21" s="49" t="s">
        <v>502</v>
      </c>
      <c r="CE21" s="46" t="s">
        <v>502</v>
      </c>
      <c r="CF21" s="46" t="s">
        <v>502</v>
      </c>
      <c r="CG21" s="49" t="s">
        <v>502</v>
      </c>
      <c r="CH21" s="46" t="s">
        <v>502</v>
      </c>
      <c r="CI21" s="46" t="s">
        <v>502</v>
      </c>
      <c r="CJ21" s="49" t="s">
        <v>502</v>
      </c>
      <c r="CK21" s="46" t="s">
        <v>502</v>
      </c>
      <c r="CL21" s="46" t="s">
        <v>502</v>
      </c>
      <c r="CM21" s="49" t="s">
        <v>502</v>
      </c>
      <c r="CN21" s="46" t="s">
        <v>502</v>
      </c>
      <c r="CO21" s="46" t="s">
        <v>502</v>
      </c>
      <c r="CP21" s="49" t="s">
        <v>502</v>
      </c>
      <c r="CQ21" s="46" t="s">
        <v>502</v>
      </c>
      <c r="CR21" s="46" t="s">
        <v>502</v>
      </c>
      <c r="CS21" s="49" t="s">
        <v>502</v>
      </c>
      <c r="CT21" s="62">
        <v>2200000</v>
      </c>
      <c r="CU21" s="62">
        <f t="shared" si="36"/>
        <v>418000</v>
      </c>
      <c r="CV21" s="63">
        <f t="shared" si="37"/>
        <v>2618000</v>
      </c>
      <c r="CW21" s="46" t="s">
        <v>502</v>
      </c>
      <c r="CX21" s="46" t="s">
        <v>502</v>
      </c>
      <c r="CY21" s="49" t="s">
        <v>502</v>
      </c>
      <c r="CZ21" s="46" t="s">
        <v>502</v>
      </c>
      <c r="DA21" s="46" t="s">
        <v>502</v>
      </c>
      <c r="DB21" s="49" t="s">
        <v>502</v>
      </c>
      <c r="DC21" s="46" t="s">
        <v>502</v>
      </c>
      <c r="DD21" s="46" t="s">
        <v>502</v>
      </c>
      <c r="DE21" s="49" t="s">
        <v>502</v>
      </c>
      <c r="DF21" s="46" t="s">
        <v>502</v>
      </c>
      <c r="DG21" s="46" t="s">
        <v>502</v>
      </c>
      <c r="DH21" s="49" t="s">
        <v>502</v>
      </c>
      <c r="DI21" s="46" t="s">
        <v>502</v>
      </c>
      <c r="DJ21" s="46" t="s">
        <v>502</v>
      </c>
      <c r="DK21" s="49" t="s">
        <v>502</v>
      </c>
      <c r="DL21" s="46" t="s">
        <v>502</v>
      </c>
      <c r="DM21" s="46" t="s">
        <v>502</v>
      </c>
      <c r="DN21" s="49" t="s">
        <v>502</v>
      </c>
      <c r="DO21" s="46">
        <v>2200000</v>
      </c>
      <c r="DP21" s="48">
        <f t="shared" si="40"/>
        <v>418000</v>
      </c>
      <c r="DQ21" s="48">
        <f t="shared" si="41"/>
        <v>2618000</v>
      </c>
      <c r="DR21" s="46" t="s">
        <v>502</v>
      </c>
      <c r="DS21" s="46" t="s">
        <v>502</v>
      </c>
      <c r="DT21" s="49" t="s">
        <v>502</v>
      </c>
      <c r="DU21" s="46" t="s">
        <v>502</v>
      </c>
      <c r="DV21" s="46" t="s">
        <v>502</v>
      </c>
      <c r="DW21" s="49" t="s">
        <v>502</v>
      </c>
      <c r="DX21" s="46" t="s">
        <v>502</v>
      </c>
      <c r="DY21" s="46" t="s">
        <v>502</v>
      </c>
      <c r="DZ21" s="49" t="s">
        <v>502</v>
      </c>
      <c r="EA21" s="46" t="s">
        <v>502</v>
      </c>
      <c r="EB21" s="46" t="s">
        <v>502</v>
      </c>
      <c r="EC21" s="49" t="s">
        <v>502</v>
      </c>
      <c r="ED21" s="46" t="s">
        <v>502</v>
      </c>
      <c r="EE21" s="46" t="s">
        <v>502</v>
      </c>
      <c r="EF21" s="49" t="s">
        <v>502</v>
      </c>
      <c r="EG21" s="46" t="s">
        <v>502</v>
      </c>
      <c r="EH21" s="46" t="s">
        <v>502</v>
      </c>
      <c r="EI21" s="49" t="s">
        <v>502</v>
      </c>
      <c r="EJ21" s="46" t="s">
        <v>502</v>
      </c>
      <c r="EK21" s="46" t="s">
        <v>502</v>
      </c>
      <c r="EL21" s="49" t="s">
        <v>502</v>
      </c>
      <c r="EM21" s="46" t="s">
        <v>502</v>
      </c>
      <c r="EN21" s="46" t="s">
        <v>502</v>
      </c>
      <c r="EO21" s="49" t="s">
        <v>502</v>
      </c>
      <c r="EP21" s="46" t="s">
        <v>502</v>
      </c>
      <c r="EQ21" s="46" t="s">
        <v>502</v>
      </c>
      <c r="ER21" s="49" t="s">
        <v>502</v>
      </c>
      <c r="ES21" s="46" t="s">
        <v>502</v>
      </c>
      <c r="ET21" s="46" t="s">
        <v>502</v>
      </c>
      <c r="EU21" s="49" t="s">
        <v>502</v>
      </c>
      <c r="EV21" s="46" t="s">
        <v>502</v>
      </c>
      <c r="EW21" s="46" t="s">
        <v>502</v>
      </c>
      <c r="EX21" s="49" t="s">
        <v>502</v>
      </c>
      <c r="EY21" s="46" t="s">
        <v>502</v>
      </c>
      <c r="EZ21" s="46" t="s">
        <v>502</v>
      </c>
      <c r="FA21" s="49" t="s">
        <v>502</v>
      </c>
      <c r="FB21" s="46" t="s">
        <v>502</v>
      </c>
      <c r="FC21" s="46" t="s">
        <v>502</v>
      </c>
      <c r="FD21" s="49" t="s">
        <v>502</v>
      </c>
      <c r="FE21" s="46" t="s">
        <v>502</v>
      </c>
      <c r="FF21" s="46" t="s">
        <v>502</v>
      </c>
      <c r="FG21" s="49" t="s">
        <v>502</v>
      </c>
      <c r="FH21" s="46" t="s">
        <v>502</v>
      </c>
      <c r="FI21" s="46" t="s">
        <v>502</v>
      </c>
      <c r="FJ21" s="49" t="s">
        <v>502</v>
      </c>
      <c r="FK21" s="46" t="s">
        <v>502</v>
      </c>
      <c r="FL21" s="46" t="s">
        <v>502</v>
      </c>
      <c r="FM21" s="49" t="s">
        <v>502</v>
      </c>
      <c r="FN21" s="46" t="s">
        <v>502</v>
      </c>
      <c r="FO21" s="46" t="s">
        <v>502</v>
      </c>
      <c r="FP21" s="49" t="s">
        <v>502</v>
      </c>
      <c r="FQ21" s="46" t="s">
        <v>502</v>
      </c>
      <c r="FR21" s="46" t="s">
        <v>502</v>
      </c>
      <c r="FS21" s="49" t="s">
        <v>502</v>
      </c>
      <c r="FT21" s="46" t="s">
        <v>502</v>
      </c>
      <c r="FU21" s="46" t="s">
        <v>502</v>
      </c>
      <c r="FV21" s="49" t="s">
        <v>502</v>
      </c>
      <c r="FW21" s="50">
        <f t="shared" si="7"/>
        <v>2</v>
      </c>
      <c r="FX21" s="51">
        <f t="shared" si="8"/>
        <v>2618000</v>
      </c>
      <c r="FY21" s="46">
        <f t="shared" si="6"/>
        <v>2618000</v>
      </c>
      <c r="FZ21" s="52" t="s">
        <v>504</v>
      </c>
    </row>
    <row r="22" spans="1:182" ht="127.5" customHeight="1" x14ac:dyDescent="0.2">
      <c r="A22" s="39">
        <v>19</v>
      </c>
      <c r="B22" s="40" t="s">
        <v>12</v>
      </c>
      <c r="C22" s="41" t="s">
        <v>131</v>
      </c>
      <c r="D22" s="42">
        <v>90101602</v>
      </c>
      <c r="E22" s="43" t="s">
        <v>132</v>
      </c>
      <c r="F22" s="44" t="s">
        <v>86</v>
      </c>
      <c r="G22" s="45" t="s">
        <v>501</v>
      </c>
      <c r="H22" s="46" t="s">
        <v>502</v>
      </c>
      <c r="I22" s="46" t="s">
        <v>502</v>
      </c>
      <c r="J22" s="46" t="s">
        <v>502</v>
      </c>
      <c r="K22" s="46" t="s">
        <v>502</v>
      </c>
      <c r="L22" s="46" t="s">
        <v>502</v>
      </c>
      <c r="M22" s="46" t="s">
        <v>502</v>
      </c>
      <c r="N22" s="46" t="s">
        <v>502</v>
      </c>
      <c r="O22" s="46" t="s">
        <v>502</v>
      </c>
      <c r="P22" s="46" t="s">
        <v>502</v>
      </c>
      <c r="Q22" s="46" t="s">
        <v>502</v>
      </c>
      <c r="R22" s="46" t="s">
        <v>502</v>
      </c>
      <c r="S22" s="46" t="s">
        <v>502</v>
      </c>
      <c r="T22" s="46" t="s">
        <v>502</v>
      </c>
      <c r="U22" s="46" t="s">
        <v>502</v>
      </c>
      <c r="V22" s="46" t="s">
        <v>502</v>
      </c>
      <c r="W22" s="46" t="s">
        <v>502</v>
      </c>
      <c r="X22" s="46" t="s">
        <v>502</v>
      </c>
      <c r="Y22" s="46" t="s">
        <v>502</v>
      </c>
      <c r="Z22" s="46" t="s">
        <v>502</v>
      </c>
      <c r="AA22" s="46" t="s">
        <v>502</v>
      </c>
      <c r="AB22" s="46" t="s">
        <v>502</v>
      </c>
      <c r="AC22" s="46" t="s">
        <v>502</v>
      </c>
      <c r="AD22" s="46" t="s">
        <v>502</v>
      </c>
      <c r="AE22" s="46" t="s">
        <v>502</v>
      </c>
      <c r="AF22" s="46" t="s">
        <v>502</v>
      </c>
      <c r="AG22" s="46" t="s">
        <v>502</v>
      </c>
      <c r="AH22" s="46" t="s">
        <v>502</v>
      </c>
      <c r="AI22" s="46" t="s">
        <v>502</v>
      </c>
      <c r="AJ22" s="46" t="s">
        <v>502</v>
      </c>
      <c r="AK22" s="46" t="s">
        <v>502</v>
      </c>
      <c r="AL22" s="46" t="s">
        <v>502</v>
      </c>
      <c r="AM22" s="46" t="s">
        <v>502</v>
      </c>
      <c r="AN22" s="49" t="s">
        <v>502</v>
      </c>
      <c r="AO22" s="46" t="s">
        <v>502</v>
      </c>
      <c r="AP22" s="46" t="s">
        <v>502</v>
      </c>
      <c r="AQ22" s="49" t="s">
        <v>502</v>
      </c>
      <c r="AR22" s="46" t="s">
        <v>502</v>
      </c>
      <c r="AS22" s="46" t="s">
        <v>502</v>
      </c>
      <c r="AT22" s="49" t="s">
        <v>502</v>
      </c>
      <c r="AU22" s="46" t="s">
        <v>502</v>
      </c>
      <c r="AV22" s="46" t="s">
        <v>502</v>
      </c>
      <c r="AW22" s="49" t="s">
        <v>502</v>
      </c>
      <c r="AX22" s="46" t="s">
        <v>502</v>
      </c>
      <c r="AY22" s="46" t="s">
        <v>502</v>
      </c>
      <c r="AZ22" s="49" t="s">
        <v>502</v>
      </c>
      <c r="BA22" s="46" t="s">
        <v>502</v>
      </c>
      <c r="BB22" s="46" t="s">
        <v>502</v>
      </c>
      <c r="BC22" s="49" t="s">
        <v>502</v>
      </c>
      <c r="BD22" s="46" t="s">
        <v>502</v>
      </c>
      <c r="BE22" s="46" t="s">
        <v>502</v>
      </c>
      <c r="BF22" s="49" t="s">
        <v>502</v>
      </c>
      <c r="BG22" s="49">
        <v>710000</v>
      </c>
      <c r="BH22" s="49">
        <f>+BG22*19%</f>
        <v>134900</v>
      </c>
      <c r="BI22" s="49">
        <f>+BG22+BH22</f>
        <v>844900</v>
      </c>
      <c r="BJ22" s="46" t="s">
        <v>502</v>
      </c>
      <c r="BK22" s="46" t="s">
        <v>502</v>
      </c>
      <c r="BL22" s="49" t="s">
        <v>502</v>
      </c>
      <c r="BM22" s="46" t="s">
        <v>502</v>
      </c>
      <c r="BN22" s="46" t="s">
        <v>502</v>
      </c>
      <c r="BO22" s="49" t="s">
        <v>502</v>
      </c>
      <c r="BP22" s="46" t="s">
        <v>502</v>
      </c>
      <c r="BQ22" s="46" t="s">
        <v>502</v>
      </c>
      <c r="BR22" s="49" t="s">
        <v>502</v>
      </c>
      <c r="BS22" s="46" t="s">
        <v>502</v>
      </c>
      <c r="BT22" s="46" t="s">
        <v>502</v>
      </c>
      <c r="BU22" s="49" t="s">
        <v>502</v>
      </c>
      <c r="BV22" s="46" t="s">
        <v>502</v>
      </c>
      <c r="BW22" s="46" t="s">
        <v>502</v>
      </c>
      <c r="BX22" s="49" t="s">
        <v>502</v>
      </c>
      <c r="BY22" s="46" t="s">
        <v>502</v>
      </c>
      <c r="BZ22" s="46" t="s">
        <v>502</v>
      </c>
      <c r="CA22" s="49" t="s">
        <v>502</v>
      </c>
      <c r="CB22" s="46" t="s">
        <v>502</v>
      </c>
      <c r="CC22" s="46" t="s">
        <v>502</v>
      </c>
      <c r="CD22" s="49" t="s">
        <v>502</v>
      </c>
      <c r="CE22" s="46" t="s">
        <v>502</v>
      </c>
      <c r="CF22" s="46" t="s">
        <v>502</v>
      </c>
      <c r="CG22" s="49" t="s">
        <v>502</v>
      </c>
      <c r="CH22" s="46" t="s">
        <v>502</v>
      </c>
      <c r="CI22" s="46" t="s">
        <v>502</v>
      </c>
      <c r="CJ22" s="49" t="s">
        <v>502</v>
      </c>
      <c r="CK22" s="46" t="s">
        <v>502</v>
      </c>
      <c r="CL22" s="46" t="s">
        <v>502</v>
      </c>
      <c r="CM22" s="49" t="s">
        <v>502</v>
      </c>
      <c r="CN22" s="46" t="s">
        <v>502</v>
      </c>
      <c r="CO22" s="46" t="s">
        <v>502</v>
      </c>
      <c r="CP22" s="49" t="s">
        <v>502</v>
      </c>
      <c r="CQ22" s="46" t="s">
        <v>502</v>
      </c>
      <c r="CR22" s="46" t="s">
        <v>502</v>
      </c>
      <c r="CS22" s="49" t="s">
        <v>502</v>
      </c>
      <c r="CT22" s="64">
        <v>900000</v>
      </c>
      <c r="CU22" s="64">
        <f t="shared" si="36"/>
        <v>171000</v>
      </c>
      <c r="CV22" s="64">
        <f t="shared" si="37"/>
        <v>1071000</v>
      </c>
      <c r="CW22" s="46" t="s">
        <v>502</v>
      </c>
      <c r="CX22" s="46" t="s">
        <v>502</v>
      </c>
      <c r="CY22" s="49" t="s">
        <v>502</v>
      </c>
      <c r="CZ22" s="46" t="s">
        <v>502</v>
      </c>
      <c r="DA22" s="46" t="s">
        <v>502</v>
      </c>
      <c r="DB22" s="49" t="s">
        <v>502</v>
      </c>
      <c r="DC22" s="46" t="s">
        <v>502</v>
      </c>
      <c r="DD22" s="46" t="s">
        <v>502</v>
      </c>
      <c r="DE22" s="49" t="s">
        <v>502</v>
      </c>
      <c r="DF22" s="46" t="s">
        <v>502</v>
      </c>
      <c r="DG22" s="46" t="s">
        <v>502</v>
      </c>
      <c r="DH22" s="49" t="s">
        <v>502</v>
      </c>
      <c r="DI22" s="46" t="s">
        <v>502</v>
      </c>
      <c r="DJ22" s="46" t="s">
        <v>502</v>
      </c>
      <c r="DK22" s="49" t="s">
        <v>502</v>
      </c>
      <c r="DL22" s="46" t="s">
        <v>502</v>
      </c>
      <c r="DM22" s="46" t="s">
        <v>502</v>
      </c>
      <c r="DN22" s="49" t="s">
        <v>502</v>
      </c>
      <c r="DO22" s="46">
        <v>600000</v>
      </c>
      <c r="DP22" s="48">
        <f t="shared" si="40"/>
        <v>114000</v>
      </c>
      <c r="DQ22" s="48">
        <f t="shared" si="41"/>
        <v>714000</v>
      </c>
      <c r="DR22" s="46" t="s">
        <v>502</v>
      </c>
      <c r="DS22" s="46" t="s">
        <v>502</v>
      </c>
      <c r="DT22" s="49" t="s">
        <v>502</v>
      </c>
      <c r="DU22" s="46" t="s">
        <v>502</v>
      </c>
      <c r="DV22" s="46" t="s">
        <v>502</v>
      </c>
      <c r="DW22" s="49" t="s">
        <v>502</v>
      </c>
      <c r="DX22" s="46" t="s">
        <v>502</v>
      </c>
      <c r="DY22" s="46" t="s">
        <v>502</v>
      </c>
      <c r="DZ22" s="49" t="s">
        <v>502</v>
      </c>
      <c r="EA22" s="46" t="s">
        <v>502</v>
      </c>
      <c r="EB22" s="46" t="s">
        <v>502</v>
      </c>
      <c r="EC22" s="49" t="s">
        <v>502</v>
      </c>
      <c r="ED22" s="46" t="s">
        <v>502</v>
      </c>
      <c r="EE22" s="46" t="s">
        <v>502</v>
      </c>
      <c r="EF22" s="49" t="s">
        <v>502</v>
      </c>
      <c r="EG22" s="46" t="s">
        <v>502</v>
      </c>
      <c r="EH22" s="46" t="s">
        <v>502</v>
      </c>
      <c r="EI22" s="49" t="s">
        <v>502</v>
      </c>
      <c r="EJ22" s="46" t="s">
        <v>502</v>
      </c>
      <c r="EK22" s="46" t="s">
        <v>502</v>
      </c>
      <c r="EL22" s="49" t="s">
        <v>502</v>
      </c>
      <c r="EM22" s="46" t="s">
        <v>502</v>
      </c>
      <c r="EN22" s="46" t="s">
        <v>502</v>
      </c>
      <c r="EO22" s="49" t="s">
        <v>502</v>
      </c>
      <c r="EP22" s="46" t="s">
        <v>502</v>
      </c>
      <c r="EQ22" s="46" t="s">
        <v>502</v>
      </c>
      <c r="ER22" s="49" t="s">
        <v>502</v>
      </c>
      <c r="ES22" s="46" t="s">
        <v>502</v>
      </c>
      <c r="ET22" s="46" t="s">
        <v>502</v>
      </c>
      <c r="EU22" s="49" t="s">
        <v>502</v>
      </c>
      <c r="EV22" s="46" t="s">
        <v>502</v>
      </c>
      <c r="EW22" s="46" t="s">
        <v>502</v>
      </c>
      <c r="EX22" s="49" t="s">
        <v>502</v>
      </c>
      <c r="EY22" s="46" t="s">
        <v>502</v>
      </c>
      <c r="EZ22" s="46" t="s">
        <v>502</v>
      </c>
      <c r="FA22" s="49" t="s">
        <v>502</v>
      </c>
      <c r="FB22" s="46" t="s">
        <v>502</v>
      </c>
      <c r="FC22" s="46" t="s">
        <v>502</v>
      </c>
      <c r="FD22" s="49" t="s">
        <v>502</v>
      </c>
      <c r="FE22" s="46" t="s">
        <v>502</v>
      </c>
      <c r="FF22" s="46" t="s">
        <v>502</v>
      </c>
      <c r="FG22" s="49" t="s">
        <v>502</v>
      </c>
      <c r="FH22" s="46" t="s">
        <v>502</v>
      </c>
      <c r="FI22" s="46" t="s">
        <v>502</v>
      </c>
      <c r="FJ22" s="49" t="s">
        <v>502</v>
      </c>
      <c r="FK22" s="46" t="s">
        <v>502</v>
      </c>
      <c r="FL22" s="46" t="s">
        <v>502</v>
      </c>
      <c r="FM22" s="49" t="s">
        <v>502</v>
      </c>
      <c r="FN22" s="46" t="s">
        <v>502</v>
      </c>
      <c r="FO22" s="46" t="s">
        <v>502</v>
      </c>
      <c r="FP22" s="49" t="s">
        <v>502</v>
      </c>
      <c r="FQ22" s="46" t="s">
        <v>502</v>
      </c>
      <c r="FR22" s="46" t="s">
        <v>502</v>
      </c>
      <c r="FS22" s="49" t="s">
        <v>502</v>
      </c>
      <c r="FT22" s="46" t="s">
        <v>502</v>
      </c>
      <c r="FU22" s="46" t="s">
        <v>502</v>
      </c>
      <c r="FV22" s="49" t="s">
        <v>502</v>
      </c>
      <c r="FW22" s="50">
        <f t="shared" si="7"/>
        <v>3</v>
      </c>
      <c r="FX22" s="51">
        <f t="shared" si="8"/>
        <v>876633.33333333337</v>
      </c>
      <c r="FY22" s="46">
        <f t="shared" si="6"/>
        <v>876650</v>
      </c>
      <c r="FZ22" s="52" t="s">
        <v>504</v>
      </c>
    </row>
    <row r="23" spans="1:182" ht="127.5" customHeight="1" x14ac:dyDescent="0.2">
      <c r="A23" s="39">
        <v>20</v>
      </c>
      <c r="B23" s="60" t="s">
        <v>12</v>
      </c>
      <c r="C23" s="41" t="s">
        <v>136</v>
      </c>
      <c r="D23" s="65">
        <v>80141600</v>
      </c>
      <c r="E23" s="43" t="s">
        <v>514</v>
      </c>
      <c r="F23" s="44" t="s">
        <v>54</v>
      </c>
      <c r="G23" s="66" t="s">
        <v>501</v>
      </c>
      <c r="H23" s="46" t="s">
        <v>502</v>
      </c>
      <c r="I23" s="46" t="s">
        <v>502</v>
      </c>
      <c r="J23" s="46" t="s">
        <v>502</v>
      </c>
      <c r="K23" s="46" t="s">
        <v>502</v>
      </c>
      <c r="L23" s="46" t="s">
        <v>502</v>
      </c>
      <c r="M23" s="46" t="s">
        <v>502</v>
      </c>
      <c r="N23" s="46" t="s">
        <v>502</v>
      </c>
      <c r="O23" s="46" t="s">
        <v>502</v>
      </c>
      <c r="P23" s="46" t="s">
        <v>502</v>
      </c>
      <c r="Q23" s="46" t="s">
        <v>502</v>
      </c>
      <c r="R23" s="46" t="s">
        <v>502</v>
      </c>
      <c r="S23" s="46" t="s">
        <v>502</v>
      </c>
      <c r="T23" s="46" t="s">
        <v>502</v>
      </c>
      <c r="U23" s="46" t="s">
        <v>502</v>
      </c>
      <c r="V23" s="46" t="s">
        <v>502</v>
      </c>
      <c r="W23" s="46" t="s">
        <v>502</v>
      </c>
      <c r="X23" s="46" t="s">
        <v>502</v>
      </c>
      <c r="Y23" s="46" t="s">
        <v>502</v>
      </c>
      <c r="Z23" s="46" t="s">
        <v>502</v>
      </c>
      <c r="AA23" s="46" t="s">
        <v>502</v>
      </c>
      <c r="AB23" s="46" t="s">
        <v>502</v>
      </c>
      <c r="AC23" s="46" t="s">
        <v>502</v>
      </c>
      <c r="AD23" s="46" t="s">
        <v>502</v>
      </c>
      <c r="AE23" s="46" t="s">
        <v>502</v>
      </c>
      <c r="AF23" s="46" t="s">
        <v>502</v>
      </c>
      <c r="AG23" s="46" t="s">
        <v>502</v>
      </c>
      <c r="AH23" s="46" t="s">
        <v>502</v>
      </c>
      <c r="AI23" s="46" t="s">
        <v>502</v>
      </c>
      <c r="AJ23" s="46" t="s">
        <v>502</v>
      </c>
      <c r="AK23" s="46" t="s">
        <v>502</v>
      </c>
      <c r="AL23" s="46" t="s">
        <v>502</v>
      </c>
      <c r="AM23" s="46" t="s">
        <v>502</v>
      </c>
      <c r="AN23" s="49" t="s">
        <v>502</v>
      </c>
      <c r="AO23" s="46" t="s">
        <v>502</v>
      </c>
      <c r="AP23" s="46" t="s">
        <v>502</v>
      </c>
      <c r="AQ23" s="49" t="s">
        <v>502</v>
      </c>
      <c r="AR23" s="46" t="s">
        <v>502</v>
      </c>
      <c r="AS23" s="46" t="s">
        <v>502</v>
      </c>
      <c r="AT23" s="49" t="s">
        <v>502</v>
      </c>
      <c r="AU23" s="46" t="s">
        <v>502</v>
      </c>
      <c r="AV23" s="46" t="s">
        <v>502</v>
      </c>
      <c r="AW23" s="49" t="s">
        <v>502</v>
      </c>
      <c r="AX23" s="46" t="s">
        <v>502</v>
      </c>
      <c r="AY23" s="46" t="s">
        <v>502</v>
      </c>
      <c r="AZ23" s="49" t="s">
        <v>502</v>
      </c>
      <c r="BA23" s="46" t="s">
        <v>502</v>
      </c>
      <c r="BB23" s="46" t="s">
        <v>502</v>
      </c>
      <c r="BC23" s="49" t="s">
        <v>502</v>
      </c>
      <c r="BD23" s="46" t="s">
        <v>502</v>
      </c>
      <c r="BE23" s="46" t="s">
        <v>502</v>
      </c>
      <c r="BF23" s="49" t="s">
        <v>502</v>
      </c>
      <c r="BG23" s="46" t="s">
        <v>502</v>
      </c>
      <c r="BH23" s="46" t="s">
        <v>502</v>
      </c>
      <c r="BI23" s="49" t="s">
        <v>502</v>
      </c>
      <c r="BJ23" s="46" t="s">
        <v>502</v>
      </c>
      <c r="BK23" s="46" t="s">
        <v>502</v>
      </c>
      <c r="BL23" s="49" t="s">
        <v>502</v>
      </c>
      <c r="BM23" s="46" t="s">
        <v>502</v>
      </c>
      <c r="BN23" s="46" t="s">
        <v>502</v>
      </c>
      <c r="BO23" s="49" t="s">
        <v>502</v>
      </c>
      <c r="BP23" s="46" t="s">
        <v>502</v>
      </c>
      <c r="BQ23" s="46" t="s">
        <v>502</v>
      </c>
      <c r="BR23" s="49" t="s">
        <v>502</v>
      </c>
      <c r="BS23" s="46" t="s">
        <v>502</v>
      </c>
      <c r="BT23" s="46" t="s">
        <v>502</v>
      </c>
      <c r="BU23" s="49" t="s">
        <v>502</v>
      </c>
      <c r="BV23" s="46" t="s">
        <v>502</v>
      </c>
      <c r="BW23" s="46" t="s">
        <v>502</v>
      </c>
      <c r="BX23" s="49" t="s">
        <v>502</v>
      </c>
      <c r="BY23" s="46" t="s">
        <v>502</v>
      </c>
      <c r="BZ23" s="46" t="s">
        <v>502</v>
      </c>
      <c r="CA23" s="49" t="s">
        <v>502</v>
      </c>
      <c r="CB23" s="46" t="s">
        <v>502</v>
      </c>
      <c r="CC23" s="46" t="s">
        <v>502</v>
      </c>
      <c r="CD23" s="49" t="s">
        <v>502</v>
      </c>
      <c r="CE23" s="46" t="s">
        <v>502</v>
      </c>
      <c r="CF23" s="46" t="s">
        <v>502</v>
      </c>
      <c r="CG23" s="49" t="s">
        <v>502</v>
      </c>
      <c r="CH23" s="46" t="s">
        <v>502</v>
      </c>
      <c r="CI23" s="46" t="s">
        <v>502</v>
      </c>
      <c r="CJ23" s="49" t="s">
        <v>502</v>
      </c>
      <c r="CK23" s="46" t="s">
        <v>502</v>
      </c>
      <c r="CL23" s="46" t="s">
        <v>502</v>
      </c>
      <c r="CM23" s="49" t="s">
        <v>502</v>
      </c>
      <c r="CN23" s="62">
        <v>480000</v>
      </c>
      <c r="CO23" s="62">
        <f>+CN23*19%</f>
        <v>91200</v>
      </c>
      <c r="CP23" s="62">
        <f>+CN23+CO23</f>
        <v>571200</v>
      </c>
      <c r="CQ23" s="46" t="s">
        <v>503</v>
      </c>
      <c r="CR23" s="46" t="s">
        <v>503</v>
      </c>
      <c r="CS23" s="46" t="s">
        <v>503</v>
      </c>
      <c r="CT23" s="46" t="s">
        <v>502</v>
      </c>
      <c r="CU23" s="46" t="s">
        <v>502</v>
      </c>
      <c r="CV23" s="49" t="s">
        <v>502</v>
      </c>
      <c r="CW23" s="46" t="s">
        <v>502</v>
      </c>
      <c r="CX23" s="46" t="s">
        <v>502</v>
      </c>
      <c r="CY23" s="49" t="s">
        <v>502</v>
      </c>
      <c r="CZ23" s="46" t="s">
        <v>502</v>
      </c>
      <c r="DA23" s="46" t="s">
        <v>502</v>
      </c>
      <c r="DB23" s="49" t="s">
        <v>502</v>
      </c>
      <c r="DC23" s="46" t="s">
        <v>502</v>
      </c>
      <c r="DD23" s="46" t="s">
        <v>502</v>
      </c>
      <c r="DE23" s="49" t="s">
        <v>502</v>
      </c>
      <c r="DF23" s="46" t="s">
        <v>502</v>
      </c>
      <c r="DG23" s="46" t="s">
        <v>502</v>
      </c>
      <c r="DH23" s="49" t="s">
        <v>502</v>
      </c>
      <c r="DI23" s="46" t="s">
        <v>502</v>
      </c>
      <c r="DJ23" s="46" t="s">
        <v>502</v>
      </c>
      <c r="DK23" s="49" t="s">
        <v>502</v>
      </c>
      <c r="DL23" s="46" t="s">
        <v>502</v>
      </c>
      <c r="DM23" s="46" t="s">
        <v>502</v>
      </c>
      <c r="DN23" s="49" t="s">
        <v>502</v>
      </c>
      <c r="DO23" s="46" t="s">
        <v>502</v>
      </c>
      <c r="DP23" s="46" t="s">
        <v>502</v>
      </c>
      <c r="DQ23" s="49" t="s">
        <v>502</v>
      </c>
      <c r="DR23" s="46" t="s">
        <v>502</v>
      </c>
      <c r="DS23" s="46" t="s">
        <v>502</v>
      </c>
      <c r="DT23" s="49" t="s">
        <v>502</v>
      </c>
      <c r="DU23" s="46" t="s">
        <v>502</v>
      </c>
      <c r="DV23" s="46" t="s">
        <v>502</v>
      </c>
      <c r="DW23" s="49" t="s">
        <v>502</v>
      </c>
      <c r="DX23" s="46" t="s">
        <v>502</v>
      </c>
      <c r="DY23" s="46" t="s">
        <v>502</v>
      </c>
      <c r="DZ23" s="49" t="s">
        <v>502</v>
      </c>
      <c r="EA23" s="46" t="s">
        <v>502</v>
      </c>
      <c r="EB23" s="46" t="s">
        <v>502</v>
      </c>
      <c r="EC23" s="49" t="s">
        <v>502</v>
      </c>
      <c r="ED23" s="46" t="s">
        <v>502</v>
      </c>
      <c r="EE23" s="46" t="s">
        <v>502</v>
      </c>
      <c r="EF23" s="49" t="s">
        <v>502</v>
      </c>
      <c r="EG23" s="46" t="s">
        <v>502</v>
      </c>
      <c r="EH23" s="46" t="s">
        <v>502</v>
      </c>
      <c r="EI23" s="49" t="s">
        <v>502</v>
      </c>
      <c r="EJ23" s="46" t="s">
        <v>502</v>
      </c>
      <c r="EK23" s="46" t="s">
        <v>502</v>
      </c>
      <c r="EL23" s="49" t="s">
        <v>502</v>
      </c>
      <c r="EM23" s="46" t="s">
        <v>502</v>
      </c>
      <c r="EN23" s="46" t="s">
        <v>502</v>
      </c>
      <c r="EO23" s="49" t="s">
        <v>502</v>
      </c>
      <c r="EP23" s="46" t="s">
        <v>502</v>
      </c>
      <c r="EQ23" s="46" t="s">
        <v>502</v>
      </c>
      <c r="ER23" s="49" t="s">
        <v>502</v>
      </c>
      <c r="ES23" s="46" t="s">
        <v>502</v>
      </c>
      <c r="ET23" s="46" t="s">
        <v>502</v>
      </c>
      <c r="EU23" s="49" t="s">
        <v>502</v>
      </c>
      <c r="EV23" s="46" t="s">
        <v>502</v>
      </c>
      <c r="EW23" s="46" t="s">
        <v>502</v>
      </c>
      <c r="EX23" s="49" t="s">
        <v>502</v>
      </c>
      <c r="EY23" s="46" t="s">
        <v>502</v>
      </c>
      <c r="EZ23" s="46" t="s">
        <v>502</v>
      </c>
      <c r="FA23" s="49" t="s">
        <v>502</v>
      </c>
      <c r="FB23" s="46" t="s">
        <v>502</v>
      </c>
      <c r="FC23" s="46" t="s">
        <v>502</v>
      </c>
      <c r="FD23" s="49" t="s">
        <v>502</v>
      </c>
      <c r="FE23" s="62">
        <f>250000+50000+50000</f>
        <v>350000</v>
      </c>
      <c r="FF23" s="62">
        <f>+FE23*19%</f>
        <v>66500</v>
      </c>
      <c r="FG23" s="62">
        <f>+FE23+FF23</f>
        <v>416500</v>
      </c>
      <c r="FH23" s="46" t="s">
        <v>502</v>
      </c>
      <c r="FI23" s="46" t="s">
        <v>502</v>
      </c>
      <c r="FJ23" s="49" t="s">
        <v>502</v>
      </c>
      <c r="FK23" s="46" t="s">
        <v>502</v>
      </c>
      <c r="FL23" s="46" t="s">
        <v>502</v>
      </c>
      <c r="FM23" s="49" t="s">
        <v>502</v>
      </c>
      <c r="FN23" s="46" t="s">
        <v>502</v>
      </c>
      <c r="FO23" s="46" t="s">
        <v>502</v>
      </c>
      <c r="FP23" s="49" t="s">
        <v>502</v>
      </c>
      <c r="FQ23" s="46" t="s">
        <v>502</v>
      </c>
      <c r="FR23" s="46" t="s">
        <v>502</v>
      </c>
      <c r="FS23" s="49" t="s">
        <v>502</v>
      </c>
      <c r="FT23" s="46" t="s">
        <v>502</v>
      </c>
      <c r="FU23" s="46" t="s">
        <v>502</v>
      </c>
      <c r="FV23" s="49" t="s">
        <v>502</v>
      </c>
      <c r="FW23" s="50">
        <f t="shared" si="7"/>
        <v>2</v>
      </c>
      <c r="FX23" s="51">
        <f t="shared" si="8"/>
        <v>493850</v>
      </c>
      <c r="FY23" s="46">
        <f t="shared" si="6"/>
        <v>493850</v>
      </c>
      <c r="FZ23" s="52" t="s">
        <v>504</v>
      </c>
    </row>
    <row r="24" spans="1:182" ht="127.5" customHeight="1" x14ac:dyDescent="0.2">
      <c r="A24" s="53">
        <v>21</v>
      </c>
      <c r="B24" s="40" t="s">
        <v>12</v>
      </c>
      <c r="C24" s="41" t="s">
        <v>349</v>
      </c>
      <c r="D24" s="65">
        <v>24111500</v>
      </c>
      <c r="E24" s="67" t="s">
        <v>350</v>
      </c>
      <c r="F24" s="68" t="s">
        <v>515</v>
      </c>
      <c r="G24" s="66" t="s">
        <v>501</v>
      </c>
      <c r="H24" s="46" t="s">
        <v>502</v>
      </c>
      <c r="I24" s="46" t="s">
        <v>502</v>
      </c>
      <c r="J24" s="46" t="s">
        <v>502</v>
      </c>
      <c r="K24" s="46" t="s">
        <v>502</v>
      </c>
      <c r="L24" s="46" t="s">
        <v>502</v>
      </c>
      <c r="M24" s="46" t="s">
        <v>502</v>
      </c>
      <c r="N24" s="46" t="s">
        <v>502</v>
      </c>
      <c r="O24" s="46" t="s">
        <v>502</v>
      </c>
      <c r="P24" s="46" t="s">
        <v>502</v>
      </c>
      <c r="Q24" s="46" t="s">
        <v>502</v>
      </c>
      <c r="R24" s="46" t="s">
        <v>502</v>
      </c>
      <c r="S24" s="46" t="s">
        <v>502</v>
      </c>
      <c r="T24" s="46" t="s">
        <v>502</v>
      </c>
      <c r="U24" s="46" t="s">
        <v>502</v>
      </c>
      <c r="V24" s="46" t="s">
        <v>502</v>
      </c>
      <c r="W24" s="46" t="s">
        <v>502</v>
      </c>
      <c r="X24" s="46" t="s">
        <v>502</v>
      </c>
      <c r="Y24" s="46" t="s">
        <v>502</v>
      </c>
      <c r="Z24" s="46" t="s">
        <v>502</v>
      </c>
      <c r="AA24" s="46" t="s">
        <v>502</v>
      </c>
      <c r="AB24" s="46" t="s">
        <v>502</v>
      </c>
      <c r="AC24" s="46" t="s">
        <v>502</v>
      </c>
      <c r="AD24" s="46" t="s">
        <v>502</v>
      </c>
      <c r="AE24" s="46" t="s">
        <v>502</v>
      </c>
      <c r="AF24" s="46" t="s">
        <v>502</v>
      </c>
      <c r="AG24" s="46" t="s">
        <v>502</v>
      </c>
      <c r="AH24" s="46" t="s">
        <v>502</v>
      </c>
      <c r="AI24" s="46" t="s">
        <v>502</v>
      </c>
      <c r="AJ24" s="46" t="s">
        <v>502</v>
      </c>
      <c r="AK24" s="46" t="s">
        <v>502</v>
      </c>
      <c r="AL24" s="46" t="s">
        <v>502</v>
      </c>
      <c r="AM24" s="46" t="s">
        <v>502</v>
      </c>
      <c r="AN24" s="49" t="s">
        <v>502</v>
      </c>
      <c r="AO24" s="46" t="s">
        <v>502</v>
      </c>
      <c r="AP24" s="46" t="s">
        <v>502</v>
      </c>
      <c r="AQ24" s="49" t="s">
        <v>502</v>
      </c>
      <c r="AR24" s="46" t="s">
        <v>502</v>
      </c>
      <c r="AS24" s="46" t="s">
        <v>502</v>
      </c>
      <c r="AT24" s="49" t="s">
        <v>502</v>
      </c>
      <c r="AU24" s="46" t="s">
        <v>502</v>
      </c>
      <c r="AV24" s="46" t="s">
        <v>502</v>
      </c>
      <c r="AW24" s="49" t="s">
        <v>502</v>
      </c>
      <c r="AX24" s="46" t="s">
        <v>502</v>
      </c>
      <c r="AY24" s="46" t="s">
        <v>502</v>
      </c>
      <c r="AZ24" s="49" t="s">
        <v>502</v>
      </c>
      <c r="BA24" s="46" t="s">
        <v>502</v>
      </c>
      <c r="BB24" s="46" t="s">
        <v>502</v>
      </c>
      <c r="BC24" s="49" t="s">
        <v>502</v>
      </c>
      <c r="BD24" s="46" t="s">
        <v>502</v>
      </c>
      <c r="BE24" s="46" t="s">
        <v>502</v>
      </c>
      <c r="BF24" s="49" t="s">
        <v>502</v>
      </c>
      <c r="BG24" s="46" t="s">
        <v>502</v>
      </c>
      <c r="BH24" s="46" t="s">
        <v>502</v>
      </c>
      <c r="BI24" s="49" t="s">
        <v>502</v>
      </c>
      <c r="BJ24" s="46" t="s">
        <v>502</v>
      </c>
      <c r="BK24" s="46" t="s">
        <v>502</v>
      </c>
      <c r="BL24" s="49" t="s">
        <v>502</v>
      </c>
      <c r="BM24" s="46" t="s">
        <v>502</v>
      </c>
      <c r="BN24" s="46" t="s">
        <v>502</v>
      </c>
      <c r="BO24" s="49" t="s">
        <v>502</v>
      </c>
      <c r="BP24" s="46" t="s">
        <v>502</v>
      </c>
      <c r="BQ24" s="46" t="s">
        <v>502</v>
      </c>
      <c r="BR24" s="49" t="s">
        <v>502</v>
      </c>
      <c r="BS24" s="46" t="s">
        <v>502</v>
      </c>
      <c r="BT24" s="46" t="s">
        <v>502</v>
      </c>
      <c r="BU24" s="49" t="s">
        <v>502</v>
      </c>
      <c r="BV24" s="46" t="s">
        <v>502</v>
      </c>
      <c r="BW24" s="46" t="s">
        <v>502</v>
      </c>
      <c r="BX24" s="49" t="s">
        <v>502</v>
      </c>
      <c r="BY24" s="46" t="s">
        <v>502</v>
      </c>
      <c r="BZ24" s="46" t="s">
        <v>502</v>
      </c>
      <c r="CA24" s="49" t="s">
        <v>502</v>
      </c>
      <c r="CB24" s="46" t="s">
        <v>502</v>
      </c>
      <c r="CC24" s="46" t="s">
        <v>502</v>
      </c>
      <c r="CD24" s="49" t="s">
        <v>502</v>
      </c>
      <c r="CE24" s="46" t="s">
        <v>502</v>
      </c>
      <c r="CF24" s="46" t="s">
        <v>502</v>
      </c>
      <c r="CG24" s="49" t="s">
        <v>502</v>
      </c>
      <c r="CH24" s="46" t="s">
        <v>502</v>
      </c>
      <c r="CI24" s="46" t="s">
        <v>502</v>
      </c>
      <c r="CJ24" s="49" t="s">
        <v>502</v>
      </c>
      <c r="CK24" s="46" t="s">
        <v>502</v>
      </c>
      <c r="CL24" s="46" t="s">
        <v>502</v>
      </c>
      <c r="CM24" s="49" t="s">
        <v>502</v>
      </c>
      <c r="CN24" s="46" t="s">
        <v>502</v>
      </c>
      <c r="CO24" s="46" t="s">
        <v>502</v>
      </c>
      <c r="CP24" s="49" t="s">
        <v>502</v>
      </c>
      <c r="CQ24" s="46" t="s">
        <v>502</v>
      </c>
      <c r="CR24" s="46" t="s">
        <v>502</v>
      </c>
      <c r="CS24" s="49" t="s">
        <v>502</v>
      </c>
      <c r="CT24" s="46" t="s">
        <v>502</v>
      </c>
      <c r="CU24" s="46" t="s">
        <v>502</v>
      </c>
      <c r="CV24" s="49" t="s">
        <v>502</v>
      </c>
      <c r="CW24" s="46" t="s">
        <v>502</v>
      </c>
      <c r="CX24" s="46" t="s">
        <v>502</v>
      </c>
      <c r="CY24" s="49" t="s">
        <v>502</v>
      </c>
      <c r="CZ24" s="46" t="s">
        <v>502</v>
      </c>
      <c r="DA24" s="46" t="s">
        <v>502</v>
      </c>
      <c r="DB24" s="49" t="s">
        <v>502</v>
      </c>
      <c r="DC24" s="46" t="s">
        <v>502</v>
      </c>
      <c r="DD24" s="46" t="s">
        <v>502</v>
      </c>
      <c r="DE24" s="49" t="s">
        <v>502</v>
      </c>
      <c r="DF24" s="46" t="s">
        <v>502</v>
      </c>
      <c r="DG24" s="46" t="s">
        <v>502</v>
      </c>
      <c r="DH24" s="49" t="s">
        <v>502</v>
      </c>
      <c r="DI24" s="46" t="s">
        <v>502</v>
      </c>
      <c r="DJ24" s="46" t="s">
        <v>502</v>
      </c>
      <c r="DK24" s="49" t="s">
        <v>502</v>
      </c>
      <c r="DL24" s="46" t="s">
        <v>502</v>
      </c>
      <c r="DM24" s="46" t="s">
        <v>502</v>
      </c>
      <c r="DN24" s="49" t="s">
        <v>502</v>
      </c>
      <c r="DO24" s="46" t="s">
        <v>502</v>
      </c>
      <c r="DP24" s="46" t="s">
        <v>502</v>
      </c>
      <c r="DQ24" s="49" t="s">
        <v>502</v>
      </c>
      <c r="DR24" s="46" t="s">
        <v>502</v>
      </c>
      <c r="DS24" s="46" t="s">
        <v>502</v>
      </c>
      <c r="DT24" s="49" t="s">
        <v>502</v>
      </c>
      <c r="DU24" s="46" t="s">
        <v>502</v>
      </c>
      <c r="DV24" s="46" t="s">
        <v>502</v>
      </c>
      <c r="DW24" s="49" t="s">
        <v>502</v>
      </c>
      <c r="DX24" s="46" t="s">
        <v>502</v>
      </c>
      <c r="DY24" s="46" t="s">
        <v>502</v>
      </c>
      <c r="DZ24" s="49" t="s">
        <v>502</v>
      </c>
      <c r="EA24" s="46" t="s">
        <v>502</v>
      </c>
      <c r="EB24" s="46" t="s">
        <v>502</v>
      </c>
      <c r="EC24" s="49" t="s">
        <v>502</v>
      </c>
      <c r="ED24" s="46" t="s">
        <v>502</v>
      </c>
      <c r="EE24" s="46" t="s">
        <v>502</v>
      </c>
      <c r="EF24" s="49" t="s">
        <v>502</v>
      </c>
      <c r="EG24" s="47">
        <f>SUM(25000)/1.19</f>
        <v>21008.403361344539</v>
      </c>
      <c r="EH24" s="47">
        <f>+EG24*19%</f>
        <v>3991.5966386554624</v>
      </c>
      <c r="EI24" s="69">
        <f>+EG24+EH24</f>
        <v>25000</v>
      </c>
      <c r="EJ24" s="46" t="s">
        <v>502</v>
      </c>
      <c r="EK24" s="46" t="s">
        <v>502</v>
      </c>
      <c r="EL24" s="49" t="s">
        <v>502</v>
      </c>
      <c r="EM24" s="46" t="s">
        <v>502</v>
      </c>
      <c r="EN24" s="46" t="s">
        <v>502</v>
      </c>
      <c r="EO24" s="49" t="s">
        <v>502</v>
      </c>
      <c r="EP24" s="46" t="s">
        <v>502</v>
      </c>
      <c r="EQ24" s="46" t="s">
        <v>502</v>
      </c>
      <c r="ER24" s="49" t="s">
        <v>502</v>
      </c>
      <c r="ES24" s="46" t="s">
        <v>502</v>
      </c>
      <c r="ET24" s="46" t="s">
        <v>502</v>
      </c>
      <c r="EU24" s="49" t="s">
        <v>502</v>
      </c>
      <c r="EV24" s="46" t="s">
        <v>502</v>
      </c>
      <c r="EW24" s="46" t="s">
        <v>502</v>
      </c>
      <c r="EX24" s="49" t="s">
        <v>502</v>
      </c>
      <c r="EY24" s="46" t="s">
        <v>502</v>
      </c>
      <c r="EZ24" s="46" t="s">
        <v>502</v>
      </c>
      <c r="FA24" s="49" t="s">
        <v>502</v>
      </c>
      <c r="FB24" s="46" t="s">
        <v>502</v>
      </c>
      <c r="FC24" s="46" t="s">
        <v>502</v>
      </c>
      <c r="FD24" s="49" t="s">
        <v>502</v>
      </c>
      <c r="FE24" s="46" t="s">
        <v>502</v>
      </c>
      <c r="FF24" s="46" t="s">
        <v>502</v>
      </c>
      <c r="FG24" s="49" t="s">
        <v>502</v>
      </c>
      <c r="FH24" s="46" t="s">
        <v>502</v>
      </c>
      <c r="FI24" s="46" t="s">
        <v>502</v>
      </c>
      <c r="FJ24" s="49" t="s">
        <v>502</v>
      </c>
      <c r="FK24" s="46" t="s">
        <v>502</v>
      </c>
      <c r="FL24" s="46" t="s">
        <v>502</v>
      </c>
      <c r="FM24" s="49" t="s">
        <v>502</v>
      </c>
      <c r="FN24" s="46" t="s">
        <v>502</v>
      </c>
      <c r="FO24" s="46" t="s">
        <v>502</v>
      </c>
      <c r="FP24" s="49" t="s">
        <v>502</v>
      </c>
      <c r="FQ24" s="46" t="s">
        <v>502</v>
      </c>
      <c r="FR24" s="46" t="s">
        <v>502</v>
      </c>
      <c r="FS24" s="49" t="s">
        <v>502</v>
      </c>
      <c r="FT24" s="46" t="s">
        <v>502</v>
      </c>
      <c r="FU24" s="46" t="s">
        <v>502</v>
      </c>
      <c r="FV24" s="49" t="s">
        <v>502</v>
      </c>
      <c r="FW24" s="50">
        <f t="shared" si="7"/>
        <v>1</v>
      </c>
      <c r="FX24" s="51">
        <f t="shared" si="8"/>
        <v>25000</v>
      </c>
      <c r="FY24" s="46">
        <f t="shared" si="6"/>
        <v>25000</v>
      </c>
      <c r="FZ24" s="70" t="s">
        <v>516</v>
      </c>
    </row>
    <row r="25" spans="1:182" ht="127.5" customHeight="1" x14ac:dyDescent="0.2">
      <c r="A25" s="39">
        <v>22</v>
      </c>
      <c r="B25" s="60" t="s">
        <v>12</v>
      </c>
      <c r="C25" s="41" t="s">
        <v>140</v>
      </c>
      <c r="D25" s="42">
        <v>56101606</v>
      </c>
      <c r="E25" s="43" t="s">
        <v>141</v>
      </c>
      <c r="F25" s="44" t="s">
        <v>86</v>
      </c>
      <c r="G25" s="66" t="s">
        <v>501</v>
      </c>
      <c r="H25" s="46" t="s">
        <v>502</v>
      </c>
      <c r="I25" s="46" t="s">
        <v>502</v>
      </c>
      <c r="J25" s="46" t="s">
        <v>502</v>
      </c>
      <c r="K25" s="46" t="s">
        <v>502</v>
      </c>
      <c r="L25" s="46" t="s">
        <v>502</v>
      </c>
      <c r="M25" s="46" t="s">
        <v>502</v>
      </c>
      <c r="N25" s="46" t="s">
        <v>502</v>
      </c>
      <c r="O25" s="46" t="s">
        <v>502</v>
      </c>
      <c r="P25" s="46" t="s">
        <v>502</v>
      </c>
      <c r="Q25" s="46" t="s">
        <v>502</v>
      </c>
      <c r="R25" s="46" t="s">
        <v>502</v>
      </c>
      <c r="S25" s="46" t="s">
        <v>502</v>
      </c>
      <c r="T25" s="46" t="s">
        <v>502</v>
      </c>
      <c r="U25" s="46" t="s">
        <v>502</v>
      </c>
      <c r="V25" s="46" t="s">
        <v>502</v>
      </c>
      <c r="W25" s="46" t="s">
        <v>502</v>
      </c>
      <c r="X25" s="46" t="s">
        <v>502</v>
      </c>
      <c r="Y25" s="46" t="s">
        <v>502</v>
      </c>
      <c r="Z25" s="46" t="s">
        <v>502</v>
      </c>
      <c r="AA25" s="46" t="s">
        <v>502</v>
      </c>
      <c r="AB25" s="46" t="s">
        <v>502</v>
      </c>
      <c r="AC25" s="46" t="s">
        <v>502</v>
      </c>
      <c r="AD25" s="46" t="s">
        <v>502</v>
      </c>
      <c r="AE25" s="46" t="s">
        <v>502</v>
      </c>
      <c r="AF25" s="46" t="s">
        <v>502</v>
      </c>
      <c r="AG25" s="46" t="s">
        <v>502</v>
      </c>
      <c r="AH25" s="46" t="s">
        <v>502</v>
      </c>
      <c r="AI25" s="46" t="s">
        <v>502</v>
      </c>
      <c r="AJ25" s="46" t="s">
        <v>502</v>
      </c>
      <c r="AK25" s="46" t="s">
        <v>502</v>
      </c>
      <c r="AL25" s="46" t="s">
        <v>502</v>
      </c>
      <c r="AM25" s="46" t="s">
        <v>502</v>
      </c>
      <c r="AN25" s="49" t="s">
        <v>502</v>
      </c>
      <c r="AO25" s="46" t="s">
        <v>502</v>
      </c>
      <c r="AP25" s="46" t="s">
        <v>502</v>
      </c>
      <c r="AQ25" s="49" t="s">
        <v>502</v>
      </c>
      <c r="AR25" s="46" t="s">
        <v>502</v>
      </c>
      <c r="AS25" s="46" t="s">
        <v>502</v>
      </c>
      <c r="AT25" s="49" t="s">
        <v>502</v>
      </c>
      <c r="AU25" s="46" t="s">
        <v>502</v>
      </c>
      <c r="AV25" s="46" t="s">
        <v>502</v>
      </c>
      <c r="AW25" s="49" t="s">
        <v>502</v>
      </c>
      <c r="AX25" s="46" t="s">
        <v>502</v>
      </c>
      <c r="AY25" s="46" t="s">
        <v>502</v>
      </c>
      <c r="AZ25" s="49" t="s">
        <v>502</v>
      </c>
      <c r="BA25" s="46" t="s">
        <v>502</v>
      </c>
      <c r="BB25" s="46" t="s">
        <v>502</v>
      </c>
      <c r="BC25" s="49" t="s">
        <v>502</v>
      </c>
      <c r="BD25" s="46" t="s">
        <v>502</v>
      </c>
      <c r="BE25" s="46" t="s">
        <v>502</v>
      </c>
      <c r="BF25" s="49" t="s">
        <v>502</v>
      </c>
      <c r="BG25" s="46" t="s">
        <v>502</v>
      </c>
      <c r="BH25" s="46" t="s">
        <v>502</v>
      </c>
      <c r="BI25" s="49" t="s">
        <v>502</v>
      </c>
      <c r="BJ25" s="71">
        <f>250000/1.19</f>
        <v>210084.03361344538</v>
      </c>
      <c r="BK25" s="71">
        <f>+BJ25*19%</f>
        <v>39915.966386554624</v>
      </c>
      <c r="BL25" s="71">
        <f>+BK25+BJ25</f>
        <v>250000</v>
      </c>
      <c r="BM25" s="46" t="s">
        <v>502</v>
      </c>
      <c r="BN25" s="46" t="s">
        <v>502</v>
      </c>
      <c r="BO25" s="49" t="s">
        <v>502</v>
      </c>
      <c r="BP25" s="46" t="s">
        <v>502</v>
      </c>
      <c r="BQ25" s="46" t="s">
        <v>502</v>
      </c>
      <c r="BR25" s="49" t="s">
        <v>502</v>
      </c>
      <c r="BS25" s="46" t="s">
        <v>502</v>
      </c>
      <c r="BT25" s="46" t="s">
        <v>502</v>
      </c>
      <c r="BU25" s="49" t="s">
        <v>502</v>
      </c>
      <c r="BV25" s="46" t="s">
        <v>502</v>
      </c>
      <c r="BW25" s="46" t="s">
        <v>502</v>
      </c>
      <c r="BX25" s="49" t="s">
        <v>502</v>
      </c>
      <c r="BY25" s="46" t="s">
        <v>502</v>
      </c>
      <c r="BZ25" s="46" t="s">
        <v>502</v>
      </c>
      <c r="CA25" s="49" t="s">
        <v>502</v>
      </c>
      <c r="CB25" s="46" t="s">
        <v>502</v>
      </c>
      <c r="CC25" s="46" t="s">
        <v>502</v>
      </c>
      <c r="CD25" s="49" t="s">
        <v>502</v>
      </c>
      <c r="CE25" s="46" t="s">
        <v>502</v>
      </c>
      <c r="CF25" s="46" t="s">
        <v>502</v>
      </c>
      <c r="CG25" s="49" t="s">
        <v>502</v>
      </c>
      <c r="CH25" s="46" t="s">
        <v>502</v>
      </c>
      <c r="CI25" s="46" t="s">
        <v>502</v>
      </c>
      <c r="CJ25" s="49" t="s">
        <v>502</v>
      </c>
      <c r="CK25" s="46" t="s">
        <v>502</v>
      </c>
      <c r="CL25" s="46" t="s">
        <v>502</v>
      </c>
      <c r="CM25" s="49" t="s">
        <v>502</v>
      </c>
      <c r="CN25" s="46" t="s">
        <v>502</v>
      </c>
      <c r="CO25" s="46" t="s">
        <v>502</v>
      </c>
      <c r="CP25" s="49" t="s">
        <v>502</v>
      </c>
      <c r="CQ25" s="46" t="s">
        <v>502</v>
      </c>
      <c r="CR25" s="46" t="s">
        <v>502</v>
      </c>
      <c r="CS25" s="49" t="s">
        <v>502</v>
      </c>
      <c r="CT25" s="46" t="s">
        <v>502</v>
      </c>
      <c r="CU25" s="46" t="s">
        <v>502</v>
      </c>
      <c r="CV25" s="49" t="s">
        <v>502</v>
      </c>
      <c r="CW25" s="46" t="s">
        <v>502</v>
      </c>
      <c r="CX25" s="46" t="s">
        <v>502</v>
      </c>
      <c r="CY25" s="49" t="s">
        <v>502</v>
      </c>
      <c r="CZ25" s="46" t="s">
        <v>502</v>
      </c>
      <c r="DA25" s="46" t="s">
        <v>502</v>
      </c>
      <c r="DB25" s="49" t="s">
        <v>502</v>
      </c>
      <c r="DC25" s="46" t="s">
        <v>502</v>
      </c>
      <c r="DD25" s="46" t="s">
        <v>502</v>
      </c>
      <c r="DE25" s="49" t="s">
        <v>502</v>
      </c>
      <c r="DF25" s="46" t="s">
        <v>502</v>
      </c>
      <c r="DG25" s="46" t="s">
        <v>502</v>
      </c>
      <c r="DH25" s="49" t="s">
        <v>502</v>
      </c>
      <c r="DI25" s="46">
        <f>249900/1.19</f>
        <v>210000</v>
      </c>
      <c r="DJ25" s="46">
        <f t="shared" ref="DJ25:DJ38" si="42">+DI25*19%</f>
        <v>39900</v>
      </c>
      <c r="DK25" s="46">
        <f t="shared" ref="DK25:DK38" si="43">+DJ25+DI25</f>
        <v>249900</v>
      </c>
      <c r="DL25" s="46" t="s">
        <v>502</v>
      </c>
      <c r="DM25" s="46" t="s">
        <v>502</v>
      </c>
      <c r="DN25" s="49" t="s">
        <v>502</v>
      </c>
      <c r="DO25" s="46" t="s">
        <v>502</v>
      </c>
      <c r="DP25" s="46" t="s">
        <v>502</v>
      </c>
      <c r="DQ25" s="49" t="s">
        <v>502</v>
      </c>
      <c r="DR25" s="46" t="s">
        <v>502</v>
      </c>
      <c r="DS25" s="46" t="s">
        <v>502</v>
      </c>
      <c r="DT25" s="49" t="s">
        <v>502</v>
      </c>
      <c r="DU25" s="46" t="s">
        <v>502</v>
      </c>
      <c r="DV25" s="46" t="s">
        <v>502</v>
      </c>
      <c r="DW25" s="49" t="s">
        <v>502</v>
      </c>
      <c r="DX25" s="46" t="s">
        <v>502</v>
      </c>
      <c r="DY25" s="46" t="s">
        <v>502</v>
      </c>
      <c r="DZ25" s="49" t="s">
        <v>502</v>
      </c>
      <c r="EA25" s="46" t="s">
        <v>502</v>
      </c>
      <c r="EB25" s="46" t="s">
        <v>502</v>
      </c>
      <c r="EC25" s="49" t="s">
        <v>502</v>
      </c>
      <c r="ED25" s="46" t="s">
        <v>502</v>
      </c>
      <c r="EE25" s="46" t="s">
        <v>502</v>
      </c>
      <c r="EF25" s="49" t="s">
        <v>502</v>
      </c>
      <c r="EG25" s="46" t="s">
        <v>502</v>
      </c>
      <c r="EH25" s="46" t="s">
        <v>502</v>
      </c>
      <c r="EI25" s="49" t="s">
        <v>502</v>
      </c>
      <c r="EJ25" s="46">
        <f>210000/1.19</f>
        <v>176470.58823529413</v>
      </c>
      <c r="EK25" s="46">
        <f t="shared" ref="EK25:EK38" si="44">+EJ25*19%</f>
        <v>33529.411764705881</v>
      </c>
      <c r="EL25" s="46">
        <f t="shared" ref="EL25:EL38" si="45">+EK25+EJ25</f>
        <v>210000</v>
      </c>
      <c r="EM25" s="46" t="s">
        <v>502</v>
      </c>
      <c r="EN25" s="46" t="s">
        <v>502</v>
      </c>
      <c r="EO25" s="49" t="s">
        <v>502</v>
      </c>
      <c r="EP25" s="46" t="s">
        <v>502</v>
      </c>
      <c r="EQ25" s="46" t="s">
        <v>502</v>
      </c>
      <c r="ER25" s="49" t="s">
        <v>502</v>
      </c>
      <c r="ES25" s="46" t="s">
        <v>502</v>
      </c>
      <c r="ET25" s="46" t="s">
        <v>502</v>
      </c>
      <c r="EU25" s="49" t="s">
        <v>502</v>
      </c>
      <c r="EV25" s="46" t="s">
        <v>502</v>
      </c>
      <c r="EW25" s="46" t="s">
        <v>502</v>
      </c>
      <c r="EX25" s="49" t="s">
        <v>502</v>
      </c>
      <c r="EY25" s="46" t="s">
        <v>502</v>
      </c>
      <c r="EZ25" s="46" t="s">
        <v>502</v>
      </c>
      <c r="FA25" s="49" t="s">
        <v>502</v>
      </c>
      <c r="FB25" s="46" t="s">
        <v>502</v>
      </c>
      <c r="FC25" s="46" t="s">
        <v>502</v>
      </c>
      <c r="FD25" s="49" t="s">
        <v>502</v>
      </c>
      <c r="FE25" s="46" t="s">
        <v>502</v>
      </c>
      <c r="FF25" s="46" t="s">
        <v>502</v>
      </c>
      <c r="FG25" s="49" t="s">
        <v>502</v>
      </c>
      <c r="FH25" s="46" t="s">
        <v>502</v>
      </c>
      <c r="FI25" s="46" t="s">
        <v>502</v>
      </c>
      <c r="FJ25" s="49" t="s">
        <v>502</v>
      </c>
      <c r="FK25" s="46" t="s">
        <v>502</v>
      </c>
      <c r="FL25" s="46" t="s">
        <v>502</v>
      </c>
      <c r="FM25" s="49" t="s">
        <v>502</v>
      </c>
      <c r="FN25" s="46" t="s">
        <v>502</v>
      </c>
      <c r="FO25" s="46" t="s">
        <v>502</v>
      </c>
      <c r="FP25" s="49" t="s">
        <v>502</v>
      </c>
      <c r="FQ25" s="46" t="s">
        <v>502</v>
      </c>
      <c r="FR25" s="46" t="s">
        <v>502</v>
      </c>
      <c r="FS25" s="49" t="s">
        <v>502</v>
      </c>
      <c r="FT25" s="46" t="s">
        <v>502</v>
      </c>
      <c r="FU25" s="46" t="s">
        <v>502</v>
      </c>
      <c r="FV25" s="49" t="s">
        <v>502</v>
      </c>
      <c r="FW25" s="50">
        <f t="shared" si="7"/>
        <v>3</v>
      </c>
      <c r="FX25" s="51">
        <f t="shared" si="8"/>
        <v>236633.33333333334</v>
      </c>
      <c r="FY25" s="46">
        <f t="shared" si="6"/>
        <v>236650</v>
      </c>
      <c r="FZ25" s="52" t="s">
        <v>504</v>
      </c>
    </row>
    <row r="26" spans="1:182" ht="127.5" customHeight="1" x14ac:dyDescent="0.2">
      <c r="A26" s="39">
        <v>23</v>
      </c>
      <c r="B26" s="60" t="s">
        <v>12</v>
      </c>
      <c r="C26" s="41" t="s">
        <v>140</v>
      </c>
      <c r="D26" s="42">
        <v>56101606</v>
      </c>
      <c r="E26" s="43" t="s">
        <v>142</v>
      </c>
      <c r="F26" s="44" t="s">
        <v>86</v>
      </c>
      <c r="G26" s="66" t="s">
        <v>501</v>
      </c>
      <c r="H26" s="46" t="s">
        <v>502</v>
      </c>
      <c r="I26" s="46" t="s">
        <v>502</v>
      </c>
      <c r="J26" s="46" t="s">
        <v>502</v>
      </c>
      <c r="K26" s="46" t="s">
        <v>502</v>
      </c>
      <c r="L26" s="46" t="s">
        <v>502</v>
      </c>
      <c r="M26" s="46" t="s">
        <v>502</v>
      </c>
      <c r="N26" s="46" t="s">
        <v>502</v>
      </c>
      <c r="O26" s="46" t="s">
        <v>502</v>
      </c>
      <c r="P26" s="46" t="s">
        <v>502</v>
      </c>
      <c r="Q26" s="46" t="s">
        <v>502</v>
      </c>
      <c r="R26" s="46" t="s">
        <v>502</v>
      </c>
      <c r="S26" s="46" t="s">
        <v>502</v>
      </c>
      <c r="T26" s="46" t="s">
        <v>502</v>
      </c>
      <c r="U26" s="46" t="s">
        <v>502</v>
      </c>
      <c r="V26" s="46" t="s">
        <v>502</v>
      </c>
      <c r="W26" s="46" t="s">
        <v>502</v>
      </c>
      <c r="X26" s="46" t="s">
        <v>502</v>
      </c>
      <c r="Y26" s="46" t="s">
        <v>502</v>
      </c>
      <c r="Z26" s="46" t="s">
        <v>502</v>
      </c>
      <c r="AA26" s="46" t="s">
        <v>502</v>
      </c>
      <c r="AB26" s="46" t="s">
        <v>502</v>
      </c>
      <c r="AC26" s="46" t="s">
        <v>502</v>
      </c>
      <c r="AD26" s="46" t="s">
        <v>502</v>
      </c>
      <c r="AE26" s="46" t="s">
        <v>502</v>
      </c>
      <c r="AF26" s="46" t="s">
        <v>502</v>
      </c>
      <c r="AG26" s="46" t="s">
        <v>502</v>
      </c>
      <c r="AH26" s="46" t="s">
        <v>502</v>
      </c>
      <c r="AI26" s="46" t="s">
        <v>502</v>
      </c>
      <c r="AJ26" s="46" t="s">
        <v>502</v>
      </c>
      <c r="AK26" s="46" t="s">
        <v>502</v>
      </c>
      <c r="AL26" s="46" t="s">
        <v>502</v>
      </c>
      <c r="AM26" s="46" t="s">
        <v>502</v>
      </c>
      <c r="AN26" s="49" t="s">
        <v>502</v>
      </c>
      <c r="AO26" s="46" t="s">
        <v>502</v>
      </c>
      <c r="AP26" s="46" t="s">
        <v>502</v>
      </c>
      <c r="AQ26" s="49" t="s">
        <v>502</v>
      </c>
      <c r="AR26" s="46" t="s">
        <v>502</v>
      </c>
      <c r="AS26" s="46" t="s">
        <v>502</v>
      </c>
      <c r="AT26" s="49" t="s">
        <v>502</v>
      </c>
      <c r="AU26" s="46" t="s">
        <v>502</v>
      </c>
      <c r="AV26" s="46" t="s">
        <v>502</v>
      </c>
      <c r="AW26" s="49" t="s">
        <v>502</v>
      </c>
      <c r="AX26" s="46" t="s">
        <v>502</v>
      </c>
      <c r="AY26" s="46" t="s">
        <v>502</v>
      </c>
      <c r="AZ26" s="49" t="s">
        <v>502</v>
      </c>
      <c r="BA26" s="46" t="s">
        <v>502</v>
      </c>
      <c r="BB26" s="46" t="s">
        <v>502</v>
      </c>
      <c r="BC26" s="49" t="s">
        <v>502</v>
      </c>
      <c r="BD26" s="46" t="s">
        <v>502</v>
      </c>
      <c r="BE26" s="46" t="s">
        <v>502</v>
      </c>
      <c r="BF26" s="49" t="s">
        <v>502</v>
      </c>
      <c r="BG26" s="46" t="s">
        <v>502</v>
      </c>
      <c r="BH26" s="46" t="s">
        <v>502</v>
      </c>
      <c r="BI26" s="49" t="s">
        <v>502</v>
      </c>
      <c r="BJ26" s="71">
        <f>95000/1.19</f>
        <v>79831.932773109249</v>
      </c>
      <c r="BK26" s="71">
        <f>+BJ26*19%</f>
        <v>15168.067226890758</v>
      </c>
      <c r="BL26" s="71">
        <f>+BK26+BJ26</f>
        <v>95000</v>
      </c>
      <c r="BM26" s="46" t="s">
        <v>502</v>
      </c>
      <c r="BN26" s="46" t="s">
        <v>502</v>
      </c>
      <c r="BO26" s="49" t="s">
        <v>502</v>
      </c>
      <c r="BP26" s="46" t="s">
        <v>502</v>
      </c>
      <c r="BQ26" s="46" t="s">
        <v>502</v>
      </c>
      <c r="BR26" s="49" t="s">
        <v>502</v>
      </c>
      <c r="BS26" s="46" t="s">
        <v>502</v>
      </c>
      <c r="BT26" s="46" t="s">
        <v>502</v>
      </c>
      <c r="BU26" s="49" t="s">
        <v>502</v>
      </c>
      <c r="BV26" s="46" t="s">
        <v>502</v>
      </c>
      <c r="BW26" s="46" t="s">
        <v>502</v>
      </c>
      <c r="BX26" s="49" t="s">
        <v>502</v>
      </c>
      <c r="BY26" s="46" t="s">
        <v>502</v>
      </c>
      <c r="BZ26" s="46" t="s">
        <v>502</v>
      </c>
      <c r="CA26" s="49" t="s">
        <v>502</v>
      </c>
      <c r="CB26" s="46" t="s">
        <v>502</v>
      </c>
      <c r="CC26" s="46" t="s">
        <v>502</v>
      </c>
      <c r="CD26" s="49" t="s">
        <v>502</v>
      </c>
      <c r="CE26" s="46" t="s">
        <v>502</v>
      </c>
      <c r="CF26" s="46" t="s">
        <v>502</v>
      </c>
      <c r="CG26" s="49" t="s">
        <v>502</v>
      </c>
      <c r="CH26" s="46" t="s">
        <v>502</v>
      </c>
      <c r="CI26" s="46" t="s">
        <v>502</v>
      </c>
      <c r="CJ26" s="49" t="s">
        <v>502</v>
      </c>
      <c r="CK26" s="46" t="s">
        <v>502</v>
      </c>
      <c r="CL26" s="46" t="s">
        <v>502</v>
      </c>
      <c r="CM26" s="49" t="s">
        <v>502</v>
      </c>
      <c r="CN26" s="46" t="s">
        <v>502</v>
      </c>
      <c r="CO26" s="46" t="s">
        <v>502</v>
      </c>
      <c r="CP26" s="49" t="s">
        <v>502</v>
      </c>
      <c r="CQ26" s="46" t="s">
        <v>502</v>
      </c>
      <c r="CR26" s="46" t="s">
        <v>502</v>
      </c>
      <c r="CS26" s="49" t="s">
        <v>502</v>
      </c>
      <c r="CT26" s="46" t="s">
        <v>502</v>
      </c>
      <c r="CU26" s="46" t="s">
        <v>502</v>
      </c>
      <c r="CV26" s="49" t="s">
        <v>502</v>
      </c>
      <c r="CW26" s="46" t="s">
        <v>502</v>
      </c>
      <c r="CX26" s="46" t="s">
        <v>502</v>
      </c>
      <c r="CY26" s="49" t="s">
        <v>502</v>
      </c>
      <c r="CZ26" s="46" t="s">
        <v>502</v>
      </c>
      <c r="DA26" s="46" t="s">
        <v>502</v>
      </c>
      <c r="DB26" s="49" t="s">
        <v>502</v>
      </c>
      <c r="DC26" s="46" t="s">
        <v>502</v>
      </c>
      <c r="DD26" s="46" t="s">
        <v>502</v>
      </c>
      <c r="DE26" s="49" t="s">
        <v>502</v>
      </c>
      <c r="DF26" s="46" t="s">
        <v>502</v>
      </c>
      <c r="DG26" s="46" t="s">
        <v>502</v>
      </c>
      <c r="DH26" s="49" t="s">
        <v>502</v>
      </c>
      <c r="DI26" s="46">
        <f>89900/1.19</f>
        <v>75546.218487394959</v>
      </c>
      <c r="DJ26" s="46">
        <f t="shared" si="42"/>
        <v>14353.781512605043</v>
      </c>
      <c r="DK26" s="46">
        <f t="shared" si="43"/>
        <v>89900</v>
      </c>
      <c r="DL26" s="46" t="s">
        <v>502</v>
      </c>
      <c r="DM26" s="46" t="s">
        <v>502</v>
      </c>
      <c r="DN26" s="49" t="s">
        <v>502</v>
      </c>
      <c r="DO26" s="46" t="s">
        <v>502</v>
      </c>
      <c r="DP26" s="46" t="s">
        <v>502</v>
      </c>
      <c r="DQ26" s="49" t="s">
        <v>502</v>
      </c>
      <c r="DR26" s="46" t="s">
        <v>502</v>
      </c>
      <c r="DS26" s="46" t="s">
        <v>502</v>
      </c>
      <c r="DT26" s="49" t="s">
        <v>502</v>
      </c>
      <c r="DU26" s="46" t="s">
        <v>502</v>
      </c>
      <c r="DV26" s="46" t="s">
        <v>502</v>
      </c>
      <c r="DW26" s="49" t="s">
        <v>502</v>
      </c>
      <c r="DX26" s="46" t="s">
        <v>502</v>
      </c>
      <c r="DY26" s="46" t="s">
        <v>502</v>
      </c>
      <c r="DZ26" s="49" t="s">
        <v>502</v>
      </c>
      <c r="EA26" s="46" t="s">
        <v>502</v>
      </c>
      <c r="EB26" s="46" t="s">
        <v>502</v>
      </c>
      <c r="EC26" s="49" t="s">
        <v>502</v>
      </c>
      <c r="ED26" s="46" t="s">
        <v>502</v>
      </c>
      <c r="EE26" s="46" t="s">
        <v>502</v>
      </c>
      <c r="EF26" s="49" t="s">
        <v>502</v>
      </c>
      <c r="EG26" s="46" t="s">
        <v>502</v>
      </c>
      <c r="EH26" s="46" t="s">
        <v>502</v>
      </c>
      <c r="EI26" s="49" t="s">
        <v>502</v>
      </c>
      <c r="EJ26" s="46">
        <f>84200/1.19</f>
        <v>70756.302521008402</v>
      </c>
      <c r="EK26" s="46">
        <f t="shared" si="44"/>
        <v>13443.697478991597</v>
      </c>
      <c r="EL26" s="46">
        <f t="shared" si="45"/>
        <v>84200</v>
      </c>
      <c r="EM26" s="46" t="s">
        <v>502</v>
      </c>
      <c r="EN26" s="46" t="s">
        <v>502</v>
      </c>
      <c r="EO26" s="49" t="s">
        <v>502</v>
      </c>
      <c r="EP26" s="46" t="s">
        <v>502</v>
      </c>
      <c r="EQ26" s="46" t="s">
        <v>502</v>
      </c>
      <c r="ER26" s="49" t="s">
        <v>502</v>
      </c>
      <c r="ES26" s="46" t="s">
        <v>502</v>
      </c>
      <c r="ET26" s="46" t="s">
        <v>502</v>
      </c>
      <c r="EU26" s="49" t="s">
        <v>502</v>
      </c>
      <c r="EV26" s="46" t="s">
        <v>502</v>
      </c>
      <c r="EW26" s="46" t="s">
        <v>502</v>
      </c>
      <c r="EX26" s="49" t="s">
        <v>502</v>
      </c>
      <c r="EY26" s="46" t="s">
        <v>502</v>
      </c>
      <c r="EZ26" s="46" t="s">
        <v>502</v>
      </c>
      <c r="FA26" s="49" t="s">
        <v>502</v>
      </c>
      <c r="FB26" s="46" t="s">
        <v>502</v>
      </c>
      <c r="FC26" s="46" t="s">
        <v>502</v>
      </c>
      <c r="FD26" s="49" t="s">
        <v>502</v>
      </c>
      <c r="FE26" s="46" t="s">
        <v>502</v>
      </c>
      <c r="FF26" s="46" t="s">
        <v>502</v>
      </c>
      <c r="FG26" s="49" t="s">
        <v>502</v>
      </c>
      <c r="FH26" s="46" t="s">
        <v>502</v>
      </c>
      <c r="FI26" s="46" t="s">
        <v>502</v>
      </c>
      <c r="FJ26" s="49" t="s">
        <v>502</v>
      </c>
      <c r="FK26" s="46" t="s">
        <v>502</v>
      </c>
      <c r="FL26" s="46" t="s">
        <v>502</v>
      </c>
      <c r="FM26" s="49" t="s">
        <v>502</v>
      </c>
      <c r="FN26" s="46" t="s">
        <v>502</v>
      </c>
      <c r="FO26" s="46" t="s">
        <v>502</v>
      </c>
      <c r="FP26" s="49" t="s">
        <v>502</v>
      </c>
      <c r="FQ26" s="46" t="s">
        <v>502</v>
      </c>
      <c r="FR26" s="46" t="s">
        <v>502</v>
      </c>
      <c r="FS26" s="49" t="s">
        <v>502</v>
      </c>
      <c r="FT26" s="46" t="s">
        <v>502</v>
      </c>
      <c r="FU26" s="46" t="s">
        <v>502</v>
      </c>
      <c r="FV26" s="49" t="s">
        <v>502</v>
      </c>
      <c r="FW26" s="50">
        <f t="shared" si="7"/>
        <v>3</v>
      </c>
      <c r="FX26" s="51">
        <f t="shared" si="8"/>
        <v>89700</v>
      </c>
      <c r="FY26" s="46">
        <f t="shared" si="6"/>
        <v>89700</v>
      </c>
      <c r="FZ26" s="52" t="s">
        <v>504</v>
      </c>
    </row>
    <row r="27" spans="1:182" ht="192.75" customHeight="1" x14ac:dyDescent="0.2">
      <c r="A27" s="53">
        <v>24</v>
      </c>
      <c r="B27" s="60" t="s">
        <v>12</v>
      </c>
      <c r="C27" s="41" t="s">
        <v>143</v>
      </c>
      <c r="D27" s="42">
        <v>10210000</v>
      </c>
      <c r="E27" s="43" t="s">
        <v>338</v>
      </c>
      <c r="F27" s="44" t="s">
        <v>86</v>
      </c>
      <c r="G27" s="66" t="s">
        <v>501</v>
      </c>
      <c r="H27" s="46" t="s">
        <v>502</v>
      </c>
      <c r="I27" s="46" t="s">
        <v>502</v>
      </c>
      <c r="J27" s="46" t="s">
        <v>502</v>
      </c>
      <c r="K27" s="46" t="s">
        <v>502</v>
      </c>
      <c r="L27" s="46" t="s">
        <v>502</v>
      </c>
      <c r="M27" s="46" t="s">
        <v>502</v>
      </c>
      <c r="N27" s="46" t="s">
        <v>502</v>
      </c>
      <c r="O27" s="46" t="s">
        <v>502</v>
      </c>
      <c r="P27" s="46" t="s">
        <v>502</v>
      </c>
      <c r="Q27" s="46" t="s">
        <v>502</v>
      </c>
      <c r="R27" s="46" t="s">
        <v>502</v>
      </c>
      <c r="S27" s="46" t="s">
        <v>502</v>
      </c>
      <c r="T27" s="46" t="s">
        <v>502</v>
      </c>
      <c r="U27" s="46" t="s">
        <v>502</v>
      </c>
      <c r="V27" s="46" t="s">
        <v>502</v>
      </c>
      <c r="W27" s="46" t="s">
        <v>502</v>
      </c>
      <c r="X27" s="46" t="s">
        <v>502</v>
      </c>
      <c r="Y27" s="46" t="s">
        <v>502</v>
      </c>
      <c r="Z27" s="46" t="s">
        <v>502</v>
      </c>
      <c r="AA27" s="46" t="s">
        <v>502</v>
      </c>
      <c r="AB27" s="46" t="s">
        <v>502</v>
      </c>
      <c r="AC27" s="46" t="s">
        <v>502</v>
      </c>
      <c r="AD27" s="46" t="s">
        <v>502</v>
      </c>
      <c r="AE27" s="46" t="s">
        <v>502</v>
      </c>
      <c r="AF27" s="46" t="s">
        <v>502</v>
      </c>
      <c r="AG27" s="46" t="s">
        <v>502</v>
      </c>
      <c r="AH27" s="46" t="s">
        <v>502</v>
      </c>
      <c r="AI27" s="46" t="s">
        <v>502</v>
      </c>
      <c r="AJ27" s="46" t="s">
        <v>502</v>
      </c>
      <c r="AK27" s="46" t="s">
        <v>502</v>
      </c>
      <c r="AL27" s="46" t="s">
        <v>502</v>
      </c>
      <c r="AM27" s="46" t="s">
        <v>502</v>
      </c>
      <c r="AN27" s="49" t="s">
        <v>502</v>
      </c>
      <c r="AO27" s="46" t="s">
        <v>502</v>
      </c>
      <c r="AP27" s="46" t="s">
        <v>502</v>
      </c>
      <c r="AQ27" s="49" t="s">
        <v>502</v>
      </c>
      <c r="AR27" s="46" t="s">
        <v>502</v>
      </c>
      <c r="AS27" s="46" t="s">
        <v>502</v>
      </c>
      <c r="AT27" s="49" t="s">
        <v>502</v>
      </c>
      <c r="AU27" s="46" t="s">
        <v>502</v>
      </c>
      <c r="AV27" s="46" t="s">
        <v>502</v>
      </c>
      <c r="AW27" s="49" t="s">
        <v>502</v>
      </c>
      <c r="AX27" s="46" t="s">
        <v>502</v>
      </c>
      <c r="AY27" s="46" t="s">
        <v>502</v>
      </c>
      <c r="AZ27" s="49" t="s">
        <v>502</v>
      </c>
      <c r="BA27" s="46" t="s">
        <v>502</v>
      </c>
      <c r="BB27" s="46" t="s">
        <v>502</v>
      </c>
      <c r="BC27" s="49" t="s">
        <v>502</v>
      </c>
      <c r="BD27" s="46" t="s">
        <v>502</v>
      </c>
      <c r="BE27" s="46" t="s">
        <v>502</v>
      </c>
      <c r="BF27" s="49" t="s">
        <v>502</v>
      </c>
      <c r="BG27" s="46" t="s">
        <v>502</v>
      </c>
      <c r="BH27" s="46" t="s">
        <v>502</v>
      </c>
      <c r="BI27" s="49" t="s">
        <v>502</v>
      </c>
      <c r="BJ27" s="71">
        <v>8000</v>
      </c>
      <c r="BK27" s="71">
        <f>+BJ27*0%</f>
        <v>0</v>
      </c>
      <c r="BL27" s="71">
        <f>+BK27+BJ27</f>
        <v>8000</v>
      </c>
      <c r="BM27" s="46" t="s">
        <v>502</v>
      </c>
      <c r="BN27" s="46" t="s">
        <v>502</v>
      </c>
      <c r="BO27" s="49" t="s">
        <v>502</v>
      </c>
      <c r="BP27" s="46" t="s">
        <v>502</v>
      </c>
      <c r="BQ27" s="46" t="s">
        <v>502</v>
      </c>
      <c r="BR27" s="49" t="s">
        <v>502</v>
      </c>
      <c r="BS27" s="46" t="s">
        <v>502</v>
      </c>
      <c r="BT27" s="46" t="s">
        <v>502</v>
      </c>
      <c r="BU27" s="49" t="s">
        <v>502</v>
      </c>
      <c r="BV27" s="46" t="s">
        <v>502</v>
      </c>
      <c r="BW27" s="46" t="s">
        <v>502</v>
      </c>
      <c r="BX27" s="49" t="s">
        <v>502</v>
      </c>
      <c r="BY27" s="46" t="s">
        <v>502</v>
      </c>
      <c r="BZ27" s="46" t="s">
        <v>502</v>
      </c>
      <c r="CA27" s="49" t="s">
        <v>502</v>
      </c>
      <c r="CB27" s="46" t="s">
        <v>502</v>
      </c>
      <c r="CC27" s="46" t="s">
        <v>502</v>
      </c>
      <c r="CD27" s="49" t="s">
        <v>502</v>
      </c>
      <c r="CE27" s="46" t="s">
        <v>502</v>
      </c>
      <c r="CF27" s="46" t="s">
        <v>502</v>
      </c>
      <c r="CG27" s="49" t="s">
        <v>502</v>
      </c>
      <c r="CH27" s="46" t="s">
        <v>502</v>
      </c>
      <c r="CI27" s="46" t="s">
        <v>502</v>
      </c>
      <c r="CJ27" s="49" t="s">
        <v>502</v>
      </c>
      <c r="CK27" s="46" t="s">
        <v>502</v>
      </c>
      <c r="CL27" s="46" t="s">
        <v>502</v>
      </c>
      <c r="CM27" s="49" t="s">
        <v>502</v>
      </c>
      <c r="CN27" s="46" t="s">
        <v>502</v>
      </c>
      <c r="CO27" s="46" t="s">
        <v>502</v>
      </c>
      <c r="CP27" s="49" t="s">
        <v>502</v>
      </c>
      <c r="CQ27" s="46" t="s">
        <v>502</v>
      </c>
      <c r="CR27" s="46" t="s">
        <v>502</v>
      </c>
      <c r="CS27" s="49" t="s">
        <v>502</v>
      </c>
      <c r="CT27" s="46" t="s">
        <v>502</v>
      </c>
      <c r="CU27" s="46" t="s">
        <v>502</v>
      </c>
      <c r="CV27" s="49" t="s">
        <v>502</v>
      </c>
      <c r="CW27" s="46" t="s">
        <v>502</v>
      </c>
      <c r="CX27" s="46" t="s">
        <v>502</v>
      </c>
      <c r="CY27" s="49" t="s">
        <v>502</v>
      </c>
      <c r="CZ27" s="46" t="s">
        <v>502</v>
      </c>
      <c r="DA27" s="46" t="s">
        <v>502</v>
      </c>
      <c r="DB27" s="49" t="s">
        <v>502</v>
      </c>
      <c r="DC27" s="46" t="s">
        <v>502</v>
      </c>
      <c r="DD27" s="46" t="s">
        <v>502</v>
      </c>
      <c r="DE27" s="49" t="s">
        <v>502</v>
      </c>
      <c r="DF27" s="46" t="s">
        <v>502</v>
      </c>
      <c r="DG27" s="46" t="s">
        <v>502</v>
      </c>
      <c r="DH27" s="49" t="s">
        <v>502</v>
      </c>
      <c r="DI27" s="46">
        <f>6900/1.19</f>
        <v>5798.3193277310929</v>
      </c>
      <c r="DJ27" s="46">
        <f t="shared" si="42"/>
        <v>1101.6806722689078</v>
      </c>
      <c r="DK27" s="46">
        <f t="shared" si="43"/>
        <v>6900.0000000000009</v>
      </c>
      <c r="DL27" s="46" t="s">
        <v>502</v>
      </c>
      <c r="DM27" s="46" t="s">
        <v>502</v>
      </c>
      <c r="DN27" s="49" t="s">
        <v>502</v>
      </c>
      <c r="DO27" s="46" t="s">
        <v>502</v>
      </c>
      <c r="DP27" s="46" t="s">
        <v>502</v>
      </c>
      <c r="DQ27" s="49" t="s">
        <v>502</v>
      </c>
      <c r="DR27" s="46" t="s">
        <v>502</v>
      </c>
      <c r="DS27" s="46" t="s">
        <v>502</v>
      </c>
      <c r="DT27" s="49" t="s">
        <v>502</v>
      </c>
      <c r="DU27" s="46" t="s">
        <v>502</v>
      </c>
      <c r="DV27" s="46" t="s">
        <v>502</v>
      </c>
      <c r="DW27" s="49" t="s">
        <v>502</v>
      </c>
      <c r="DX27" s="46" t="s">
        <v>502</v>
      </c>
      <c r="DY27" s="46" t="s">
        <v>502</v>
      </c>
      <c r="DZ27" s="49" t="s">
        <v>502</v>
      </c>
      <c r="EA27" s="46" t="s">
        <v>502</v>
      </c>
      <c r="EB27" s="46" t="s">
        <v>502</v>
      </c>
      <c r="EC27" s="49" t="s">
        <v>502</v>
      </c>
      <c r="ED27" s="46" t="s">
        <v>502</v>
      </c>
      <c r="EE27" s="46" t="s">
        <v>502</v>
      </c>
      <c r="EF27" s="49" t="s">
        <v>502</v>
      </c>
      <c r="EG27" s="46" t="s">
        <v>502</v>
      </c>
      <c r="EH27" s="46" t="s">
        <v>502</v>
      </c>
      <c r="EI27" s="49" t="s">
        <v>502</v>
      </c>
      <c r="EJ27" s="46">
        <f>8900/1.19</f>
        <v>7478.9915966386561</v>
      </c>
      <c r="EK27" s="46">
        <f t="shared" si="44"/>
        <v>1421.0084033613448</v>
      </c>
      <c r="EL27" s="46">
        <f t="shared" si="45"/>
        <v>8900</v>
      </c>
      <c r="EM27" s="46" t="s">
        <v>502</v>
      </c>
      <c r="EN27" s="46" t="s">
        <v>502</v>
      </c>
      <c r="EO27" s="49" t="s">
        <v>502</v>
      </c>
      <c r="EP27" s="46" t="s">
        <v>502</v>
      </c>
      <c r="EQ27" s="46" t="s">
        <v>502</v>
      </c>
      <c r="ER27" s="49" t="s">
        <v>502</v>
      </c>
      <c r="ES27" s="46" t="s">
        <v>502</v>
      </c>
      <c r="ET27" s="46" t="s">
        <v>502</v>
      </c>
      <c r="EU27" s="49" t="s">
        <v>502</v>
      </c>
      <c r="EV27" s="46" t="s">
        <v>502</v>
      </c>
      <c r="EW27" s="46" t="s">
        <v>502</v>
      </c>
      <c r="EX27" s="49" t="s">
        <v>502</v>
      </c>
      <c r="EY27" s="46" t="s">
        <v>502</v>
      </c>
      <c r="EZ27" s="46" t="s">
        <v>502</v>
      </c>
      <c r="FA27" s="49" t="s">
        <v>502</v>
      </c>
      <c r="FB27" s="46" t="s">
        <v>502</v>
      </c>
      <c r="FC27" s="46" t="s">
        <v>502</v>
      </c>
      <c r="FD27" s="49" t="s">
        <v>502</v>
      </c>
      <c r="FE27" s="46" t="s">
        <v>502</v>
      </c>
      <c r="FF27" s="46" t="s">
        <v>502</v>
      </c>
      <c r="FG27" s="49" t="s">
        <v>502</v>
      </c>
      <c r="FH27" s="46" t="s">
        <v>502</v>
      </c>
      <c r="FI27" s="46" t="s">
        <v>502</v>
      </c>
      <c r="FJ27" s="49" t="s">
        <v>502</v>
      </c>
      <c r="FK27" s="46" t="s">
        <v>502</v>
      </c>
      <c r="FL27" s="46" t="s">
        <v>502</v>
      </c>
      <c r="FM27" s="49" t="s">
        <v>502</v>
      </c>
      <c r="FN27" s="46" t="s">
        <v>502</v>
      </c>
      <c r="FO27" s="46" t="s">
        <v>502</v>
      </c>
      <c r="FP27" s="49" t="s">
        <v>502</v>
      </c>
      <c r="FQ27" s="46" t="s">
        <v>502</v>
      </c>
      <c r="FR27" s="46" t="s">
        <v>502</v>
      </c>
      <c r="FS27" s="49" t="s">
        <v>502</v>
      </c>
      <c r="FT27" s="46" t="s">
        <v>502</v>
      </c>
      <c r="FU27" s="46" t="s">
        <v>502</v>
      </c>
      <c r="FV27" s="49" t="s">
        <v>502</v>
      </c>
      <c r="FW27" s="50">
        <f t="shared" si="7"/>
        <v>3</v>
      </c>
      <c r="FX27" s="51">
        <f t="shared" si="8"/>
        <v>7933.333333333333</v>
      </c>
      <c r="FY27" s="46">
        <f t="shared" si="6"/>
        <v>7950</v>
      </c>
      <c r="FZ27" s="52" t="s">
        <v>504</v>
      </c>
    </row>
    <row r="28" spans="1:182" ht="127.5" customHeight="1" x14ac:dyDescent="0.2">
      <c r="A28" s="39">
        <v>25</v>
      </c>
      <c r="B28" s="60" t="s">
        <v>12</v>
      </c>
      <c r="C28" s="41" t="s">
        <v>143</v>
      </c>
      <c r="D28" s="42">
        <v>10210000</v>
      </c>
      <c r="E28" s="43" t="s">
        <v>339</v>
      </c>
      <c r="F28" s="44" t="s">
        <v>86</v>
      </c>
      <c r="G28" s="66" t="s">
        <v>501</v>
      </c>
      <c r="H28" s="46" t="s">
        <v>502</v>
      </c>
      <c r="I28" s="46" t="s">
        <v>502</v>
      </c>
      <c r="J28" s="46" t="s">
        <v>502</v>
      </c>
      <c r="K28" s="46" t="s">
        <v>502</v>
      </c>
      <c r="L28" s="46" t="s">
        <v>502</v>
      </c>
      <c r="M28" s="46" t="s">
        <v>502</v>
      </c>
      <c r="N28" s="46" t="s">
        <v>502</v>
      </c>
      <c r="O28" s="46" t="s">
        <v>502</v>
      </c>
      <c r="P28" s="46" t="s">
        <v>502</v>
      </c>
      <c r="Q28" s="46" t="s">
        <v>502</v>
      </c>
      <c r="R28" s="46" t="s">
        <v>502</v>
      </c>
      <c r="S28" s="46" t="s">
        <v>502</v>
      </c>
      <c r="T28" s="46" t="s">
        <v>502</v>
      </c>
      <c r="U28" s="46" t="s">
        <v>502</v>
      </c>
      <c r="V28" s="46" t="s">
        <v>502</v>
      </c>
      <c r="W28" s="46" t="s">
        <v>502</v>
      </c>
      <c r="X28" s="46" t="s">
        <v>502</v>
      </c>
      <c r="Y28" s="46" t="s">
        <v>502</v>
      </c>
      <c r="Z28" s="46" t="s">
        <v>502</v>
      </c>
      <c r="AA28" s="46" t="s">
        <v>502</v>
      </c>
      <c r="AB28" s="46" t="s">
        <v>502</v>
      </c>
      <c r="AC28" s="46" t="s">
        <v>502</v>
      </c>
      <c r="AD28" s="46" t="s">
        <v>502</v>
      </c>
      <c r="AE28" s="46" t="s">
        <v>502</v>
      </c>
      <c r="AF28" s="46" t="s">
        <v>502</v>
      </c>
      <c r="AG28" s="46" t="s">
        <v>502</v>
      </c>
      <c r="AH28" s="46" t="s">
        <v>502</v>
      </c>
      <c r="AI28" s="46" t="s">
        <v>502</v>
      </c>
      <c r="AJ28" s="46" t="s">
        <v>502</v>
      </c>
      <c r="AK28" s="46" t="s">
        <v>502</v>
      </c>
      <c r="AL28" s="46" t="s">
        <v>502</v>
      </c>
      <c r="AM28" s="46" t="s">
        <v>502</v>
      </c>
      <c r="AN28" s="49" t="s">
        <v>502</v>
      </c>
      <c r="AO28" s="46" t="s">
        <v>502</v>
      </c>
      <c r="AP28" s="46" t="s">
        <v>502</v>
      </c>
      <c r="AQ28" s="49" t="s">
        <v>502</v>
      </c>
      <c r="AR28" s="46" t="s">
        <v>502</v>
      </c>
      <c r="AS28" s="46" t="s">
        <v>502</v>
      </c>
      <c r="AT28" s="49" t="s">
        <v>502</v>
      </c>
      <c r="AU28" s="46" t="s">
        <v>502</v>
      </c>
      <c r="AV28" s="46" t="s">
        <v>502</v>
      </c>
      <c r="AW28" s="49" t="s">
        <v>502</v>
      </c>
      <c r="AX28" s="46" t="s">
        <v>502</v>
      </c>
      <c r="AY28" s="46" t="s">
        <v>502</v>
      </c>
      <c r="AZ28" s="49" t="s">
        <v>502</v>
      </c>
      <c r="BA28" s="46" t="s">
        <v>502</v>
      </c>
      <c r="BB28" s="46" t="s">
        <v>502</v>
      </c>
      <c r="BC28" s="49" t="s">
        <v>502</v>
      </c>
      <c r="BD28" s="46" t="s">
        <v>502</v>
      </c>
      <c r="BE28" s="46" t="s">
        <v>502</v>
      </c>
      <c r="BF28" s="49" t="s">
        <v>502</v>
      </c>
      <c r="BG28" s="46" t="s">
        <v>502</v>
      </c>
      <c r="BH28" s="46" t="s">
        <v>502</v>
      </c>
      <c r="BI28" s="49" t="s">
        <v>502</v>
      </c>
      <c r="BJ28" s="71">
        <v>10200</v>
      </c>
      <c r="BK28" s="71">
        <f t="shared" ref="BK28:BK34" si="46">+BJ28*0%</f>
        <v>0</v>
      </c>
      <c r="BL28" s="71">
        <f t="shared" ref="BL28:BL34" si="47">+BK28+BJ28</f>
        <v>10200</v>
      </c>
      <c r="BM28" s="46" t="s">
        <v>502</v>
      </c>
      <c r="BN28" s="46" t="s">
        <v>502</v>
      </c>
      <c r="BO28" s="49" t="s">
        <v>502</v>
      </c>
      <c r="BP28" s="46" t="s">
        <v>502</v>
      </c>
      <c r="BQ28" s="46" t="s">
        <v>502</v>
      </c>
      <c r="BR28" s="49" t="s">
        <v>502</v>
      </c>
      <c r="BS28" s="46" t="s">
        <v>502</v>
      </c>
      <c r="BT28" s="46" t="s">
        <v>502</v>
      </c>
      <c r="BU28" s="49" t="s">
        <v>502</v>
      </c>
      <c r="BV28" s="46" t="s">
        <v>502</v>
      </c>
      <c r="BW28" s="46" t="s">
        <v>502</v>
      </c>
      <c r="BX28" s="49" t="s">
        <v>502</v>
      </c>
      <c r="BY28" s="46" t="s">
        <v>502</v>
      </c>
      <c r="BZ28" s="46" t="s">
        <v>502</v>
      </c>
      <c r="CA28" s="49" t="s">
        <v>502</v>
      </c>
      <c r="CB28" s="46" t="s">
        <v>502</v>
      </c>
      <c r="CC28" s="46" t="s">
        <v>502</v>
      </c>
      <c r="CD28" s="49" t="s">
        <v>502</v>
      </c>
      <c r="CE28" s="46" t="s">
        <v>502</v>
      </c>
      <c r="CF28" s="46" t="s">
        <v>502</v>
      </c>
      <c r="CG28" s="49" t="s">
        <v>502</v>
      </c>
      <c r="CH28" s="46" t="s">
        <v>502</v>
      </c>
      <c r="CI28" s="46" t="s">
        <v>502</v>
      </c>
      <c r="CJ28" s="49" t="s">
        <v>502</v>
      </c>
      <c r="CK28" s="46" t="s">
        <v>502</v>
      </c>
      <c r="CL28" s="46" t="s">
        <v>502</v>
      </c>
      <c r="CM28" s="49" t="s">
        <v>502</v>
      </c>
      <c r="CN28" s="46" t="s">
        <v>502</v>
      </c>
      <c r="CO28" s="46" t="s">
        <v>502</v>
      </c>
      <c r="CP28" s="49" t="s">
        <v>502</v>
      </c>
      <c r="CQ28" s="46" t="s">
        <v>502</v>
      </c>
      <c r="CR28" s="46" t="s">
        <v>502</v>
      </c>
      <c r="CS28" s="49" t="s">
        <v>502</v>
      </c>
      <c r="CT28" s="46" t="s">
        <v>502</v>
      </c>
      <c r="CU28" s="46" t="s">
        <v>502</v>
      </c>
      <c r="CV28" s="49" t="s">
        <v>502</v>
      </c>
      <c r="CW28" s="46" t="s">
        <v>502</v>
      </c>
      <c r="CX28" s="46" t="s">
        <v>502</v>
      </c>
      <c r="CY28" s="49" t="s">
        <v>502</v>
      </c>
      <c r="CZ28" s="46" t="s">
        <v>502</v>
      </c>
      <c r="DA28" s="46" t="s">
        <v>502</v>
      </c>
      <c r="DB28" s="49" t="s">
        <v>502</v>
      </c>
      <c r="DC28" s="46" t="s">
        <v>502</v>
      </c>
      <c r="DD28" s="46" t="s">
        <v>502</v>
      </c>
      <c r="DE28" s="49" t="s">
        <v>502</v>
      </c>
      <c r="DF28" s="46" t="s">
        <v>502</v>
      </c>
      <c r="DG28" s="46" t="s">
        <v>502</v>
      </c>
      <c r="DH28" s="49" t="s">
        <v>502</v>
      </c>
      <c r="DI28" s="46">
        <f>9300/1.19</f>
        <v>7815.1260504201682</v>
      </c>
      <c r="DJ28" s="46">
        <f t="shared" si="42"/>
        <v>1484.873949579832</v>
      </c>
      <c r="DK28" s="46">
        <f t="shared" si="43"/>
        <v>9300</v>
      </c>
      <c r="DL28" s="46" t="s">
        <v>502</v>
      </c>
      <c r="DM28" s="46" t="s">
        <v>502</v>
      </c>
      <c r="DN28" s="49" t="s">
        <v>502</v>
      </c>
      <c r="DO28" s="46" t="s">
        <v>502</v>
      </c>
      <c r="DP28" s="46" t="s">
        <v>502</v>
      </c>
      <c r="DQ28" s="49" t="s">
        <v>502</v>
      </c>
      <c r="DR28" s="46" t="s">
        <v>502</v>
      </c>
      <c r="DS28" s="46" t="s">
        <v>502</v>
      </c>
      <c r="DT28" s="49" t="s">
        <v>502</v>
      </c>
      <c r="DU28" s="46" t="s">
        <v>502</v>
      </c>
      <c r="DV28" s="46" t="s">
        <v>502</v>
      </c>
      <c r="DW28" s="49" t="s">
        <v>502</v>
      </c>
      <c r="DX28" s="46" t="s">
        <v>502</v>
      </c>
      <c r="DY28" s="46" t="s">
        <v>502</v>
      </c>
      <c r="DZ28" s="49" t="s">
        <v>502</v>
      </c>
      <c r="EA28" s="46" t="s">
        <v>502</v>
      </c>
      <c r="EB28" s="46" t="s">
        <v>502</v>
      </c>
      <c r="EC28" s="49" t="s">
        <v>502</v>
      </c>
      <c r="ED28" s="46" t="s">
        <v>502</v>
      </c>
      <c r="EE28" s="46" t="s">
        <v>502</v>
      </c>
      <c r="EF28" s="49" t="s">
        <v>502</v>
      </c>
      <c r="EG28" s="46" t="s">
        <v>502</v>
      </c>
      <c r="EH28" s="46" t="s">
        <v>502</v>
      </c>
      <c r="EI28" s="49" t="s">
        <v>502</v>
      </c>
      <c r="EJ28" s="46">
        <f>11000/1.19</f>
        <v>9243.6974789915967</v>
      </c>
      <c r="EK28" s="46">
        <f t="shared" si="44"/>
        <v>1756.3025210084033</v>
      </c>
      <c r="EL28" s="46">
        <f t="shared" si="45"/>
        <v>11000</v>
      </c>
      <c r="EM28" s="46" t="s">
        <v>502</v>
      </c>
      <c r="EN28" s="46" t="s">
        <v>502</v>
      </c>
      <c r="EO28" s="49" t="s">
        <v>502</v>
      </c>
      <c r="EP28" s="46" t="s">
        <v>502</v>
      </c>
      <c r="EQ28" s="46" t="s">
        <v>502</v>
      </c>
      <c r="ER28" s="49" t="s">
        <v>502</v>
      </c>
      <c r="ES28" s="46" t="s">
        <v>502</v>
      </c>
      <c r="ET28" s="46" t="s">
        <v>502</v>
      </c>
      <c r="EU28" s="49" t="s">
        <v>502</v>
      </c>
      <c r="EV28" s="46" t="s">
        <v>502</v>
      </c>
      <c r="EW28" s="46" t="s">
        <v>502</v>
      </c>
      <c r="EX28" s="49" t="s">
        <v>502</v>
      </c>
      <c r="EY28" s="46" t="s">
        <v>502</v>
      </c>
      <c r="EZ28" s="46" t="s">
        <v>502</v>
      </c>
      <c r="FA28" s="49" t="s">
        <v>502</v>
      </c>
      <c r="FB28" s="46" t="s">
        <v>502</v>
      </c>
      <c r="FC28" s="46" t="s">
        <v>502</v>
      </c>
      <c r="FD28" s="49" t="s">
        <v>502</v>
      </c>
      <c r="FE28" s="46" t="s">
        <v>502</v>
      </c>
      <c r="FF28" s="46" t="s">
        <v>502</v>
      </c>
      <c r="FG28" s="49" t="s">
        <v>502</v>
      </c>
      <c r="FH28" s="46" t="s">
        <v>502</v>
      </c>
      <c r="FI28" s="46" t="s">
        <v>502</v>
      </c>
      <c r="FJ28" s="49" t="s">
        <v>502</v>
      </c>
      <c r="FK28" s="46" t="s">
        <v>502</v>
      </c>
      <c r="FL28" s="46" t="s">
        <v>502</v>
      </c>
      <c r="FM28" s="49" t="s">
        <v>502</v>
      </c>
      <c r="FN28" s="46" t="s">
        <v>502</v>
      </c>
      <c r="FO28" s="46" t="s">
        <v>502</v>
      </c>
      <c r="FP28" s="49" t="s">
        <v>502</v>
      </c>
      <c r="FQ28" s="46" t="s">
        <v>502</v>
      </c>
      <c r="FR28" s="46" t="s">
        <v>502</v>
      </c>
      <c r="FS28" s="49" t="s">
        <v>502</v>
      </c>
      <c r="FT28" s="46" t="s">
        <v>502</v>
      </c>
      <c r="FU28" s="46" t="s">
        <v>502</v>
      </c>
      <c r="FV28" s="49" t="s">
        <v>502</v>
      </c>
      <c r="FW28" s="50">
        <f t="shared" si="7"/>
        <v>3</v>
      </c>
      <c r="FX28" s="51">
        <f t="shared" si="8"/>
        <v>10166.666666666666</v>
      </c>
      <c r="FY28" s="46">
        <f t="shared" si="6"/>
        <v>10200</v>
      </c>
      <c r="FZ28" s="52" t="s">
        <v>504</v>
      </c>
    </row>
    <row r="29" spans="1:182" ht="165.75" customHeight="1" x14ac:dyDescent="0.2">
      <c r="A29" s="39">
        <v>26</v>
      </c>
      <c r="B29" s="60" t="s">
        <v>12</v>
      </c>
      <c r="C29" s="41" t="s">
        <v>143</v>
      </c>
      <c r="D29" s="42">
        <v>10210000</v>
      </c>
      <c r="E29" s="43" t="s">
        <v>340</v>
      </c>
      <c r="F29" s="44" t="s">
        <v>86</v>
      </c>
      <c r="G29" s="66" t="s">
        <v>501</v>
      </c>
      <c r="H29" s="46" t="s">
        <v>502</v>
      </c>
      <c r="I29" s="46" t="s">
        <v>502</v>
      </c>
      <c r="J29" s="46" t="s">
        <v>502</v>
      </c>
      <c r="K29" s="46" t="s">
        <v>502</v>
      </c>
      <c r="L29" s="46" t="s">
        <v>502</v>
      </c>
      <c r="M29" s="46" t="s">
        <v>502</v>
      </c>
      <c r="N29" s="46" t="s">
        <v>502</v>
      </c>
      <c r="O29" s="46" t="s">
        <v>502</v>
      </c>
      <c r="P29" s="46" t="s">
        <v>502</v>
      </c>
      <c r="Q29" s="46" t="s">
        <v>502</v>
      </c>
      <c r="R29" s="46" t="s">
        <v>502</v>
      </c>
      <c r="S29" s="46" t="s">
        <v>502</v>
      </c>
      <c r="T29" s="46" t="s">
        <v>502</v>
      </c>
      <c r="U29" s="46" t="s">
        <v>502</v>
      </c>
      <c r="V29" s="46" t="s">
        <v>502</v>
      </c>
      <c r="W29" s="46" t="s">
        <v>502</v>
      </c>
      <c r="X29" s="46" t="s">
        <v>502</v>
      </c>
      <c r="Y29" s="46" t="s">
        <v>502</v>
      </c>
      <c r="Z29" s="46" t="s">
        <v>502</v>
      </c>
      <c r="AA29" s="46" t="s">
        <v>502</v>
      </c>
      <c r="AB29" s="46" t="s">
        <v>502</v>
      </c>
      <c r="AC29" s="46" t="s">
        <v>502</v>
      </c>
      <c r="AD29" s="46" t="s">
        <v>502</v>
      </c>
      <c r="AE29" s="46" t="s">
        <v>502</v>
      </c>
      <c r="AF29" s="46" t="s">
        <v>502</v>
      </c>
      <c r="AG29" s="46" t="s">
        <v>502</v>
      </c>
      <c r="AH29" s="46" t="s">
        <v>502</v>
      </c>
      <c r="AI29" s="46" t="s">
        <v>502</v>
      </c>
      <c r="AJ29" s="46" t="s">
        <v>502</v>
      </c>
      <c r="AK29" s="46" t="s">
        <v>502</v>
      </c>
      <c r="AL29" s="46" t="s">
        <v>502</v>
      </c>
      <c r="AM29" s="46" t="s">
        <v>502</v>
      </c>
      <c r="AN29" s="49" t="s">
        <v>502</v>
      </c>
      <c r="AO29" s="46" t="s">
        <v>502</v>
      </c>
      <c r="AP29" s="46" t="s">
        <v>502</v>
      </c>
      <c r="AQ29" s="49" t="s">
        <v>502</v>
      </c>
      <c r="AR29" s="46" t="s">
        <v>502</v>
      </c>
      <c r="AS29" s="46" t="s">
        <v>502</v>
      </c>
      <c r="AT29" s="49" t="s">
        <v>502</v>
      </c>
      <c r="AU29" s="46" t="s">
        <v>502</v>
      </c>
      <c r="AV29" s="46" t="s">
        <v>502</v>
      </c>
      <c r="AW29" s="49" t="s">
        <v>502</v>
      </c>
      <c r="AX29" s="46" t="s">
        <v>502</v>
      </c>
      <c r="AY29" s="46" t="s">
        <v>502</v>
      </c>
      <c r="AZ29" s="49" t="s">
        <v>502</v>
      </c>
      <c r="BA29" s="46" t="s">
        <v>502</v>
      </c>
      <c r="BB29" s="46" t="s">
        <v>502</v>
      </c>
      <c r="BC29" s="49" t="s">
        <v>502</v>
      </c>
      <c r="BD29" s="46" t="s">
        <v>502</v>
      </c>
      <c r="BE29" s="46" t="s">
        <v>502</v>
      </c>
      <c r="BF29" s="49" t="s">
        <v>502</v>
      </c>
      <c r="BG29" s="46" t="s">
        <v>502</v>
      </c>
      <c r="BH29" s="46" t="s">
        <v>502</v>
      </c>
      <c r="BI29" s="49" t="s">
        <v>502</v>
      </c>
      <c r="BJ29" s="71">
        <v>5000</v>
      </c>
      <c r="BK29" s="71">
        <f t="shared" si="46"/>
        <v>0</v>
      </c>
      <c r="BL29" s="71">
        <f t="shared" si="47"/>
        <v>5000</v>
      </c>
      <c r="BM29" s="46" t="s">
        <v>502</v>
      </c>
      <c r="BN29" s="46" t="s">
        <v>502</v>
      </c>
      <c r="BO29" s="49" t="s">
        <v>502</v>
      </c>
      <c r="BP29" s="46" t="s">
        <v>502</v>
      </c>
      <c r="BQ29" s="46" t="s">
        <v>502</v>
      </c>
      <c r="BR29" s="49" t="s">
        <v>502</v>
      </c>
      <c r="BS29" s="46" t="s">
        <v>502</v>
      </c>
      <c r="BT29" s="46" t="s">
        <v>502</v>
      </c>
      <c r="BU29" s="49" t="s">
        <v>502</v>
      </c>
      <c r="BV29" s="46" t="s">
        <v>502</v>
      </c>
      <c r="BW29" s="46" t="s">
        <v>502</v>
      </c>
      <c r="BX29" s="49" t="s">
        <v>502</v>
      </c>
      <c r="BY29" s="46" t="s">
        <v>502</v>
      </c>
      <c r="BZ29" s="46" t="s">
        <v>502</v>
      </c>
      <c r="CA29" s="49" t="s">
        <v>502</v>
      </c>
      <c r="CB29" s="46" t="s">
        <v>502</v>
      </c>
      <c r="CC29" s="46" t="s">
        <v>502</v>
      </c>
      <c r="CD29" s="49" t="s">
        <v>502</v>
      </c>
      <c r="CE29" s="46" t="s">
        <v>502</v>
      </c>
      <c r="CF29" s="46" t="s">
        <v>502</v>
      </c>
      <c r="CG29" s="49" t="s">
        <v>502</v>
      </c>
      <c r="CH29" s="46" t="s">
        <v>502</v>
      </c>
      <c r="CI29" s="46" t="s">
        <v>502</v>
      </c>
      <c r="CJ29" s="49" t="s">
        <v>502</v>
      </c>
      <c r="CK29" s="46" t="s">
        <v>502</v>
      </c>
      <c r="CL29" s="46" t="s">
        <v>502</v>
      </c>
      <c r="CM29" s="49" t="s">
        <v>502</v>
      </c>
      <c r="CN29" s="46" t="s">
        <v>502</v>
      </c>
      <c r="CO29" s="46" t="s">
        <v>502</v>
      </c>
      <c r="CP29" s="49" t="s">
        <v>502</v>
      </c>
      <c r="CQ29" s="46" t="s">
        <v>502</v>
      </c>
      <c r="CR29" s="46" t="s">
        <v>502</v>
      </c>
      <c r="CS29" s="49" t="s">
        <v>502</v>
      </c>
      <c r="CT29" s="46" t="s">
        <v>502</v>
      </c>
      <c r="CU29" s="46" t="s">
        <v>502</v>
      </c>
      <c r="CV29" s="49" t="s">
        <v>502</v>
      </c>
      <c r="CW29" s="46" t="s">
        <v>502</v>
      </c>
      <c r="CX29" s="46" t="s">
        <v>502</v>
      </c>
      <c r="CY29" s="49" t="s">
        <v>502</v>
      </c>
      <c r="CZ29" s="46" t="s">
        <v>502</v>
      </c>
      <c r="DA29" s="46" t="s">
        <v>502</v>
      </c>
      <c r="DB29" s="49" t="s">
        <v>502</v>
      </c>
      <c r="DC29" s="46" t="s">
        <v>502</v>
      </c>
      <c r="DD29" s="46" t="s">
        <v>502</v>
      </c>
      <c r="DE29" s="49" t="s">
        <v>502</v>
      </c>
      <c r="DF29" s="46" t="s">
        <v>502</v>
      </c>
      <c r="DG29" s="46" t="s">
        <v>502</v>
      </c>
      <c r="DH29" s="49" t="s">
        <v>502</v>
      </c>
      <c r="DI29" s="46">
        <f>3900/1.19</f>
        <v>3277.3109243697481</v>
      </c>
      <c r="DJ29" s="46">
        <f t="shared" si="42"/>
        <v>622.6890756302522</v>
      </c>
      <c r="DK29" s="46">
        <f t="shared" si="43"/>
        <v>3900.0000000000005</v>
      </c>
      <c r="DL29" s="46" t="s">
        <v>502</v>
      </c>
      <c r="DM29" s="46" t="s">
        <v>502</v>
      </c>
      <c r="DN29" s="49" t="s">
        <v>502</v>
      </c>
      <c r="DO29" s="46" t="s">
        <v>502</v>
      </c>
      <c r="DP29" s="46" t="s">
        <v>502</v>
      </c>
      <c r="DQ29" s="49" t="s">
        <v>502</v>
      </c>
      <c r="DR29" s="46" t="s">
        <v>502</v>
      </c>
      <c r="DS29" s="46" t="s">
        <v>502</v>
      </c>
      <c r="DT29" s="49" t="s">
        <v>502</v>
      </c>
      <c r="DU29" s="46" t="s">
        <v>502</v>
      </c>
      <c r="DV29" s="46" t="s">
        <v>502</v>
      </c>
      <c r="DW29" s="49" t="s">
        <v>502</v>
      </c>
      <c r="DX29" s="46" t="s">
        <v>502</v>
      </c>
      <c r="DY29" s="46" t="s">
        <v>502</v>
      </c>
      <c r="DZ29" s="49" t="s">
        <v>502</v>
      </c>
      <c r="EA29" s="46" t="s">
        <v>502</v>
      </c>
      <c r="EB29" s="46" t="s">
        <v>502</v>
      </c>
      <c r="EC29" s="49" t="s">
        <v>502</v>
      </c>
      <c r="ED29" s="46" t="s">
        <v>502</v>
      </c>
      <c r="EE29" s="46" t="s">
        <v>502</v>
      </c>
      <c r="EF29" s="49" t="s">
        <v>502</v>
      </c>
      <c r="EG29" s="46" t="s">
        <v>502</v>
      </c>
      <c r="EH29" s="46" t="s">
        <v>502</v>
      </c>
      <c r="EI29" s="49" t="s">
        <v>502</v>
      </c>
      <c r="EJ29" s="46">
        <f>7500/1.19</f>
        <v>6302.5210084033615</v>
      </c>
      <c r="EK29" s="46">
        <f t="shared" si="44"/>
        <v>1197.4789915966387</v>
      </c>
      <c r="EL29" s="46">
        <f t="shared" si="45"/>
        <v>7500</v>
      </c>
      <c r="EM29" s="46" t="s">
        <v>502</v>
      </c>
      <c r="EN29" s="46" t="s">
        <v>502</v>
      </c>
      <c r="EO29" s="49" t="s">
        <v>502</v>
      </c>
      <c r="EP29" s="46" t="s">
        <v>502</v>
      </c>
      <c r="EQ29" s="46" t="s">
        <v>502</v>
      </c>
      <c r="ER29" s="49" t="s">
        <v>502</v>
      </c>
      <c r="ES29" s="46" t="s">
        <v>502</v>
      </c>
      <c r="ET29" s="46" t="s">
        <v>502</v>
      </c>
      <c r="EU29" s="49" t="s">
        <v>502</v>
      </c>
      <c r="EV29" s="46" t="s">
        <v>502</v>
      </c>
      <c r="EW29" s="46" t="s">
        <v>502</v>
      </c>
      <c r="EX29" s="49" t="s">
        <v>502</v>
      </c>
      <c r="EY29" s="46" t="s">
        <v>502</v>
      </c>
      <c r="EZ29" s="46" t="s">
        <v>502</v>
      </c>
      <c r="FA29" s="49" t="s">
        <v>502</v>
      </c>
      <c r="FB29" s="46" t="s">
        <v>502</v>
      </c>
      <c r="FC29" s="46" t="s">
        <v>502</v>
      </c>
      <c r="FD29" s="49" t="s">
        <v>502</v>
      </c>
      <c r="FE29" s="46" t="s">
        <v>502</v>
      </c>
      <c r="FF29" s="46" t="s">
        <v>502</v>
      </c>
      <c r="FG29" s="49" t="s">
        <v>502</v>
      </c>
      <c r="FH29" s="46" t="s">
        <v>502</v>
      </c>
      <c r="FI29" s="46" t="s">
        <v>502</v>
      </c>
      <c r="FJ29" s="49" t="s">
        <v>502</v>
      </c>
      <c r="FK29" s="46" t="s">
        <v>502</v>
      </c>
      <c r="FL29" s="46" t="s">
        <v>502</v>
      </c>
      <c r="FM29" s="49" t="s">
        <v>502</v>
      </c>
      <c r="FN29" s="46" t="s">
        <v>502</v>
      </c>
      <c r="FO29" s="46" t="s">
        <v>502</v>
      </c>
      <c r="FP29" s="49" t="s">
        <v>502</v>
      </c>
      <c r="FQ29" s="46" t="s">
        <v>502</v>
      </c>
      <c r="FR29" s="46" t="s">
        <v>502</v>
      </c>
      <c r="FS29" s="49" t="s">
        <v>502</v>
      </c>
      <c r="FT29" s="46" t="s">
        <v>502</v>
      </c>
      <c r="FU29" s="46" t="s">
        <v>502</v>
      </c>
      <c r="FV29" s="49" t="s">
        <v>502</v>
      </c>
      <c r="FW29" s="50">
        <f t="shared" si="7"/>
        <v>3</v>
      </c>
      <c r="FX29" s="51">
        <f t="shared" si="8"/>
        <v>5466.666666666667</v>
      </c>
      <c r="FY29" s="46">
        <f t="shared" si="6"/>
        <v>5500</v>
      </c>
      <c r="FZ29" s="52" t="s">
        <v>504</v>
      </c>
    </row>
    <row r="30" spans="1:182" ht="165.75" customHeight="1" x14ac:dyDescent="0.2">
      <c r="A30" s="53">
        <v>27</v>
      </c>
      <c r="B30" s="60" t="s">
        <v>12</v>
      </c>
      <c r="C30" s="41" t="s">
        <v>143</v>
      </c>
      <c r="D30" s="42">
        <v>10210000</v>
      </c>
      <c r="E30" s="43" t="s">
        <v>341</v>
      </c>
      <c r="F30" s="44" t="s">
        <v>86</v>
      </c>
      <c r="G30" s="66" t="s">
        <v>501</v>
      </c>
      <c r="H30" s="46" t="s">
        <v>502</v>
      </c>
      <c r="I30" s="46" t="s">
        <v>502</v>
      </c>
      <c r="J30" s="46" t="s">
        <v>502</v>
      </c>
      <c r="K30" s="46" t="s">
        <v>502</v>
      </c>
      <c r="L30" s="46" t="s">
        <v>502</v>
      </c>
      <c r="M30" s="46" t="s">
        <v>502</v>
      </c>
      <c r="N30" s="46" t="s">
        <v>502</v>
      </c>
      <c r="O30" s="46" t="s">
        <v>502</v>
      </c>
      <c r="P30" s="46" t="s">
        <v>502</v>
      </c>
      <c r="Q30" s="46" t="s">
        <v>502</v>
      </c>
      <c r="R30" s="46" t="s">
        <v>502</v>
      </c>
      <c r="S30" s="46" t="s">
        <v>502</v>
      </c>
      <c r="T30" s="46" t="s">
        <v>502</v>
      </c>
      <c r="U30" s="46" t="s">
        <v>502</v>
      </c>
      <c r="V30" s="46" t="s">
        <v>502</v>
      </c>
      <c r="W30" s="46" t="s">
        <v>502</v>
      </c>
      <c r="X30" s="46" t="s">
        <v>502</v>
      </c>
      <c r="Y30" s="46" t="s">
        <v>502</v>
      </c>
      <c r="Z30" s="46" t="s">
        <v>502</v>
      </c>
      <c r="AA30" s="46" t="s">
        <v>502</v>
      </c>
      <c r="AB30" s="46" t="s">
        <v>502</v>
      </c>
      <c r="AC30" s="46" t="s">
        <v>502</v>
      </c>
      <c r="AD30" s="46" t="s">
        <v>502</v>
      </c>
      <c r="AE30" s="46" t="s">
        <v>502</v>
      </c>
      <c r="AF30" s="46" t="s">
        <v>502</v>
      </c>
      <c r="AG30" s="46" t="s">
        <v>502</v>
      </c>
      <c r="AH30" s="46" t="s">
        <v>502</v>
      </c>
      <c r="AI30" s="46" t="s">
        <v>502</v>
      </c>
      <c r="AJ30" s="46" t="s">
        <v>502</v>
      </c>
      <c r="AK30" s="46" t="s">
        <v>502</v>
      </c>
      <c r="AL30" s="46" t="s">
        <v>502</v>
      </c>
      <c r="AM30" s="46" t="s">
        <v>502</v>
      </c>
      <c r="AN30" s="49" t="s">
        <v>502</v>
      </c>
      <c r="AO30" s="46" t="s">
        <v>502</v>
      </c>
      <c r="AP30" s="46" t="s">
        <v>502</v>
      </c>
      <c r="AQ30" s="49" t="s">
        <v>502</v>
      </c>
      <c r="AR30" s="46" t="s">
        <v>502</v>
      </c>
      <c r="AS30" s="46" t="s">
        <v>502</v>
      </c>
      <c r="AT30" s="49" t="s">
        <v>502</v>
      </c>
      <c r="AU30" s="46" t="s">
        <v>502</v>
      </c>
      <c r="AV30" s="46" t="s">
        <v>502</v>
      </c>
      <c r="AW30" s="49" t="s">
        <v>502</v>
      </c>
      <c r="AX30" s="46" t="s">
        <v>502</v>
      </c>
      <c r="AY30" s="46" t="s">
        <v>502</v>
      </c>
      <c r="AZ30" s="49" t="s">
        <v>502</v>
      </c>
      <c r="BA30" s="46" t="s">
        <v>502</v>
      </c>
      <c r="BB30" s="46" t="s">
        <v>502</v>
      </c>
      <c r="BC30" s="49" t="s">
        <v>502</v>
      </c>
      <c r="BD30" s="46" t="s">
        <v>502</v>
      </c>
      <c r="BE30" s="46" t="s">
        <v>502</v>
      </c>
      <c r="BF30" s="49" t="s">
        <v>502</v>
      </c>
      <c r="BG30" s="46" t="s">
        <v>502</v>
      </c>
      <c r="BH30" s="46" t="s">
        <v>502</v>
      </c>
      <c r="BI30" s="49" t="s">
        <v>502</v>
      </c>
      <c r="BJ30" s="71">
        <v>7000</v>
      </c>
      <c r="BK30" s="71">
        <f t="shared" si="46"/>
        <v>0</v>
      </c>
      <c r="BL30" s="71">
        <f t="shared" si="47"/>
        <v>7000</v>
      </c>
      <c r="BM30" s="46" t="s">
        <v>502</v>
      </c>
      <c r="BN30" s="46" t="s">
        <v>502</v>
      </c>
      <c r="BO30" s="49" t="s">
        <v>502</v>
      </c>
      <c r="BP30" s="46" t="s">
        <v>502</v>
      </c>
      <c r="BQ30" s="46" t="s">
        <v>502</v>
      </c>
      <c r="BR30" s="49" t="s">
        <v>502</v>
      </c>
      <c r="BS30" s="46" t="s">
        <v>502</v>
      </c>
      <c r="BT30" s="46" t="s">
        <v>502</v>
      </c>
      <c r="BU30" s="49" t="s">
        <v>502</v>
      </c>
      <c r="BV30" s="46" t="s">
        <v>502</v>
      </c>
      <c r="BW30" s="46" t="s">
        <v>502</v>
      </c>
      <c r="BX30" s="49" t="s">
        <v>502</v>
      </c>
      <c r="BY30" s="46" t="s">
        <v>502</v>
      </c>
      <c r="BZ30" s="46" t="s">
        <v>502</v>
      </c>
      <c r="CA30" s="49" t="s">
        <v>502</v>
      </c>
      <c r="CB30" s="46" t="s">
        <v>502</v>
      </c>
      <c r="CC30" s="46" t="s">
        <v>502</v>
      </c>
      <c r="CD30" s="49" t="s">
        <v>502</v>
      </c>
      <c r="CE30" s="46" t="s">
        <v>502</v>
      </c>
      <c r="CF30" s="46" t="s">
        <v>502</v>
      </c>
      <c r="CG30" s="49" t="s">
        <v>502</v>
      </c>
      <c r="CH30" s="46" t="s">
        <v>502</v>
      </c>
      <c r="CI30" s="46" t="s">
        <v>502</v>
      </c>
      <c r="CJ30" s="49" t="s">
        <v>502</v>
      </c>
      <c r="CK30" s="46" t="s">
        <v>502</v>
      </c>
      <c r="CL30" s="46" t="s">
        <v>502</v>
      </c>
      <c r="CM30" s="49" t="s">
        <v>502</v>
      </c>
      <c r="CN30" s="46" t="s">
        <v>502</v>
      </c>
      <c r="CO30" s="46" t="s">
        <v>502</v>
      </c>
      <c r="CP30" s="49" t="s">
        <v>502</v>
      </c>
      <c r="CQ30" s="46" t="s">
        <v>502</v>
      </c>
      <c r="CR30" s="46" t="s">
        <v>502</v>
      </c>
      <c r="CS30" s="49" t="s">
        <v>502</v>
      </c>
      <c r="CT30" s="46" t="s">
        <v>502</v>
      </c>
      <c r="CU30" s="46" t="s">
        <v>502</v>
      </c>
      <c r="CV30" s="49" t="s">
        <v>502</v>
      </c>
      <c r="CW30" s="46" t="s">
        <v>502</v>
      </c>
      <c r="CX30" s="46" t="s">
        <v>502</v>
      </c>
      <c r="CY30" s="49" t="s">
        <v>502</v>
      </c>
      <c r="CZ30" s="46" t="s">
        <v>502</v>
      </c>
      <c r="DA30" s="46" t="s">
        <v>502</v>
      </c>
      <c r="DB30" s="49" t="s">
        <v>502</v>
      </c>
      <c r="DC30" s="46" t="s">
        <v>502</v>
      </c>
      <c r="DD30" s="46" t="s">
        <v>502</v>
      </c>
      <c r="DE30" s="49" t="s">
        <v>502</v>
      </c>
      <c r="DF30" s="46" t="s">
        <v>502</v>
      </c>
      <c r="DG30" s="46" t="s">
        <v>502</v>
      </c>
      <c r="DH30" s="49" t="s">
        <v>502</v>
      </c>
      <c r="DI30" s="46">
        <f>5900/1.19</f>
        <v>4957.9831932773113</v>
      </c>
      <c r="DJ30" s="46">
        <f t="shared" si="42"/>
        <v>942.01680672268913</v>
      </c>
      <c r="DK30" s="46">
        <f t="shared" si="43"/>
        <v>5900</v>
      </c>
      <c r="DL30" s="46" t="s">
        <v>502</v>
      </c>
      <c r="DM30" s="46" t="s">
        <v>502</v>
      </c>
      <c r="DN30" s="49" t="s">
        <v>502</v>
      </c>
      <c r="DO30" s="46" t="s">
        <v>502</v>
      </c>
      <c r="DP30" s="46" t="s">
        <v>502</v>
      </c>
      <c r="DQ30" s="49" t="s">
        <v>502</v>
      </c>
      <c r="DR30" s="46" t="s">
        <v>502</v>
      </c>
      <c r="DS30" s="46" t="s">
        <v>502</v>
      </c>
      <c r="DT30" s="49" t="s">
        <v>502</v>
      </c>
      <c r="DU30" s="46" t="s">
        <v>502</v>
      </c>
      <c r="DV30" s="46" t="s">
        <v>502</v>
      </c>
      <c r="DW30" s="49" t="s">
        <v>502</v>
      </c>
      <c r="DX30" s="46" t="s">
        <v>502</v>
      </c>
      <c r="DY30" s="46" t="s">
        <v>502</v>
      </c>
      <c r="DZ30" s="49" t="s">
        <v>502</v>
      </c>
      <c r="EA30" s="46" t="s">
        <v>502</v>
      </c>
      <c r="EB30" s="46" t="s">
        <v>502</v>
      </c>
      <c r="EC30" s="49" t="s">
        <v>502</v>
      </c>
      <c r="ED30" s="46" t="s">
        <v>502</v>
      </c>
      <c r="EE30" s="46" t="s">
        <v>502</v>
      </c>
      <c r="EF30" s="49" t="s">
        <v>502</v>
      </c>
      <c r="EG30" s="46" t="s">
        <v>502</v>
      </c>
      <c r="EH30" s="46" t="s">
        <v>502</v>
      </c>
      <c r="EI30" s="49" t="s">
        <v>502</v>
      </c>
      <c r="EJ30" s="46">
        <f>7000/1.19</f>
        <v>5882.3529411764712</v>
      </c>
      <c r="EK30" s="46">
        <f t="shared" si="44"/>
        <v>1117.6470588235295</v>
      </c>
      <c r="EL30" s="46">
        <f t="shared" si="45"/>
        <v>7000.0000000000009</v>
      </c>
      <c r="EM30" s="46" t="s">
        <v>502</v>
      </c>
      <c r="EN30" s="46" t="s">
        <v>502</v>
      </c>
      <c r="EO30" s="49" t="s">
        <v>502</v>
      </c>
      <c r="EP30" s="46" t="s">
        <v>502</v>
      </c>
      <c r="EQ30" s="46" t="s">
        <v>502</v>
      </c>
      <c r="ER30" s="49" t="s">
        <v>502</v>
      </c>
      <c r="ES30" s="46" t="s">
        <v>502</v>
      </c>
      <c r="ET30" s="46" t="s">
        <v>502</v>
      </c>
      <c r="EU30" s="49" t="s">
        <v>502</v>
      </c>
      <c r="EV30" s="46" t="s">
        <v>502</v>
      </c>
      <c r="EW30" s="46" t="s">
        <v>502</v>
      </c>
      <c r="EX30" s="49" t="s">
        <v>502</v>
      </c>
      <c r="EY30" s="46" t="s">
        <v>502</v>
      </c>
      <c r="EZ30" s="46" t="s">
        <v>502</v>
      </c>
      <c r="FA30" s="49" t="s">
        <v>502</v>
      </c>
      <c r="FB30" s="46" t="s">
        <v>502</v>
      </c>
      <c r="FC30" s="46" t="s">
        <v>502</v>
      </c>
      <c r="FD30" s="49" t="s">
        <v>502</v>
      </c>
      <c r="FE30" s="46" t="s">
        <v>502</v>
      </c>
      <c r="FF30" s="46" t="s">
        <v>502</v>
      </c>
      <c r="FG30" s="49" t="s">
        <v>502</v>
      </c>
      <c r="FH30" s="46" t="s">
        <v>502</v>
      </c>
      <c r="FI30" s="46" t="s">
        <v>502</v>
      </c>
      <c r="FJ30" s="49" t="s">
        <v>502</v>
      </c>
      <c r="FK30" s="46" t="s">
        <v>502</v>
      </c>
      <c r="FL30" s="46" t="s">
        <v>502</v>
      </c>
      <c r="FM30" s="49" t="s">
        <v>502</v>
      </c>
      <c r="FN30" s="46" t="s">
        <v>502</v>
      </c>
      <c r="FO30" s="46" t="s">
        <v>502</v>
      </c>
      <c r="FP30" s="49" t="s">
        <v>502</v>
      </c>
      <c r="FQ30" s="46" t="s">
        <v>502</v>
      </c>
      <c r="FR30" s="46" t="s">
        <v>502</v>
      </c>
      <c r="FS30" s="49" t="s">
        <v>502</v>
      </c>
      <c r="FT30" s="46" t="s">
        <v>502</v>
      </c>
      <c r="FU30" s="46" t="s">
        <v>502</v>
      </c>
      <c r="FV30" s="49" t="s">
        <v>502</v>
      </c>
      <c r="FW30" s="50">
        <f t="shared" si="7"/>
        <v>3</v>
      </c>
      <c r="FX30" s="51">
        <f t="shared" si="8"/>
        <v>6633.333333333333</v>
      </c>
      <c r="FY30" s="46">
        <f t="shared" si="6"/>
        <v>6650</v>
      </c>
      <c r="FZ30" s="52" t="s">
        <v>504</v>
      </c>
    </row>
    <row r="31" spans="1:182" ht="165.75" customHeight="1" x14ac:dyDescent="0.2">
      <c r="A31" s="39">
        <v>28</v>
      </c>
      <c r="B31" s="60" t="s">
        <v>12</v>
      </c>
      <c r="C31" s="41" t="s">
        <v>143</v>
      </c>
      <c r="D31" s="42">
        <v>10210000</v>
      </c>
      <c r="E31" s="43" t="s">
        <v>342</v>
      </c>
      <c r="F31" s="44" t="s">
        <v>86</v>
      </c>
      <c r="G31" s="66" t="s">
        <v>501</v>
      </c>
      <c r="H31" s="46" t="s">
        <v>502</v>
      </c>
      <c r="I31" s="46" t="s">
        <v>502</v>
      </c>
      <c r="J31" s="46" t="s">
        <v>502</v>
      </c>
      <c r="K31" s="46" t="s">
        <v>502</v>
      </c>
      <c r="L31" s="46" t="s">
        <v>502</v>
      </c>
      <c r="M31" s="46" t="s">
        <v>502</v>
      </c>
      <c r="N31" s="46" t="s">
        <v>502</v>
      </c>
      <c r="O31" s="46" t="s">
        <v>502</v>
      </c>
      <c r="P31" s="46" t="s">
        <v>502</v>
      </c>
      <c r="Q31" s="46" t="s">
        <v>502</v>
      </c>
      <c r="R31" s="46" t="s">
        <v>502</v>
      </c>
      <c r="S31" s="46" t="s">
        <v>502</v>
      </c>
      <c r="T31" s="46" t="s">
        <v>502</v>
      </c>
      <c r="U31" s="46" t="s">
        <v>502</v>
      </c>
      <c r="V31" s="46" t="s">
        <v>502</v>
      </c>
      <c r="W31" s="46" t="s">
        <v>502</v>
      </c>
      <c r="X31" s="46" t="s">
        <v>502</v>
      </c>
      <c r="Y31" s="46" t="s">
        <v>502</v>
      </c>
      <c r="Z31" s="46" t="s">
        <v>502</v>
      </c>
      <c r="AA31" s="46" t="s">
        <v>502</v>
      </c>
      <c r="AB31" s="46" t="s">
        <v>502</v>
      </c>
      <c r="AC31" s="46" t="s">
        <v>502</v>
      </c>
      <c r="AD31" s="46" t="s">
        <v>502</v>
      </c>
      <c r="AE31" s="46" t="s">
        <v>502</v>
      </c>
      <c r="AF31" s="46" t="s">
        <v>502</v>
      </c>
      <c r="AG31" s="46" t="s">
        <v>502</v>
      </c>
      <c r="AH31" s="46" t="s">
        <v>502</v>
      </c>
      <c r="AI31" s="46" t="s">
        <v>502</v>
      </c>
      <c r="AJ31" s="46" t="s">
        <v>502</v>
      </c>
      <c r="AK31" s="46" t="s">
        <v>502</v>
      </c>
      <c r="AL31" s="46" t="s">
        <v>502</v>
      </c>
      <c r="AM31" s="46" t="s">
        <v>502</v>
      </c>
      <c r="AN31" s="49" t="s">
        <v>502</v>
      </c>
      <c r="AO31" s="46" t="s">
        <v>502</v>
      </c>
      <c r="AP31" s="46" t="s">
        <v>502</v>
      </c>
      <c r="AQ31" s="49" t="s">
        <v>502</v>
      </c>
      <c r="AR31" s="46" t="s">
        <v>502</v>
      </c>
      <c r="AS31" s="46" t="s">
        <v>502</v>
      </c>
      <c r="AT31" s="49" t="s">
        <v>502</v>
      </c>
      <c r="AU31" s="46" t="s">
        <v>502</v>
      </c>
      <c r="AV31" s="46" t="s">
        <v>502</v>
      </c>
      <c r="AW31" s="49" t="s">
        <v>502</v>
      </c>
      <c r="AX31" s="46" t="s">
        <v>502</v>
      </c>
      <c r="AY31" s="46" t="s">
        <v>502</v>
      </c>
      <c r="AZ31" s="49" t="s">
        <v>502</v>
      </c>
      <c r="BA31" s="46" t="s">
        <v>502</v>
      </c>
      <c r="BB31" s="46" t="s">
        <v>502</v>
      </c>
      <c r="BC31" s="49" t="s">
        <v>502</v>
      </c>
      <c r="BD31" s="46" t="s">
        <v>502</v>
      </c>
      <c r="BE31" s="46" t="s">
        <v>502</v>
      </c>
      <c r="BF31" s="49" t="s">
        <v>502</v>
      </c>
      <c r="BG31" s="46" t="s">
        <v>502</v>
      </c>
      <c r="BH31" s="46" t="s">
        <v>502</v>
      </c>
      <c r="BI31" s="49" t="s">
        <v>502</v>
      </c>
      <c r="BJ31" s="71">
        <v>33000</v>
      </c>
      <c r="BK31" s="71">
        <f t="shared" si="46"/>
        <v>0</v>
      </c>
      <c r="BL31" s="71">
        <f t="shared" si="47"/>
        <v>33000</v>
      </c>
      <c r="BM31" s="46" t="s">
        <v>502</v>
      </c>
      <c r="BN31" s="46" t="s">
        <v>502</v>
      </c>
      <c r="BO31" s="49" t="s">
        <v>502</v>
      </c>
      <c r="BP31" s="46" t="s">
        <v>502</v>
      </c>
      <c r="BQ31" s="46" t="s">
        <v>502</v>
      </c>
      <c r="BR31" s="49" t="s">
        <v>502</v>
      </c>
      <c r="BS31" s="46" t="s">
        <v>502</v>
      </c>
      <c r="BT31" s="46" t="s">
        <v>502</v>
      </c>
      <c r="BU31" s="49" t="s">
        <v>502</v>
      </c>
      <c r="BV31" s="46" t="s">
        <v>502</v>
      </c>
      <c r="BW31" s="46" t="s">
        <v>502</v>
      </c>
      <c r="BX31" s="49" t="s">
        <v>502</v>
      </c>
      <c r="BY31" s="46" t="s">
        <v>502</v>
      </c>
      <c r="BZ31" s="46" t="s">
        <v>502</v>
      </c>
      <c r="CA31" s="49" t="s">
        <v>502</v>
      </c>
      <c r="CB31" s="46" t="s">
        <v>502</v>
      </c>
      <c r="CC31" s="46" t="s">
        <v>502</v>
      </c>
      <c r="CD31" s="49" t="s">
        <v>502</v>
      </c>
      <c r="CE31" s="46" t="s">
        <v>502</v>
      </c>
      <c r="CF31" s="46" t="s">
        <v>502</v>
      </c>
      <c r="CG31" s="49" t="s">
        <v>502</v>
      </c>
      <c r="CH31" s="46" t="s">
        <v>502</v>
      </c>
      <c r="CI31" s="46" t="s">
        <v>502</v>
      </c>
      <c r="CJ31" s="49" t="s">
        <v>502</v>
      </c>
      <c r="CK31" s="46" t="s">
        <v>502</v>
      </c>
      <c r="CL31" s="46" t="s">
        <v>502</v>
      </c>
      <c r="CM31" s="49" t="s">
        <v>502</v>
      </c>
      <c r="CN31" s="46" t="s">
        <v>502</v>
      </c>
      <c r="CO31" s="46" t="s">
        <v>502</v>
      </c>
      <c r="CP31" s="49" t="s">
        <v>502</v>
      </c>
      <c r="CQ31" s="46" t="s">
        <v>502</v>
      </c>
      <c r="CR31" s="46" t="s">
        <v>502</v>
      </c>
      <c r="CS31" s="49" t="s">
        <v>502</v>
      </c>
      <c r="CT31" s="46" t="s">
        <v>502</v>
      </c>
      <c r="CU31" s="46" t="s">
        <v>502</v>
      </c>
      <c r="CV31" s="49" t="s">
        <v>502</v>
      </c>
      <c r="CW31" s="46" t="s">
        <v>502</v>
      </c>
      <c r="CX31" s="46" t="s">
        <v>502</v>
      </c>
      <c r="CY31" s="49" t="s">
        <v>502</v>
      </c>
      <c r="CZ31" s="46" t="s">
        <v>502</v>
      </c>
      <c r="DA31" s="46" t="s">
        <v>502</v>
      </c>
      <c r="DB31" s="49" t="s">
        <v>502</v>
      </c>
      <c r="DC31" s="46" t="s">
        <v>502</v>
      </c>
      <c r="DD31" s="46" t="s">
        <v>502</v>
      </c>
      <c r="DE31" s="49" t="s">
        <v>502</v>
      </c>
      <c r="DF31" s="46" t="s">
        <v>502</v>
      </c>
      <c r="DG31" s="46" t="s">
        <v>502</v>
      </c>
      <c r="DH31" s="49" t="s">
        <v>502</v>
      </c>
      <c r="DI31" s="46">
        <f>35800/1.19</f>
        <v>30084.033613445379</v>
      </c>
      <c r="DJ31" s="46">
        <f t="shared" si="42"/>
        <v>5715.9663865546217</v>
      </c>
      <c r="DK31" s="46">
        <f t="shared" si="43"/>
        <v>35800</v>
      </c>
      <c r="DL31" s="46" t="s">
        <v>502</v>
      </c>
      <c r="DM31" s="46" t="s">
        <v>502</v>
      </c>
      <c r="DN31" s="49" t="s">
        <v>502</v>
      </c>
      <c r="DO31" s="46" t="s">
        <v>502</v>
      </c>
      <c r="DP31" s="46" t="s">
        <v>502</v>
      </c>
      <c r="DQ31" s="49" t="s">
        <v>502</v>
      </c>
      <c r="DR31" s="46" t="s">
        <v>502</v>
      </c>
      <c r="DS31" s="46" t="s">
        <v>502</v>
      </c>
      <c r="DT31" s="49" t="s">
        <v>502</v>
      </c>
      <c r="DU31" s="46" t="s">
        <v>502</v>
      </c>
      <c r="DV31" s="46" t="s">
        <v>502</v>
      </c>
      <c r="DW31" s="49" t="s">
        <v>502</v>
      </c>
      <c r="DX31" s="46" t="s">
        <v>502</v>
      </c>
      <c r="DY31" s="46" t="s">
        <v>502</v>
      </c>
      <c r="DZ31" s="49" t="s">
        <v>502</v>
      </c>
      <c r="EA31" s="46" t="s">
        <v>502</v>
      </c>
      <c r="EB31" s="46" t="s">
        <v>502</v>
      </c>
      <c r="EC31" s="49" t="s">
        <v>502</v>
      </c>
      <c r="ED31" s="46" t="s">
        <v>502</v>
      </c>
      <c r="EE31" s="46" t="s">
        <v>502</v>
      </c>
      <c r="EF31" s="49" t="s">
        <v>502</v>
      </c>
      <c r="EG31" s="46" t="s">
        <v>502</v>
      </c>
      <c r="EH31" s="46" t="s">
        <v>502</v>
      </c>
      <c r="EI31" s="49" t="s">
        <v>502</v>
      </c>
      <c r="EJ31" s="46">
        <f>28000/1.19</f>
        <v>23529.411764705885</v>
      </c>
      <c r="EK31" s="46">
        <f t="shared" si="44"/>
        <v>4470.588235294118</v>
      </c>
      <c r="EL31" s="46">
        <f t="shared" si="45"/>
        <v>28000.000000000004</v>
      </c>
      <c r="EM31" s="46" t="s">
        <v>502</v>
      </c>
      <c r="EN31" s="46" t="s">
        <v>502</v>
      </c>
      <c r="EO31" s="49" t="s">
        <v>502</v>
      </c>
      <c r="EP31" s="46" t="s">
        <v>502</v>
      </c>
      <c r="EQ31" s="46" t="s">
        <v>502</v>
      </c>
      <c r="ER31" s="49" t="s">
        <v>502</v>
      </c>
      <c r="ES31" s="46" t="s">
        <v>502</v>
      </c>
      <c r="ET31" s="46" t="s">
        <v>502</v>
      </c>
      <c r="EU31" s="49" t="s">
        <v>502</v>
      </c>
      <c r="EV31" s="46" t="s">
        <v>502</v>
      </c>
      <c r="EW31" s="46" t="s">
        <v>502</v>
      </c>
      <c r="EX31" s="49" t="s">
        <v>502</v>
      </c>
      <c r="EY31" s="46" t="s">
        <v>502</v>
      </c>
      <c r="EZ31" s="46" t="s">
        <v>502</v>
      </c>
      <c r="FA31" s="49" t="s">
        <v>502</v>
      </c>
      <c r="FB31" s="46" t="s">
        <v>502</v>
      </c>
      <c r="FC31" s="46" t="s">
        <v>502</v>
      </c>
      <c r="FD31" s="49" t="s">
        <v>502</v>
      </c>
      <c r="FE31" s="46" t="s">
        <v>502</v>
      </c>
      <c r="FF31" s="46" t="s">
        <v>502</v>
      </c>
      <c r="FG31" s="49" t="s">
        <v>502</v>
      </c>
      <c r="FH31" s="46" t="s">
        <v>502</v>
      </c>
      <c r="FI31" s="46" t="s">
        <v>502</v>
      </c>
      <c r="FJ31" s="49" t="s">
        <v>502</v>
      </c>
      <c r="FK31" s="46" t="s">
        <v>502</v>
      </c>
      <c r="FL31" s="46" t="s">
        <v>502</v>
      </c>
      <c r="FM31" s="49" t="s">
        <v>502</v>
      </c>
      <c r="FN31" s="46" t="s">
        <v>502</v>
      </c>
      <c r="FO31" s="46" t="s">
        <v>502</v>
      </c>
      <c r="FP31" s="49" t="s">
        <v>502</v>
      </c>
      <c r="FQ31" s="46" t="s">
        <v>502</v>
      </c>
      <c r="FR31" s="46" t="s">
        <v>502</v>
      </c>
      <c r="FS31" s="49" t="s">
        <v>502</v>
      </c>
      <c r="FT31" s="46" t="s">
        <v>502</v>
      </c>
      <c r="FU31" s="46" t="s">
        <v>502</v>
      </c>
      <c r="FV31" s="49" t="s">
        <v>502</v>
      </c>
      <c r="FW31" s="50">
        <f t="shared" si="7"/>
        <v>3</v>
      </c>
      <c r="FX31" s="51">
        <f t="shared" si="8"/>
        <v>32266.666666666668</v>
      </c>
      <c r="FY31" s="46">
        <f t="shared" si="6"/>
        <v>32300</v>
      </c>
      <c r="FZ31" s="52" t="s">
        <v>504</v>
      </c>
    </row>
    <row r="32" spans="1:182" ht="165.75" customHeight="1" x14ac:dyDescent="0.2">
      <c r="A32" s="39">
        <v>29</v>
      </c>
      <c r="B32" s="60" t="s">
        <v>12</v>
      </c>
      <c r="C32" s="41" t="s">
        <v>143</v>
      </c>
      <c r="D32" s="42">
        <v>10210000</v>
      </c>
      <c r="E32" s="43" t="s">
        <v>343</v>
      </c>
      <c r="F32" s="44" t="s">
        <v>86</v>
      </c>
      <c r="G32" s="66" t="s">
        <v>501</v>
      </c>
      <c r="H32" s="46" t="s">
        <v>502</v>
      </c>
      <c r="I32" s="46" t="s">
        <v>502</v>
      </c>
      <c r="J32" s="46" t="s">
        <v>502</v>
      </c>
      <c r="K32" s="46" t="s">
        <v>502</v>
      </c>
      <c r="L32" s="46" t="s">
        <v>502</v>
      </c>
      <c r="M32" s="46" t="s">
        <v>502</v>
      </c>
      <c r="N32" s="46" t="s">
        <v>502</v>
      </c>
      <c r="O32" s="46" t="s">
        <v>502</v>
      </c>
      <c r="P32" s="46" t="s">
        <v>502</v>
      </c>
      <c r="Q32" s="46" t="s">
        <v>502</v>
      </c>
      <c r="R32" s="46" t="s">
        <v>502</v>
      </c>
      <c r="S32" s="46" t="s">
        <v>502</v>
      </c>
      <c r="T32" s="46" t="s">
        <v>502</v>
      </c>
      <c r="U32" s="46" t="s">
        <v>502</v>
      </c>
      <c r="V32" s="46" t="s">
        <v>502</v>
      </c>
      <c r="W32" s="46" t="s">
        <v>502</v>
      </c>
      <c r="X32" s="46" t="s">
        <v>502</v>
      </c>
      <c r="Y32" s="46" t="s">
        <v>502</v>
      </c>
      <c r="Z32" s="46" t="s">
        <v>502</v>
      </c>
      <c r="AA32" s="46" t="s">
        <v>502</v>
      </c>
      <c r="AB32" s="46" t="s">
        <v>502</v>
      </c>
      <c r="AC32" s="46" t="s">
        <v>502</v>
      </c>
      <c r="AD32" s="46" t="s">
        <v>502</v>
      </c>
      <c r="AE32" s="46" t="s">
        <v>502</v>
      </c>
      <c r="AF32" s="46" t="s">
        <v>502</v>
      </c>
      <c r="AG32" s="46" t="s">
        <v>502</v>
      </c>
      <c r="AH32" s="46" t="s">
        <v>502</v>
      </c>
      <c r="AI32" s="46" t="s">
        <v>502</v>
      </c>
      <c r="AJ32" s="46" t="s">
        <v>502</v>
      </c>
      <c r="AK32" s="46" t="s">
        <v>502</v>
      </c>
      <c r="AL32" s="46" t="s">
        <v>502</v>
      </c>
      <c r="AM32" s="46" t="s">
        <v>502</v>
      </c>
      <c r="AN32" s="49" t="s">
        <v>502</v>
      </c>
      <c r="AO32" s="46" t="s">
        <v>502</v>
      </c>
      <c r="AP32" s="46" t="s">
        <v>502</v>
      </c>
      <c r="AQ32" s="49" t="s">
        <v>502</v>
      </c>
      <c r="AR32" s="46" t="s">
        <v>502</v>
      </c>
      <c r="AS32" s="46" t="s">
        <v>502</v>
      </c>
      <c r="AT32" s="49" t="s">
        <v>502</v>
      </c>
      <c r="AU32" s="46" t="s">
        <v>502</v>
      </c>
      <c r="AV32" s="46" t="s">
        <v>502</v>
      </c>
      <c r="AW32" s="49" t="s">
        <v>502</v>
      </c>
      <c r="AX32" s="46" t="s">
        <v>502</v>
      </c>
      <c r="AY32" s="46" t="s">
        <v>502</v>
      </c>
      <c r="AZ32" s="49" t="s">
        <v>502</v>
      </c>
      <c r="BA32" s="46" t="s">
        <v>502</v>
      </c>
      <c r="BB32" s="46" t="s">
        <v>502</v>
      </c>
      <c r="BC32" s="49" t="s">
        <v>502</v>
      </c>
      <c r="BD32" s="46" t="s">
        <v>502</v>
      </c>
      <c r="BE32" s="46" t="s">
        <v>502</v>
      </c>
      <c r="BF32" s="49" t="s">
        <v>502</v>
      </c>
      <c r="BG32" s="46" t="s">
        <v>502</v>
      </c>
      <c r="BH32" s="46" t="s">
        <v>502</v>
      </c>
      <c r="BI32" s="49" t="s">
        <v>502</v>
      </c>
      <c r="BJ32" s="71">
        <v>42500</v>
      </c>
      <c r="BK32" s="71">
        <f t="shared" si="46"/>
        <v>0</v>
      </c>
      <c r="BL32" s="71">
        <f t="shared" si="47"/>
        <v>42500</v>
      </c>
      <c r="BM32" s="46" t="s">
        <v>502</v>
      </c>
      <c r="BN32" s="46" t="s">
        <v>502</v>
      </c>
      <c r="BO32" s="49" t="s">
        <v>502</v>
      </c>
      <c r="BP32" s="46" t="s">
        <v>502</v>
      </c>
      <c r="BQ32" s="46" t="s">
        <v>502</v>
      </c>
      <c r="BR32" s="49" t="s">
        <v>502</v>
      </c>
      <c r="BS32" s="46" t="s">
        <v>502</v>
      </c>
      <c r="BT32" s="46" t="s">
        <v>502</v>
      </c>
      <c r="BU32" s="49" t="s">
        <v>502</v>
      </c>
      <c r="BV32" s="46" t="s">
        <v>502</v>
      </c>
      <c r="BW32" s="46" t="s">
        <v>502</v>
      </c>
      <c r="BX32" s="49" t="s">
        <v>502</v>
      </c>
      <c r="BY32" s="46" t="s">
        <v>502</v>
      </c>
      <c r="BZ32" s="46" t="s">
        <v>502</v>
      </c>
      <c r="CA32" s="49" t="s">
        <v>502</v>
      </c>
      <c r="CB32" s="46" t="s">
        <v>502</v>
      </c>
      <c r="CC32" s="46" t="s">
        <v>502</v>
      </c>
      <c r="CD32" s="49" t="s">
        <v>502</v>
      </c>
      <c r="CE32" s="46" t="s">
        <v>502</v>
      </c>
      <c r="CF32" s="46" t="s">
        <v>502</v>
      </c>
      <c r="CG32" s="49" t="s">
        <v>502</v>
      </c>
      <c r="CH32" s="46" t="s">
        <v>502</v>
      </c>
      <c r="CI32" s="46" t="s">
        <v>502</v>
      </c>
      <c r="CJ32" s="49" t="s">
        <v>502</v>
      </c>
      <c r="CK32" s="46" t="s">
        <v>502</v>
      </c>
      <c r="CL32" s="46" t="s">
        <v>502</v>
      </c>
      <c r="CM32" s="49" t="s">
        <v>502</v>
      </c>
      <c r="CN32" s="46" t="s">
        <v>502</v>
      </c>
      <c r="CO32" s="46" t="s">
        <v>502</v>
      </c>
      <c r="CP32" s="49" t="s">
        <v>502</v>
      </c>
      <c r="CQ32" s="46" t="s">
        <v>502</v>
      </c>
      <c r="CR32" s="46" t="s">
        <v>502</v>
      </c>
      <c r="CS32" s="49" t="s">
        <v>502</v>
      </c>
      <c r="CT32" s="46" t="s">
        <v>502</v>
      </c>
      <c r="CU32" s="46" t="s">
        <v>502</v>
      </c>
      <c r="CV32" s="49" t="s">
        <v>502</v>
      </c>
      <c r="CW32" s="46" t="s">
        <v>502</v>
      </c>
      <c r="CX32" s="46" t="s">
        <v>502</v>
      </c>
      <c r="CY32" s="49" t="s">
        <v>502</v>
      </c>
      <c r="CZ32" s="46" t="s">
        <v>502</v>
      </c>
      <c r="DA32" s="46" t="s">
        <v>502</v>
      </c>
      <c r="DB32" s="49" t="s">
        <v>502</v>
      </c>
      <c r="DC32" s="46" t="s">
        <v>502</v>
      </c>
      <c r="DD32" s="46" t="s">
        <v>502</v>
      </c>
      <c r="DE32" s="49" t="s">
        <v>502</v>
      </c>
      <c r="DF32" s="46" t="s">
        <v>502</v>
      </c>
      <c r="DG32" s="46" t="s">
        <v>502</v>
      </c>
      <c r="DH32" s="49" t="s">
        <v>502</v>
      </c>
      <c r="DI32" s="46">
        <f>45000/1.19</f>
        <v>37815.126050420171</v>
      </c>
      <c r="DJ32" s="46">
        <f t="shared" si="42"/>
        <v>7184.8739495798327</v>
      </c>
      <c r="DK32" s="46">
        <f t="shared" si="43"/>
        <v>45000</v>
      </c>
      <c r="DL32" s="46" t="s">
        <v>502</v>
      </c>
      <c r="DM32" s="46" t="s">
        <v>502</v>
      </c>
      <c r="DN32" s="49" t="s">
        <v>502</v>
      </c>
      <c r="DO32" s="46" t="s">
        <v>502</v>
      </c>
      <c r="DP32" s="46" t="s">
        <v>502</v>
      </c>
      <c r="DQ32" s="49" t="s">
        <v>502</v>
      </c>
      <c r="DR32" s="46" t="s">
        <v>502</v>
      </c>
      <c r="DS32" s="46" t="s">
        <v>502</v>
      </c>
      <c r="DT32" s="49" t="s">
        <v>502</v>
      </c>
      <c r="DU32" s="46" t="s">
        <v>502</v>
      </c>
      <c r="DV32" s="46" t="s">
        <v>502</v>
      </c>
      <c r="DW32" s="49" t="s">
        <v>502</v>
      </c>
      <c r="DX32" s="46" t="s">
        <v>502</v>
      </c>
      <c r="DY32" s="46" t="s">
        <v>502</v>
      </c>
      <c r="DZ32" s="49" t="s">
        <v>502</v>
      </c>
      <c r="EA32" s="46" t="s">
        <v>502</v>
      </c>
      <c r="EB32" s="46" t="s">
        <v>502</v>
      </c>
      <c r="EC32" s="49" t="s">
        <v>502</v>
      </c>
      <c r="ED32" s="46" t="s">
        <v>502</v>
      </c>
      <c r="EE32" s="46" t="s">
        <v>502</v>
      </c>
      <c r="EF32" s="49" t="s">
        <v>502</v>
      </c>
      <c r="EG32" s="46" t="s">
        <v>502</v>
      </c>
      <c r="EH32" s="46" t="s">
        <v>502</v>
      </c>
      <c r="EI32" s="49" t="s">
        <v>502</v>
      </c>
      <c r="EJ32" s="46">
        <f>35000/1.19</f>
        <v>29411.764705882353</v>
      </c>
      <c r="EK32" s="46">
        <f t="shared" si="44"/>
        <v>5588.2352941176468</v>
      </c>
      <c r="EL32" s="46">
        <f t="shared" si="45"/>
        <v>35000</v>
      </c>
      <c r="EM32" s="46" t="s">
        <v>502</v>
      </c>
      <c r="EN32" s="46" t="s">
        <v>502</v>
      </c>
      <c r="EO32" s="49" t="s">
        <v>502</v>
      </c>
      <c r="EP32" s="46" t="s">
        <v>502</v>
      </c>
      <c r="EQ32" s="46" t="s">
        <v>502</v>
      </c>
      <c r="ER32" s="49" t="s">
        <v>502</v>
      </c>
      <c r="ES32" s="46" t="s">
        <v>502</v>
      </c>
      <c r="ET32" s="46" t="s">
        <v>502</v>
      </c>
      <c r="EU32" s="49" t="s">
        <v>502</v>
      </c>
      <c r="EV32" s="46" t="s">
        <v>502</v>
      </c>
      <c r="EW32" s="46" t="s">
        <v>502</v>
      </c>
      <c r="EX32" s="49" t="s">
        <v>502</v>
      </c>
      <c r="EY32" s="46" t="s">
        <v>502</v>
      </c>
      <c r="EZ32" s="46" t="s">
        <v>502</v>
      </c>
      <c r="FA32" s="49" t="s">
        <v>502</v>
      </c>
      <c r="FB32" s="46" t="s">
        <v>502</v>
      </c>
      <c r="FC32" s="46" t="s">
        <v>502</v>
      </c>
      <c r="FD32" s="49" t="s">
        <v>502</v>
      </c>
      <c r="FE32" s="46" t="s">
        <v>502</v>
      </c>
      <c r="FF32" s="46" t="s">
        <v>502</v>
      </c>
      <c r="FG32" s="49" t="s">
        <v>502</v>
      </c>
      <c r="FH32" s="46" t="s">
        <v>502</v>
      </c>
      <c r="FI32" s="46" t="s">
        <v>502</v>
      </c>
      <c r="FJ32" s="49" t="s">
        <v>502</v>
      </c>
      <c r="FK32" s="46" t="s">
        <v>502</v>
      </c>
      <c r="FL32" s="46" t="s">
        <v>502</v>
      </c>
      <c r="FM32" s="49" t="s">
        <v>502</v>
      </c>
      <c r="FN32" s="46" t="s">
        <v>502</v>
      </c>
      <c r="FO32" s="46" t="s">
        <v>502</v>
      </c>
      <c r="FP32" s="49" t="s">
        <v>502</v>
      </c>
      <c r="FQ32" s="46" t="s">
        <v>502</v>
      </c>
      <c r="FR32" s="46" t="s">
        <v>502</v>
      </c>
      <c r="FS32" s="49" t="s">
        <v>502</v>
      </c>
      <c r="FT32" s="46" t="s">
        <v>502</v>
      </c>
      <c r="FU32" s="46" t="s">
        <v>502</v>
      </c>
      <c r="FV32" s="49" t="s">
        <v>502</v>
      </c>
      <c r="FW32" s="50">
        <f t="shared" si="7"/>
        <v>3</v>
      </c>
      <c r="FX32" s="51">
        <f t="shared" si="8"/>
        <v>40833.333333333336</v>
      </c>
      <c r="FY32" s="46">
        <f t="shared" si="6"/>
        <v>40850</v>
      </c>
      <c r="FZ32" s="52" t="s">
        <v>504</v>
      </c>
    </row>
    <row r="33" spans="1:182" ht="165.75" customHeight="1" x14ac:dyDescent="0.2">
      <c r="A33" s="53">
        <v>30</v>
      </c>
      <c r="B33" s="60" t="s">
        <v>12</v>
      </c>
      <c r="C33" s="41" t="s">
        <v>143</v>
      </c>
      <c r="D33" s="42">
        <v>27112811</v>
      </c>
      <c r="E33" s="43" t="s">
        <v>344</v>
      </c>
      <c r="F33" s="44" t="s">
        <v>86</v>
      </c>
      <c r="G33" s="66" t="s">
        <v>501</v>
      </c>
      <c r="H33" s="46" t="s">
        <v>502</v>
      </c>
      <c r="I33" s="46" t="s">
        <v>502</v>
      </c>
      <c r="J33" s="46" t="s">
        <v>502</v>
      </c>
      <c r="K33" s="46" t="s">
        <v>502</v>
      </c>
      <c r="L33" s="46" t="s">
        <v>502</v>
      </c>
      <c r="M33" s="46" t="s">
        <v>502</v>
      </c>
      <c r="N33" s="46" t="s">
        <v>502</v>
      </c>
      <c r="O33" s="46" t="s">
        <v>502</v>
      </c>
      <c r="P33" s="46" t="s">
        <v>502</v>
      </c>
      <c r="Q33" s="46" t="s">
        <v>502</v>
      </c>
      <c r="R33" s="46" t="s">
        <v>502</v>
      </c>
      <c r="S33" s="46" t="s">
        <v>502</v>
      </c>
      <c r="T33" s="46" t="s">
        <v>502</v>
      </c>
      <c r="U33" s="46" t="s">
        <v>502</v>
      </c>
      <c r="V33" s="46" t="s">
        <v>502</v>
      </c>
      <c r="W33" s="46" t="s">
        <v>502</v>
      </c>
      <c r="X33" s="46" t="s">
        <v>502</v>
      </c>
      <c r="Y33" s="46" t="s">
        <v>502</v>
      </c>
      <c r="Z33" s="46" t="s">
        <v>502</v>
      </c>
      <c r="AA33" s="46" t="s">
        <v>502</v>
      </c>
      <c r="AB33" s="46" t="s">
        <v>502</v>
      </c>
      <c r="AC33" s="46" t="s">
        <v>502</v>
      </c>
      <c r="AD33" s="46" t="s">
        <v>502</v>
      </c>
      <c r="AE33" s="46" t="s">
        <v>502</v>
      </c>
      <c r="AF33" s="46" t="s">
        <v>502</v>
      </c>
      <c r="AG33" s="46" t="s">
        <v>502</v>
      </c>
      <c r="AH33" s="46" t="s">
        <v>502</v>
      </c>
      <c r="AI33" s="46" t="s">
        <v>502</v>
      </c>
      <c r="AJ33" s="46" t="s">
        <v>502</v>
      </c>
      <c r="AK33" s="46" t="s">
        <v>502</v>
      </c>
      <c r="AL33" s="46" t="s">
        <v>502</v>
      </c>
      <c r="AM33" s="46" t="s">
        <v>502</v>
      </c>
      <c r="AN33" s="49" t="s">
        <v>502</v>
      </c>
      <c r="AO33" s="46" t="s">
        <v>502</v>
      </c>
      <c r="AP33" s="46" t="s">
        <v>502</v>
      </c>
      <c r="AQ33" s="49" t="s">
        <v>502</v>
      </c>
      <c r="AR33" s="46" t="s">
        <v>502</v>
      </c>
      <c r="AS33" s="46" t="s">
        <v>502</v>
      </c>
      <c r="AT33" s="49" t="s">
        <v>502</v>
      </c>
      <c r="AU33" s="46" t="s">
        <v>502</v>
      </c>
      <c r="AV33" s="46" t="s">
        <v>502</v>
      </c>
      <c r="AW33" s="49" t="s">
        <v>502</v>
      </c>
      <c r="AX33" s="46" t="s">
        <v>502</v>
      </c>
      <c r="AY33" s="46" t="s">
        <v>502</v>
      </c>
      <c r="AZ33" s="49" t="s">
        <v>502</v>
      </c>
      <c r="BA33" s="46" t="s">
        <v>502</v>
      </c>
      <c r="BB33" s="46" t="s">
        <v>502</v>
      </c>
      <c r="BC33" s="49" t="s">
        <v>502</v>
      </c>
      <c r="BD33" s="46" t="s">
        <v>502</v>
      </c>
      <c r="BE33" s="46" t="s">
        <v>502</v>
      </c>
      <c r="BF33" s="49" t="s">
        <v>502</v>
      </c>
      <c r="BG33" s="46" t="s">
        <v>502</v>
      </c>
      <c r="BH33" s="46" t="s">
        <v>502</v>
      </c>
      <c r="BI33" s="49" t="s">
        <v>502</v>
      </c>
      <c r="BJ33" s="71">
        <v>17200</v>
      </c>
      <c r="BK33" s="71">
        <f t="shared" si="46"/>
        <v>0</v>
      </c>
      <c r="BL33" s="71">
        <f t="shared" si="47"/>
        <v>17200</v>
      </c>
      <c r="BM33" s="46" t="s">
        <v>502</v>
      </c>
      <c r="BN33" s="46" t="s">
        <v>502</v>
      </c>
      <c r="BO33" s="49" t="s">
        <v>502</v>
      </c>
      <c r="BP33" s="46" t="s">
        <v>502</v>
      </c>
      <c r="BQ33" s="46" t="s">
        <v>502</v>
      </c>
      <c r="BR33" s="49" t="s">
        <v>502</v>
      </c>
      <c r="BS33" s="46" t="s">
        <v>502</v>
      </c>
      <c r="BT33" s="46" t="s">
        <v>502</v>
      </c>
      <c r="BU33" s="49" t="s">
        <v>502</v>
      </c>
      <c r="BV33" s="46" t="s">
        <v>502</v>
      </c>
      <c r="BW33" s="46" t="s">
        <v>502</v>
      </c>
      <c r="BX33" s="49" t="s">
        <v>502</v>
      </c>
      <c r="BY33" s="46" t="s">
        <v>502</v>
      </c>
      <c r="BZ33" s="46" t="s">
        <v>502</v>
      </c>
      <c r="CA33" s="49" t="s">
        <v>502</v>
      </c>
      <c r="CB33" s="46" t="s">
        <v>502</v>
      </c>
      <c r="CC33" s="46" t="s">
        <v>502</v>
      </c>
      <c r="CD33" s="49" t="s">
        <v>502</v>
      </c>
      <c r="CE33" s="46" t="s">
        <v>502</v>
      </c>
      <c r="CF33" s="46" t="s">
        <v>502</v>
      </c>
      <c r="CG33" s="49" t="s">
        <v>502</v>
      </c>
      <c r="CH33" s="46" t="s">
        <v>502</v>
      </c>
      <c r="CI33" s="46" t="s">
        <v>502</v>
      </c>
      <c r="CJ33" s="49" t="s">
        <v>502</v>
      </c>
      <c r="CK33" s="46" t="s">
        <v>502</v>
      </c>
      <c r="CL33" s="46" t="s">
        <v>502</v>
      </c>
      <c r="CM33" s="49" t="s">
        <v>502</v>
      </c>
      <c r="CN33" s="46" t="s">
        <v>502</v>
      </c>
      <c r="CO33" s="46" t="s">
        <v>502</v>
      </c>
      <c r="CP33" s="49" t="s">
        <v>502</v>
      </c>
      <c r="CQ33" s="46" t="s">
        <v>502</v>
      </c>
      <c r="CR33" s="46" t="s">
        <v>502</v>
      </c>
      <c r="CS33" s="49" t="s">
        <v>502</v>
      </c>
      <c r="CT33" s="46" t="s">
        <v>502</v>
      </c>
      <c r="CU33" s="46" t="s">
        <v>502</v>
      </c>
      <c r="CV33" s="49" t="s">
        <v>502</v>
      </c>
      <c r="CW33" s="46" t="s">
        <v>502</v>
      </c>
      <c r="CX33" s="46" t="s">
        <v>502</v>
      </c>
      <c r="CY33" s="49" t="s">
        <v>502</v>
      </c>
      <c r="CZ33" s="46" t="s">
        <v>502</v>
      </c>
      <c r="DA33" s="46" t="s">
        <v>502</v>
      </c>
      <c r="DB33" s="49" t="s">
        <v>502</v>
      </c>
      <c r="DC33" s="46" t="s">
        <v>502</v>
      </c>
      <c r="DD33" s="46" t="s">
        <v>502</v>
      </c>
      <c r="DE33" s="49" t="s">
        <v>502</v>
      </c>
      <c r="DF33" s="46" t="s">
        <v>502</v>
      </c>
      <c r="DG33" s="46" t="s">
        <v>502</v>
      </c>
      <c r="DH33" s="49" t="s">
        <v>502</v>
      </c>
      <c r="DI33" s="46">
        <f>16900/1.19</f>
        <v>14201.680672268909</v>
      </c>
      <c r="DJ33" s="46">
        <f t="shared" si="42"/>
        <v>2698.3193277310929</v>
      </c>
      <c r="DK33" s="46">
        <f t="shared" si="43"/>
        <v>16900</v>
      </c>
      <c r="DL33" s="46" t="s">
        <v>502</v>
      </c>
      <c r="DM33" s="46" t="s">
        <v>502</v>
      </c>
      <c r="DN33" s="49" t="s">
        <v>502</v>
      </c>
      <c r="DO33" s="46" t="s">
        <v>502</v>
      </c>
      <c r="DP33" s="46" t="s">
        <v>502</v>
      </c>
      <c r="DQ33" s="49" t="s">
        <v>502</v>
      </c>
      <c r="DR33" s="46" t="s">
        <v>502</v>
      </c>
      <c r="DS33" s="46" t="s">
        <v>502</v>
      </c>
      <c r="DT33" s="49" t="s">
        <v>502</v>
      </c>
      <c r="DU33" s="46" t="s">
        <v>502</v>
      </c>
      <c r="DV33" s="46" t="s">
        <v>502</v>
      </c>
      <c r="DW33" s="49" t="s">
        <v>502</v>
      </c>
      <c r="DX33" s="46" t="s">
        <v>502</v>
      </c>
      <c r="DY33" s="46" t="s">
        <v>502</v>
      </c>
      <c r="DZ33" s="49" t="s">
        <v>502</v>
      </c>
      <c r="EA33" s="46" t="s">
        <v>502</v>
      </c>
      <c r="EB33" s="46" t="s">
        <v>502</v>
      </c>
      <c r="EC33" s="49" t="s">
        <v>502</v>
      </c>
      <c r="ED33" s="46" t="s">
        <v>502</v>
      </c>
      <c r="EE33" s="46" t="s">
        <v>502</v>
      </c>
      <c r="EF33" s="49" t="s">
        <v>502</v>
      </c>
      <c r="EG33" s="46" t="s">
        <v>502</v>
      </c>
      <c r="EH33" s="46" t="s">
        <v>502</v>
      </c>
      <c r="EI33" s="49" t="s">
        <v>502</v>
      </c>
      <c r="EJ33" s="46">
        <f>19500/1.19</f>
        <v>16386.55462184874</v>
      </c>
      <c r="EK33" s="46">
        <f t="shared" si="44"/>
        <v>3113.4453781512607</v>
      </c>
      <c r="EL33" s="46">
        <f t="shared" si="45"/>
        <v>19500</v>
      </c>
      <c r="EM33" s="46" t="s">
        <v>502</v>
      </c>
      <c r="EN33" s="46" t="s">
        <v>502</v>
      </c>
      <c r="EO33" s="49" t="s">
        <v>502</v>
      </c>
      <c r="EP33" s="46" t="s">
        <v>502</v>
      </c>
      <c r="EQ33" s="46" t="s">
        <v>502</v>
      </c>
      <c r="ER33" s="49" t="s">
        <v>502</v>
      </c>
      <c r="ES33" s="46" t="s">
        <v>502</v>
      </c>
      <c r="ET33" s="46" t="s">
        <v>502</v>
      </c>
      <c r="EU33" s="49" t="s">
        <v>502</v>
      </c>
      <c r="EV33" s="46" t="s">
        <v>502</v>
      </c>
      <c r="EW33" s="46" t="s">
        <v>502</v>
      </c>
      <c r="EX33" s="49" t="s">
        <v>502</v>
      </c>
      <c r="EY33" s="46" t="s">
        <v>502</v>
      </c>
      <c r="EZ33" s="46" t="s">
        <v>502</v>
      </c>
      <c r="FA33" s="49" t="s">
        <v>502</v>
      </c>
      <c r="FB33" s="46" t="s">
        <v>502</v>
      </c>
      <c r="FC33" s="46" t="s">
        <v>502</v>
      </c>
      <c r="FD33" s="49" t="s">
        <v>502</v>
      </c>
      <c r="FE33" s="46" t="s">
        <v>502</v>
      </c>
      <c r="FF33" s="46" t="s">
        <v>502</v>
      </c>
      <c r="FG33" s="49" t="s">
        <v>502</v>
      </c>
      <c r="FH33" s="46" t="s">
        <v>502</v>
      </c>
      <c r="FI33" s="46" t="s">
        <v>502</v>
      </c>
      <c r="FJ33" s="49" t="s">
        <v>502</v>
      </c>
      <c r="FK33" s="46" t="s">
        <v>502</v>
      </c>
      <c r="FL33" s="46" t="s">
        <v>502</v>
      </c>
      <c r="FM33" s="49" t="s">
        <v>502</v>
      </c>
      <c r="FN33" s="46" t="s">
        <v>502</v>
      </c>
      <c r="FO33" s="46" t="s">
        <v>502</v>
      </c>
      <c r="FP33" s="49" t="s">
        <v>502</v>
      </c>
      <c r="FQ33" s="46" t="s">
        <v>502</v>
      </c>
      <c r="FR33" s="46" t="s">
        <v>502</v>
      </c>
      <c r="FS33" s="49" t="s">
        <v>502</v>
      </c>
      <c r="FT33" s="46" t="s">
        <v>502</v>
      </c>
      <c r="FU33" s="46" t="s">
        <v>502</v>
      </c>
      <c r="FV33" s="49" t="s">
        <v>502</v>
      </c>
      <c r="FW33" s="50">
        <f t="shared" si="7"/>
        <v>3</v>
      </c>
      <c r="FX33" s="51">
        <f t="shared" si="8"/>
        <v>17866.666666666668</v>
      </c>
      <c r="FY33" s="46">
        <f t="shared" si="6"/>
        <v>17900</v>
      </c>
      <c r="FZ33" s="52" t="s">
        <v>504</v>
      </c>
    </row>
    <row r="34" spans="1:182" ht="127.5" customHeight="1" x14ac:dyDescent="0.2">
      <c r="A34" s="39">
        <v>31</v>
      </c>
      <c r="B34" s="60" t="s">
        <v>12</v>
      </c>
      <c r="C34" s="41" t="s">
        <v>143</v>
      </c>
      <c r="D34" s="42">
        <v>27112811</v>
      </c>
      <c r="E34" s="43" t="s">
        <v>345</v>
      </c>
      <c r="F34" s="44" t="s">
        <v>86</v>
      </c>
      <c r="G34" s="66" t="s">
        <v>501</v>
      </c>
      <c r="H34" s="46" t="s">
        <v>502</v>
      </c>
      <c r="I34" s="46" t="s">
        <v>502</v>
      </c>
      <c r="J34" s="46" t="s">
        <v>502</v>
      </c>
      <c r="K34" s="46" t="s">
        <v>502</v>
      </c>
      <c r="L34" s="46" t="s">
        <v>502</v>
      </c>
      <c r="M34" s="46" t="s">
        <v>502</v>
      </c>
      <c r="N34" s="46" t="s">
        <v>502</v>
      </c>
      <c r="O34" s="46" t="s">
        <v>502</v>
      </c>
      <c r="P34" s="46" t="s">
        <v>502</v>
      </c>
      <c r="Q34" s="46" t="s">
        <v>502</v>
      </c>
      <c r="R34" s="46" t="s">
        <v>502</v>
      </c>
      <c r="S34" s="46" t="s">
        <v>502</v>
      </c>
      <c r="T34" s="46" t="s">
        <v>502</v>
      </c>
      <c r="U34" s="46" t="s">
        <v>502</v>
      </c>
      <c r="V34" s="46" t="s">
        <v>502</v>
      </c>
      <c r="W34" s="46" t="s">
        <v>502</v>
      </c>
      <c r="X34" s="46" t="s">
        <v>502</v>
      </c>
      <c r="Y34" s="46" t="s">
        <v>502</v>
      </c>
      <c r="Z34" s="46" t="s">
        <v>502</v>
      </c>
      <c r="AA34" s="46" t="s">
        <v>502</v>
      </c>
      <c r="AB34" s="46" t="s">
        <v>502</v>
      </c>
      <c r="AC34" s="46" t="s">
        <v>502</v>
      </c>
      <c r="AD34" s="46" t="s">
        <v>502</v>
      </c>
      <c r="AE34" s="46" t="s">
        <v>502</v>
      </c>
      <c r="AF34" s="46" t="s">
        <v>502</v>
      </c>
      <c r="AG34" s="46" t="s">
        <v>502</v>
      </c>
      <c r="AH34" s="46" t="s">
        <v>502</v>
      </c>
      <c r="AI34" s="46" t="s">
        <v>502</v>
      </c>
      <c r="AJ34" s="46" t="s">
        <v>502</v>
      </c>
      <c r="AK34" s="46" t="s">
        <v>502</v>
      </c>
      <c r="AL34" s="46" t="s">
        <v>502</v>
      </c>
      <c r="AM34" s="46" t="s">
        <v>502</v>
      </c>
      <c r="AN34" s="49" t="s">
        <v>502</v>
      </c>
      <c r="AO34" s="46" t="s">
        <v>502</v>
      </c>
      <c r="AP34" s="46" t="s">
        <v>502</v>
      </c>
      <c r="AQ34" s="49" t="s">
        <v>502</v>
      </c>
      <c r="AR34" s="46" t="s">
        <v>502</v>
      </c>
      <c r="AS34" s="46" t="s">
        <v>502</v>
      </c>
      <c r="AT34" s="49" t="s">
        <v>502</v>
      </c>
      <c r="AU34" s="46" t="s">
        <v>502</v>
      </c>
      <c r="AV34" s="46" t="s">
        <v>502</v>
      </c>
      <c r="AW34" s="49" t="s">
        <v>502</v>
      </c>
      <c r="AX34" s="46" t="s">
        <v>502</v>
      </c>
      <c r="AY34" s="46" t="s">
        <v>502</v>
      </c>
      <c r="AZ34" s="49" t="s">
        <v>502</v>
      </c>
      <c r="BA34" s="46" t="s">
        <v>502</v>
      </c>
      <c r="BB34" s="46" t="s">
        <v>502</v>
      </c>
      <c r="BC34" s="49" t="s">
        <v>502</v>
      </c>
      <c r="BD34" s="46" t="s">
        <v>502</v>
      </c>
      <c r="BE34" s="46" t="s">
        <v>502</v>
      </c>
      <c r="BF34" s="49" t="s">
        <v>502</v>
      </c>
      <c r="BG34" s="46" t="s">
        <v>502</v>
      </c>
      <c r="BH34" s="46" t="s">
        <v>502</v>
      </c>
      <c r="BI34" s="49" t="s">
        <v>502</v>
      </c>
      <c r="BJ34" s="71">
        <v>22500</v>
      </c>
      <c r="BK34" s="71">
        <f t="shared" si="46"/>
        <v>0</v>
      </c>
      <c r="BL34" s="71">
        <f t="shared" si="47"/>
        <v>22500</v>
      </c>
      <c r="BM34" s="46" t="s">
        <v>502</v>
      </c>
      <c r="BN34" s="46" t="s">
        <v>502</v>
      </c>
      <c r="BO34" s="49" t="s">
        <v>502</v>
      </c>
      <c r="BP34" s="46" t="s">
        <v>502</v>
      </c>
      <c r="BQ34" s="46" t="s">
        <v>502</v>
      </c>
      <c r="BR34" s="49" t="s">
        <v>502</v>
      </c>
      <c r="BS34" s="46" t="s">
        <v>502</v>
      </c>
      <c r="BT34" s="46" t="s">
        <v>502</v>
      </c>
      <c r="BU34" s="49" t="s">
        <v>502</v>
      </c>
      <c r="BV34" s="46" t="s">
        <v>502</v>
      </c>
      <c r="BW34" s="46" t="s">
        <v>502</v>
      </c>
      <c r="BX34" s="49" t="s">
        <v>502</v>
      </c>
      <c r="BY34" s="46" t="s">
        <v>502</v>
      </c>
      <c r="BZ34" s="46" t="s">
        <v>502</v>
      </c>
      <c r="CA34" s="49" t="s">
        <v>502</v>
      </c>
      <c r="CB34" s="46" t="s">
        <v>502</v>
      </c>
      <c r="CC34" s="46" t="s">
        <v>502</v>
      </c>
      <c r="CD34" s="49" t="s">
        <v>502</v>
      </c>
      <c r="CE34" s="46" t="s">
        <v>502</v>
      </c>
      <c r="CF34" s="46" t="s">
        <v>502</v>
      </c>
      <c r="CG34" s="49" t="s">
        <v>502</v>
      </c>
      <c r="CH34" s="46" t="s">
        <v>502</v>
      </c>
      <c r="CI34" s="46" t="s">
        <v>502</v>
      </c>
      <c r="CJ34" s="49" t="s">
        <v>502</v>
      </c>
      <c r="CK34" s="46" t="s">
        <v>502</v>
      </c>
      <c r="CL34" s="46" t="s">
        <v>502</v>
      </c>
      <c r="CM34" s="49" t="s">
        <v>502</v>
      </c>
      <c r="CN34" s="46" t="s">
        <v>502</v>
      </c>
      <c r="CO34" s="46" t="s">
        <v>502</v>
      </c>
      <c r="CP34" s="49" t="s">
        <v>502</v>
      </c>
      <c r="CQ34" s="46" t="s">
        <v>502</v>
      </c>
      <c r="CR34" s="46" t="s">
        <v>502</v>
      </c>
      <c r="CS34" s="49" t="s">
        <v>502</v>
      </c>
      <c r="CT34" s="46" t="s">
        <v>502</v>
      </c>
      <c r="CU34" s="46" t="s">
        <v>502</v>
      </c>
      <c r="CV34" s="49" t="s">
        <v>502</v>
      </c>
      <c r="CW34" s="46" t="s">
        <v>502</v>
      </c>
      <c r="CX34" s="46" t="s">
        <v>502</v>
      </c>
      <c r="CY34" s="49" t="s">
        <v>502</v>
      </c>
      <c r="CZ34" s="46" t="s">
        <v>502</v>
      </c>
      <c r="DA34" s="46" t="s">
        <v>502</v>
      </c>
      <c r="DB34" s="49" t="s">
        <v>502</v>
      </c>
      <c r="DC34" s="46" t="s">
        <v>502</v>
      </c>
      <c r="DD34" s="46" t="s">
        <v>502</v>
      </c>
      <c r="DE34" s="49" t="s">
        <v>502</v>
      </c>
      <c r="DF34" s="46" t="s">
        <v>502</v>
      </c>
      <c r="DG34" s="46" t="s">
        <v>502</v>
      </c>
      <c r="DH34" s="49" t="s">
        <v>502</v>
      </c>
      <c r="DI34" s="46">
        <f>21900/1.19</f>
        <v>18403.361344537814</v>
      </c>
      <c r="DJ34" s="46">
        <f t="shared" si="42"/>
        <v>3496.6386554621849</v>
      </c>
      <c r="DK34" s="46">
        <f t="shared" si="43"/>
        <v>21900</v>
      </c>
      <c r="DL34" s="46" t="s">
        <v>502</v>
      </c>
      <c r="DM34" s="46" t="s">
        <v>502</v>
      </c>
      <c r="DN34" s="49" t="s">
        <v>502</v>
      </c>
      <c r="DO34" s="46" t="s">
        <v>502</v>
      </c>
      <c r="DP34" s="46" t="s">
        <v>502</v>
      </c>
      <c r="DQ34" s="49" t="s">
        <v>502</v>
      </c>
      <c r="DR34" s="46" t="s">
        <v>502</v>
      </c>
      <c r="DS34" s="46" t="s">
        <v>502</v>
      </c>
      <c r="DT34" s="49" t="s">
        <v>502</v>
      </c>
      <c r="DU34" s="46" t="s">
        <v>502</v>
      </c>
      <c r="DV34" s="46" t="s">
        <v>502</v>
      </c>
      <c r="DW34" s="49" t="s">
        <v>502</v>
      </c>
      <c r="DX34" s="46" t="s">
        <v>502</v>
      </c>
      <c r="DY34" s="46" t="s">
        <v>502</v>
      </c>
      <c r="DZ34" s="49" t="s">
        <v>502</v>
      </c>
      <c r="EA34" s="46" t="s">
        <v>502</v>
      </c>
      <c r="EB34" s="46" t="s">
        <v>502</v>
      </c>
      <c r="EC34" s="49" t="s">
        <v>502</v>
      </c>
      <c r="ED34" s="46" t="s">
        <v>502</v>
      </c>
      <c r="EE34" s="46" t="s">
        <v>502</v>
      </c>
      <c r="EF34" s="49" t="s">
        <v>502</v>
      </c>
      <c r="EG34" s="46" t="s">
        <v>502</v>
      </c>
      <c r="EH34" s="46" t="s">
        <v>502</v>
      </c>
      <c r="EI34" s="49" t="s">
        <v>502</v>
      </c>
      <c r="EJ34" s="46">
        <f>25500/1.19</f>
        <v>21428.571428571431</v>
      </c>
      <c r="EK34" s="46">
        <f t="shared" si="44"/>
        <v>4071.428571428572</v>
      </c>
      <c r="EL34" s="46">
        <f t="shared" si="45"/>
        <v>25500.000000000004</v>
      </c>
      <c r="EM34" s="46" t="s">
        <v>502</v>
      </c>
      <c r="EN34" s="46" t="s">
        <v>502</v>
      </c>
      <c r="EO34" s="49" t="s">
        <v>502</v>
      </c>
      <c r="EP34" s="46" t="s">
        <v>502</v>
      </c>
      <c r="EQ34" s="46" t="s">
        <v>502</v>
      </c>
      <c r="ER34" s="49" t="s">
        <v>502</v>
      </c>
      <c r="ES34" s="46" t="s">
        <v>502</v>
      </c>
      <c r="ET34" s="46" t="s">
        <v>502</v>
      </c>
      <c r="EU34" s="49" t="s">
        <v>502</v>
      </c>
      <c r="EV34" s="46" t="s">
        <v>502</v>
      </c>
      <c r="EW34" s="46" t="s">
        <v>502</v>
      </c>
      <c r="EX34" s="49" t="s">
        <v>502</v>
      </c>
      <c r="EY34" s="46" t="s">
        <v>502</v>
      </c>
      <c r="EZ34" s="46" t="s">
        <v>502</v>
      </c>
      <c r="FA34" s="49" t="s">
        <v>502</v>
      </c>
      <c r="FB34" s="46" t="s">
        <v>502</v>
      </c>
      <c r="FC34" s="46" t="s">
        <v>502</v>
      </c>
      <c r="FD34" s="49" t="s">
        <v>502</v>
      </c>
      <c r="FE34" s="46" t="s">
        <v>502</v>
      </c>
      <c r="FF34" s="46" t="s">
        <v>502</v>
      </c>
      <c r="FG34" s="49" t="s">
        <v>502</v>
      </c>
      <c r="FH34" s="46" t="s">
        <v>502</v>
      </c>
      <c r="FI34" s="46" t="s">
        <v>502</v>
      </c>
      <c r="FJ34" s="49" t="s">
        <v>502</v>
      </c>
      <c r="FK34" s="46" t="s">
        <v>502</v>
      </c>
      <c r="FL34" s="46" t="s">
        <v>502</v>
      </c>
      <c r="FM34" s="49" t="s">
        <v>502</v>
      </c>
      <c r="FN34" s="46" t="s">
        <v>502</v>
      </c>
      <c r="FO34" s="46" t="s">
        <v>502</v>
      </c>
      <c r="FP34" s="49" t="s">
        <v>502</v>
      </c>
      <c r="FQ34" s="46" t="s">
        <v>502</v>
      </c>
      <c r="FR34" s="46" t="s">
        <v>502</v>
      </c>
      <c r="FS34" s="49" t="s">
        <v>502</v>
      </c>
      <c r="FT34" s="46" t="s">
        <v>502</v>
      </c>
      <c r="FU34" s="46" t="s">
        <v>502</v>
      </c>
      <c r="FV34" s="49" t="s">
        <v>502</v>
      </c>
      <c r="FW34" s="50">
        <f t="shared" si="7"/>
        <v>3</v>
      </c>
      <c r="FX34" s="51">
        <f t="shared" si="8"/>
        <v>23300</v>
      </c>
      <c r="FY34" s="46">
        <f t="shared" si="6"/>
        <v>23300</v>
      </c>
      <c r="FZ34" s="52" t="s">
        <v>504</v>
      </c>
    </row>
    <row r="35" spans="1:182" ht="127.5" customHeight="1" x14ac:dyDescent="0.2">
      <c r="A35" s="39">
        <v>32</v>
      </c>
      <c r="B35" s="40" t="s">
        <v>12</v>
      </c>
      <c r="C35" s="41" t="s">
        <v>144</v>
      </c>
      <c r="D35" s="42">
        <v>11111501</v>
      </c>
      <c r="E35" s="43" t="s">
        <v>145</v>
      </c>
      <c r="F35" s="44" t="s">
        <v>146</v>
      </c>
      <c r="G35" s="66" t="s">
        <v>501</v>
      </c>
      <c r="H35" s="46" t="s">
        <v>502</v>
      </c>
      <c r="I35" s="46" t="s">
        <v>502</v>
      </c>
      <c r="J35" s="46" t="s">
        <v>502</v>
      </c>
      <c r="K35" s="46" t="s">
        <v>502</v>
      </c>
      <c r="L35" s="46" t="s">
        <v>502</v>
      </c>
      <c r="M35" s="46" t="s">
        <v>502</v>
      </c>
      <c r="N35" s="46" t="s">
        <v>502</v>
      </c>
      <c r="O35" s="46" t="s">
        <v>502</v>
      </c>
      <c r="P35" s="46" t="s">
        <v>502</v>
      </c>
      <c r="Q35" s="46" t="s">
        <v>502</v>
      </c>
      <c r="R35" s="46" t="s">
        <v>502</v>
      </c>
      <c r="S35" s="46" t="s">
        <v>502</v>
      </c>
      <c r="T35" s="46" t="s">
        <v>502</v>
      </c>
      <c r="U35" s="46" t="s">
        <v>502</v>
      </c>
      <c r="V35" s="46" t="s">
        <v>502</v>
      </c>
      <c r="W35" s="46" t="s">
        <v>502</v>
      </c>
      <c r="X35" s="46" t="s">
        <v>502</v>
      </c>
      <c r="Y35" s="46" t="s">
        <v>502</v>
      </c>
      <c r="Z35" s="46" t="s">
        <v>502</v>
      </c>
      <c r="AA35" s="46" t="s">
        <v>502</v>
      </c>
      <c r="AB35" s="46" t="s">
        <v>502</v>
      </c>
      <c r="AC35" s="46" t="s">
        <v>502</v>
      </c>
      <c r="AD35" s="46" t="s">
        <v>502</v>
      </c>
      <c r="AE35" s="46" t="s">
        <v>502</v>
      </c>
      <c r="AF35" s="46" t="s">
        <v>502</v>
      </c>
      <c r="AG35" s="46" t="s">
        <v>502</v>
      </c>
      <c r="AH35" s="46" t="s">
        <v>502</v>
      </c>
      <c r="AI35" s="46" t="s">
        <v>502</v>
      </c>
      <c r="AJ35" s="46" t="s">
        <v>502</v>
      </c>
      <c r="AK35" s="46" t="s">
        <v>502</v>
      </c>
      <c r="AL35" s="46" t="s">
        <v>502</v>
      </c>
      <c r="AM35" s="46" t="s">
        <v>502</v>
      </c>
      <c r="AN35" s="49" t="s">
        <v>502</v>
      </c>
      <c r="AO35" s="46" t="s">
        <v>502</v>
      </c>
      <c r="AP35" s="46" t="s">
        <v>502</v>
      </c>
      <c r="AQ35" s="49" t="s">
        <v>502</v>
      </c>
      <c r="AR35" s="46" t="s">
        <v>502</v>
      </c>
      <c r="AS35" s="46" t="s">
        <v>502</v>
      </c>
      <c r="AT35" s="49" t="s">
        <v>502</v>
      </c>
      <c r="AU35" s="46" t="s">
        <v>502</v>
      </c>
      <c r="AV35" s="46" t="s">
        <v>502</v>
      </c>
      <c r="AW35" s="49" t="s">
        <v>502</v>
      </c>
      <c r="AX35" s="46" t="s">
        <v>502</v>
      </c>
      <c r="AY35" s="46" t="s">
        <v>502</v>
      </c>
      <c r="AZ35" s="49" t="s">
        <v>502</v>
      </c>
      <c r="BA35" s="46" t="s">
        <v>502</v>
      </c>
      <c r="BB35" s="46" t="s">
        <v>502</v>
      </c>
      <c r="BC35" s="49" t="s">
        <v>502</v>
      </c>
      <c r="BD35" s="46" t="s">
        <v>502</v>
      </c>
      <c r="BE35" s="46" t="s">
        <v>502</v>
      </c>
      <c r="BF35" s="49" t="s">
        <v>502</v>
      </c>
      <c r="BG35" s="46" t="s">
        <v>502</v>
      </c>
      <c r="BH35" s="46" t="s">
        <v>502</v>
      </c>
      <c r="BI35" s="49" t="s">
        <v>502</v>
      </c>
      <c r="BJ35" s="71">
        <f>16500/1.19</f>
        <v>13865.546218487396</v>
      </c>
      <c r="BK35" s="71">
        <f>+BJ35*19%</f>
        <v>2634.4537815126055</v>
      </c>
      <c r="BL35" s="71">
        <f>+BK35+BJ35</f>
        <v>16500</v>
      </c>
      <c r="BM35" s="46" t="s">
        <v>502</v>
      </c>
      <c r="BN35" s="46" t="s">
        <v>502</v>
      </c>
      <c r="BO35" s="49" t="s">
        <v>502</v>
      </c>
      <c r="BP35" s="46" t="s">
        <v>502</v>
      </c>
      <c r="BQ35" s="46" t="s">
        <v>502</v>
      </c>
      <c r="BR35" s="49" t="s">
        <v>502</v>
      </c>
      <c r="BS35" s="46" t="s">
        <v>502</v>
      </c>
      <c r="BT35" s="46" t="s">
        <v>502</v>
      </c>
      <c r="BU35" s="49" t="s">
        <v>502</v>
      </c>
      <c r="BV35" s="46" t="s">
        <v>502</v>
      </c>
      <c r="BW35" s="46" t="s">
        <v>502</v>
      </c>
      <c r="BX35" s="49" t="s">
        <v>502</v>
      </c>
      <c r="BY35" s="46" t="s">
        <v>502</v>
      </c>
      <c r="BZ35" s="46" t="s">
        <v>502</v>
      </c>
      <c r="CA35" s="49" t="s">
        <v>502</v>
      </c>
      <c r="CB35" s="46" t="s">
        <v>502</v>
      </c>
      <c r="CC35" s="46" t="s">
        <v>502</v>
      </c>
      <c r="CD35" s="49" t="s">
        <v>502</v>
      </c>
      <c r="CE35" s="46" t="s">
        <v>502</v>
      </c>
      <c r="CF35" s="46" t="s">
        <v>502</v>
      </c>
      <c r="CG35" s="49" t="s">
        <v>502</v>
      </c>
      <c r="CH35" s="46" t="s">
        <v>502</v>
      </c>
      <c r="CI35" s="46" t="s">
        <v>502</v>
      </c>
      <c r="CJ35" s="49" t="s">
        <v>502</v>
      </c>
      <c r="CK35" s="46" t="s">
        <v>502</v>
      </c>
      <c r="CL35" s="46" t="s">
        <v>502</v>
      </c>
      <c r="CM35" s="49" t="s">
        <v>502</v>
      </c>
      <c r="CN35" s="46" t="s">
        <v>502</v>
      </c>
      <c r="CO35" s="46" t="s">
        <v>502</v>
      </c>
      <c r="CP35" s="49" t="s">
        <v>502</v>
      </c>
      <c r="CQ35" s="46" t="s">
        <v>502</v>
      </c>
      <c r="CR35" s="46" t="s">
        <v>502</v>
      </c>
      <c r="CS35" s="49" t="s">
        <v>502</v>
      </c>
      <c r="CT35" s="46" t="s">
        <v>502</v>
      </c>
      <c r="CU35" s="46" t="s">
        <v>502</v>
      </c>
      <c r="CV35" s="49" t="s">
        <v>502</v>
      </c>
      <c r="CW35" s="46" t="s">
        <v>502</v>
      </c>
      <c r="CX35" s="46" t="s">
        <v>502</v>
      </c>
      <c r="CY35" s="49" t="s">
        <v>502</v>
      </c>
      <c r="CZ35" s="46" t="s">
        <v>502</v>
      </c>
      <c r="DA35" s="46" t="s">
        <v>502</v>
      </c>
      <c r="DB35" s="49" t="s">
        <v>502</v>
      </c>
      <c r="DC35" s="46" t="s">
        <v>502</v>
      </c>
      <c r="DD35" s="46" t="s">
        <v>502</v>
      </c>
      <c r="DE35" s="49" t="s">
        <v>502</v>
      </c>
      <c r="DF35" s="46" t="s">
        <v>502</v>
      </c>
      <c r="DG35" s="46" t="s">
        <v>502</v>
      </c>
      <c r="DH35" s="49" t="s">
        <v>502</v>
      </c>
      <c r="DI35" s="46">
        <f>15900/1.19</f>
        <v>13361.344537815126</v>
      </c>
      <c r="DJ35" s="46">
        <f t="shared" si="42"/>
        <v>2538.6554621848741</v>
      </c>
      <c r="DK35" s="46">
        <f t="shared" si="43"/>
        <v>15900</v>
      </c>
      <c r="DL35" s="46" t="s">
        <v>502</v>
      </c>
      <c r="DM35" s="46" t="s">
        <v>502</v>
      </c>
      <c r="DN35" s="49" t="s">
        <v>502</v>
      </c>
      <c r="DO35" s="46" t="s">
        <v>502</v>
      </c>
      <c r="DP35" s="46" t="s">
        <v>502</v>
      </c>
      <c r="DQ35" s="49" t="s">
        <v>502</v>
      </c>
      <c r="DR35" s="46" t="s">
        <v>502</v>
      </c>
      <c r="DS35" s="46" t="s">
        <v>502</v>
      </c>
      <c r="DT35" s="49" t="s">
        <v>502</v>
      </c>
      <c r="DU35" s="46" t="s">
        <v>502</v>
      </c>
      <c r="DV35" s="46" t="s">
        <v>502</v>
      </c>
      <c r="DW35" s="49" t="s">
        <v>502</v>
      </c>
      <c r="DX35" s="46" t="s">
        <v>502</v>
      </c>
      <c r="DY35" s="46" t="s">
        <v>502</v>
      </c>
      <c r="DZ35" s="49" t="s">
        <v>502</v>
      </c>
      <c r="EA35" s="46" t="s">
        <v>502</v>
      </c>
      <c r="EB35" s="46" t="s">
        <v>502</v>
      </c>
      <c r="EC35" s="49" t="s">
        <v>502</v>
      </c>
      <c r="ED35" s="46" t="s">
        <v>502</v>
      </c>
      <c r="EE35" s="46" t="s">
        <v>502</v>
      </c>
      <c r="EF35" s="49" t="s">
        <v>502</v>
      </c>
      <c r="EG35" s="46" t="s">
        <v>502</v>
      </c>
      <c r="EH35" s="46" t="s">
        <v>502</v>
      </c>
      <c r="EI35" s="49" t="s">
        <v>502</v>
      </c>
      <c r="EJ35" s="46">
        <f>18600/1.19</f>
        <v>15630.252100840336</v>
      </c>
      <c r="EK35" s="46">
        <f t="shared" si="44"/>
        <v>2969.747899159664</v>
      </c>
      <c r="EL35" s="46">
        <f t="shared" si="45"/>
        <v>18600</v>
      </c>
      <c r="EM35" s="49">
        <v>11764.7058</v>
      </c>
      <c r="EN35" s="49">
        <f>+EM35*19%</f>
        <v>2235.2941019999998</v>
      </c>
      <c r="EO35" s="49">
        <f>+EM35+EN35</f>
        <v>13999.999902</v>
      </c>
      <c r="EP35" s="46" t="s">
        <v>502</v>
      </c>
      <c r="EQ35" s="46" t="s">
        <v>502</v>
      </c>
      <c r="ER35" s="49" t="s">
        <v>502</v>
      </c>
      <c r="ES35" s="46" t="s">
        <v>502</v>
      </c>
      <c r="ET35" s="46" t="s">
        <v>502</v>
      </c>
      <c r="EU35" s="49" t="s">
        <v>502</v>
      </c>
      <c r="EV35" s="46" t="s">
        <v>502</v>
      </c>
      <c r="EW35" s="46" t="s">
        <v>502</v>
      </c>
      <c r="EX35" s="49" t="s">
        <v>502</v>
      </c>
      <c r="EY35" s="46" t="s">
        <v>502</v>
      </c>
      <c r="EZ35" s="46" t="s">
        <v>502</v>
      </c>
      <c r="FA35" s="49" t="s">
        <v>502</v>
      </c>
      <c r="FB35" s="46" t="s">
        <v>502</v>
      </c>
      <c r="FC35" s="46" t="s">
        <v>502</v>
      </c>
      <c r="FD35" s="49" t="s">
        <v>502</v>
      </c>
      <c r="FE35" s="46" t="s">
        <v>502</v>
      </c>
      <c r="FF35" s="46" t="s">
        <v>502</v>
      </c>
      <c r="FG35" s="49" t="s">
        <v>502</v>
      </c>
      <c r="FH35" s="46" t="s">
        <v>502</v>
      </c>
      <c r="FI35" s="46" t="s">
        <v>502</v>
      </c>
      <c r="FJ35" s="49" t="s">
        <v>502</v>
      </c>
      <c r="FK35" s="46" t="s">
        <v>502</v>
      </c>
      <c r="FL35" s="46" t="s">
        <v>502</v>
      </c>
      <c r="FM35" s="49" t="s">
        <v>502</v>
      </c>
      <c r="FN35" s="46" t="s">
        <v>502</v>
      </c>
      <c r="FO35" s="46" t="s">
        <v>502</v>
      </c>
      <c r="FP35" s="49" t="s">
        <v>502</v>
      </c>
      <c r="FQ35" s="46" t="s">
        <v>502</v>
      </c>
      <c r="FR35" s="46" t="s">
        <v>502</v>
      </c>
      <c r="FS35" s="49" t="s">
        <v>502</v>
      </c>
      <c r="FT35" s="46" t="s">
        <v>502</v>
      </c>
      <c r="FU35" s="46" t="s">
        <v>502</v>
      </c>
      <c r="FV35" s="49" t="s">
        <v>502</v>
      </c>
      <c r="FW35" s="50">
        <f t="shared" si="7"/>
        <v>4</v>
      </c>
      <c r="FX35" s="51">
        <f t="shared" si="8"/>
        <v>16249.999975499999</v>
      </c>
      <c r="FY35" s="46">
        <f t="shared" si="6"/>
        <v>16250</v>
      </c>
      <c r="FZ35" s="52" t="s">
        <v>504</v>
      </c>
    </row>
    <row r="36" spans="1:182" ht="127.5" customHeight="1" x14ac:dyDescent="0.2">
      <c r="A36" s="53">
        <v>33</v>
      </c>
      <c r="B36" s="40" t="s">
        <v>12</v>
      </c>
      <c r="C36" s="72" t="s">
        <v>147</v>
      </c>
      <c r="D36" s="42">
        <v>10171504</v>
      </c>
      <c r="E36" s="73" t="s">
        <v>148</v>
      </c>
      <c r="F36" s="74" t="s">
        <v>149</v>
      </c>
      <c r="G36" s="66" t="s">
        <v>501</v>
      </c>
      <c r="H36" s="46" t="s">
        <v>502</v>
      </c>
      <c r="I36" s="46" t="s">
        <v>502</v>
      </c>
      <c r="J36" s="46" t="s">
        <v>502</v>
      </c>
      <c r="K36" s="46" t="s">
        <v>502</v>
      </c>
      <c r="L36" s="46" t="s">
        <v>502</v>
      </c>
      <c r="M36" s="46" t="s">
        <v>502</v>
      </c>
      <c r="N36" s="46" t="s">
        <v>502</v>
      </c>
      <c r="O36" s="46" t="s">
        <v>502</v>
      </c>
      <c r="P36" s="46" t="s">
        <v>502</v>
      </c>
      <c r="Q36" s="46" t="s">
        <v>502</v>
      </c>
      <c r="R36" s="46" t="s">
        <v>502</v>
      </c>
      <c r="S36" s="46" t="s">
        <v>502</v>
      </c>
      <c r="T36" s="46" t="s">
        <v>502</v>
      </c>
      <c r="U36" s="46" t="s">
        <v>502</v>
      </c>
      <c r="V36" s="46" t="s">
        <v>502</v>
      </c>
      <c r="W36" s="46" t="s">
        <v>502</v>
      </c>
      <c r="X36" s="46" t="s">
        <v>502</v>
      </c>
      <c r="Y36" s="46" t="s">
        <v>502</v>
      </c>
      <c r="Z36" s="46" t="s">
        <v>502</v>
      </c>
      <c r="AA36" s="46" t="s">
        <v>502</v>
      </c>
      <c r="AB36" s="46" t="s">
        <v>502</v>
      </c>
      <c r="AC36" s="46" t="s">
        <v>502</v>
      </c>
      <c r="AD36" s="46" t="s">
        <v>502</v>
      </c>
      <c r="AE36" s="46" t="s">
        <v>502</v>
      </c>
      <c r="AF36" s="46" t="s">
        <v>502</v>
      </c>
      <c r="AG36" s="46" t="s">
        <v>502</v>
      </c>
      <c r="AH36" s="46" t="s">
        <v>502</v>
      </c>
      <c r="AI36" s="46" t="s">
        <v>502</v>
      </c>
      <c r="AJ36" s="46" t="s">
        <v>502</v>
      </c>
      <c r="AK36" s="46" t="s">
        <v>502</v>
      </c>
      <c r="AL36" s="46" t="s">
        <v>502</v>
      </c>
      <c r="AM36" s="46" t="s">
        <v>502</v>
      </c>
      <c r="AN36" s="49" t="s">
        <v>502</v>
      </c>
      <c r="AO36" s="46" t="s">
        <v>502</v>
      </c>
      <c r="AP36" s="46" t="s">
        <v>502</v>
      </c>
      <c r="AQ36" s="49" t="s">
        <v>502</v>
      </c>
      <c r="AR36" s="46" t="s">
        <v>502</v>
      </c>
      <c r="AS36" s="46" t="s">
        <v>502</v>
      </c>
      <c r="AT36" s="49" t="s">
        <v>502</v>
      </c>
      <c r="AU36" s="46" t="s">
        <v>502</v>
      </c>
      <c r="AV36" s="46" t="s">
        <v>502</v>
      </c>
      <c r="AW36" s="49" t="s">
        <v>502</v>
      </c>
      <c r="AX36" s="46" t="s">
        <v>502</v>
      </c>
      <c r="AY36" s="46" t="s">
        <v>502</v>
      </c>
      <c r="AZ36" s="49" t="s">
        <v>502</v>
      </c>
      <c r="BA36" s="46" t="s">
        <v>502</v>
      </c>
      <c r="BB36" s="46" t="s">
        <v>502</v>
      </c>
      <c r="BC36" s="49" t="s">
        <v>502</v>
      </c>
      <c r="BD36" s="46" t="s">
        <v>502</v>
      </c>
      <c r="BE36" s="46" t="s">
        <v>502</v>
      </c>
      <c r="BF36" s="49" t="s">
        <v>502</v>
      </c>
      <c r="BG36" s="46" t="s">
        <v>502</v>
      </c>
      <c r="BH36" s="46" t="s">
        <v>502</v>
      </c>
      <c r="BI36" s="49" t="s">
        <v>502</v>
      </c>
      <c r="BJ36" s="71">
        <f>72000/1.19</f>
        <v>60504.201680672275</v>
      </c>
      <c r="BK36" s="71">
        <f>+BJ36*19%</f>
        <v>11495.798319327732</v>
      </c>
      <c r="BL36" s="71">
        <f>+BK36+BJ36</f>
        <v>72000</v>
      </c>
      <c r="BM36" s="46" t="s">
        <v>502</v>
      </c>
      <c r="BN36" s="46" t="s">
        <v>502</v>
      </c>
      <c r="BO36" s="49" t="s">
        <v>502</v>
      </c>
      <c r="BP36" s="46" t="s">
        <v>502</v>
      </c>
      <c r="BQ36" s="46" t="s">
        <v>502</v>
      </c>
      <c r="BR36" s="49" t="s">
        <v>502</v>
      </c>
      <c r="BS36" s="46" t="s">
        <v>502</v>
      </c>
      <c r="BT36" s="46" t="s">
        <v>502</v>
      </c>
      <c r="BU36" s="49" t="s">
        <v>502</v>
      </c>
      <c r="BV36" s="46" t="s">
        <v>502</v>
      </c>
      <c r="BW36" s="46" t="s">
        <v>502</v>
      </c>
      <c r="BX36" s="49" t="s">
        <v>502</v>
      </c>
      <c r="BY36" s="46" t="s">
        <v>502</v>
      </c>
      <c r="BZ36" s="46" t="s">
        <v>502</v>
      </c>
      <c r="CA36" s="49" t="s">
        <v>502</v>
      </c>
      <c r="CB36" s="46" t="s">
        <v>502</v>
      </c>
      <c r="CC36" s="46" t="s">
        <v>502</v>
      </c>
      <c r="CD36" s="49" t="s">
        <v>502</v>
      </c>
      <c r="CE36" s="46" t="s">
        <v>502</v>
      </c>
      <c r="CF36" s="46" t="s">
        <v>502</v>
      </c>
      <c r="CG36" s="49" t="s">
        <v>502</v>
      </c>
      <c r="CH36" s="46" t="s">
        <v>502</v>
      </c>
      <c r="CI36" s="46" t="s">
        <v>502</v>
      </c>
      <c r="CJ36" s="49" t="s">
        <v>502</v>
      </c>
      <c r="CK36" s="46" t="s">
        <v>502</v>
      </c>
      <c r="CL36" s="46" t="s">
        <v>502</v>
      </c>
      <c r="CM36" s="49" t="s">
        <v>502</v>
      </c>
      <c r="CN36" s="46" t="s">
        <v>502</v>
      </c>
      <c r="CO36" s="46" t="s">
        <v>502</v>
      </c>
      <c r="CP36" s="49" t="s">
        <v>502</v>
      </c>
      <c r="CQ36" s="46" t="s">
        <v>502</v>
      </c>
      <c r="CR36" s="46" t="s">
        <v>502</v>
      </c>
      <c r="CS36" s="49" t="s">
        <v>502</v>
      </c>
      <c r="CT36" s="46" t="s">
        <v>502</v>
      </c>
      <c r="CU36" s="46" t="s">
        <v>502</v>
      </c>
      <c r="CV36" s="49" t="s">
        <v>502</v>
      </c>
      <c r="CW36" s="46" t="s">
        <v>502</v>
      </c>
      <c r="CX36" s="46" t="s">
        <v>502</v>
      </c>
      <c r="CY36" s="49" t="s">
        <v>502</v>
      </c>
      <c r="CZ36" s="46" t="s">
        <v>502</v>
      </c>
      <c r="DA36" s="46" t="s">
        <v>502</v>
      </c>
      <c r="DB36" s="49" t="s">
        <v>502</v>
      </c>
      <c r="DC36" s="46" t="s">
        <v>502</v>
      </c>
      <c r="DD36" s="46" t="s">
        <v>502</v>
      </c>
      <c r="DE36" s="49" t="s">
        <v>502</v>
      </c>
      <c r="DF36" s="46" t="s">
        <v>502</v>
      </c>
      <c r="DG36" s="46" t="s">
        <v>502</v>
      </c>
      <c r="DH36" s="49" t="s">
        <v>502</v>
      </c>
      <c r="DI36" s="46">
        <f>65900/1.19</f>
        <v>55378.151260504201</v>
      </c>
      <c r="DJ36" s="46">
        <f t="shared" si="42"/>
        <v>10521.848739495797</v>
      </c>
      <c r="DK36" s="46">
        <f t="shared" si="43"/>
        <v>65900</v>
      </c>
      <c r="DL36" s="46" t="s">
        <v>502</v>
      </c>
      <c r="DM36" s="46" t="s">
        <v>502</v>
      </c>
      <c r="DN36" s="49" t="s">
        <v>502</v>
      </c>
      <c r="DO36" s="46" t="s">
        <v>502</v>
      </c>
      <c r="DP36" s="46" t="s">
        <v>502</v>
      </c>
      <c r="DQ36" s="49" t="s">
        <v>502</v>
      </c>
      <c r="DR36" s="46" t="s">
        <v>502</v>
      </c>
      <c r="DS36" s="46" t="s">
        <v>502</v>
      </c>
      <c r="DT36" s="49" t="s">
        <v>502</v>
      </c>
      <c r="DU36" s="46" t="s">
        <v>502</v>
      </c>
      <c r="DV36" s="46" t="s">
        <v>502</v>
      </c>
      <c r="DW36" s="49" t="s">
        <v>502</v>
      </c>
      <c r="DX36" s="46" t="s">
        <v>502</v>
      </c>
      <c r="DY36" s="46" t="s">
        <v>502</v>
      </c>
      <c r="DZ36" s="49" t="s">
        <v>502</v>
      </c>
      <c r="EA36" s="46" t="s">
        <v>502</v>
      </c>
      <c r="EB36" s="46" t="s">
        <v>502</v>
      </c>
      <c r="EC36" s="49" t="s">
        <v>502</v>
      </c>
      <c r="ED36" s="46" t="s">
        <v>502</v>
      </c>
      <c r="EE36" s="46" t="s">
        <v>502</v>
      </c>
      <c r="EF36" s="49" t="s">
        <v>502</v>
      </c>
      <c r="EG36" s="46" t="s">
        <v>502</v>
      </c>
      <c r="EH36" s="46" t="s">
        <v>502</v>
      </c>
      <c r="EI36" s="49" t="s">
        <v>502</v>
      </c>
      <c r="EJ36" s="46">
        <f>75000/1.19</f>
        <v>63025.210084033613</v>
      </c>
      <c r="EK36" s="46">
        <f t="shared" si="44"/>
        <v>11974.789915966387</v>
      </c>
      <c r="EL36" s="46">
        <f t="shared" si="45"/>
        <v>75000</v>
      </c>
      <c r="EM36" s="46" t="s">
        <v>502</v>
      </c>
      <c r="EN36" s="46" t="s">
        <v>502</v>
      </c>
      <c r="EO36" s="49" t="s">
        <v>502</v>
      </c>
      <c r="EP36" s="46" t="s">
        <v>502</v>
      </c>
      <c r="EQ36" s="46" t="s">
        <v>502</v>
      </c>
      <c r="ER36" s="49" t="s">
        <v>502</v>
      </c>
      <c r="ES36" s="46" t="s">
        <v>502</v>
      </c>
      <c r="ET36" s="46" t="s">
        <v>502</v>
      </c>
      <c r="EU36" s="49" t="s">
        <v>502</v>
      </c>
      <c r="EV36" s="46" t="s">
        <v>502</v>
      </c>
      <c r="EW36" s="46" t="s">
        <v>502</v>
      </c>
      <c r="EX36" s="49" t="s">
        <v>502</v>
      </c>
      <c r="EY36" s="46" t="s">
        <v>502</v>
      </c>
      <c r="EZ36" s="46" t="s">
        <v>502</v>
      </c>
      <c r="FA36" s="49" t="s">
        <v>502</v>
      </c>
      <c r="FB36" s="46" t="s">
        <v>502</v>
      </c>
      <c r="FC36" s="46" t="s">
        <v>502</v>
      </c>
      <c r="FD36" s="49" t="s">
        <v>502</v>
      </c>
      <c r="FE36" s="46" t="s">
        <v>502</v>
      </c>
      <c r="FF36" s="46" t="s">
        <v>502</v>
      </c>
      <c r="FG36" s="49" t="s">
        <v>502</v>
      </c>
      <c r="FH36" s="46" t="s">
        <v>502</v>
      </c>
      <c r="FI36" s="46" t="s">
        <v>502</v>
      </c>
      <c r="FJ36" s="49" t="s">
        <v>502</v>
      </c>
      <c r="FK36" s="46" t="s">
        <v>502</v>
      </c>
      <c r="FL36" s="46" t="s">
        <v>502</v>
      </c>
      <c r="FM36" s="49" t="s">
        <v>502</v>
      </c>
      <c r="FN36" s="46" t="s">
        <v>502</v>
      </c>
      <c r="FO36" s="46" t="s">
        <v>502</v>
      </c>
      <c r="FP36" s="49" t="s">
        <v>502</v>
      </c>
      <c r="FQ36" s="46" t="s">
        <v>502</v>
      </c>
      <c r="FR36" s="46" t="s">
        <v>502</v>
      </c>
      <c r="FS36" s="49" t="s">
        <v>502</v>
      </c>
      <c r="FT36" s="46" t="s">
        <v>502</v>
      </c>
      <c r="FU36" s="46" t="s">
        <v>502</v>
      </c>
      <c r="FV36" s="49" t="s">
        <v>502</v>
      </c>
      <c r="FW36" s="50">
        <f t="shared" si="7"/>
        <v>3</v>
      </c>
      <c r="FX36" s="51">
        <f t="shared" si="8"/>
        <v>70966.666666666672</v>
      </c>
      <c r="FY36" s="46">
        <f t="shared" si="6"/>
        <v>71000</v>
      </c>
      <c r="FZ36" s="52" t="s">
        <v>504</v>
      </c>
    </row>
    <row r="37" spans="1:182" ht="127.5" customHeight="1" x14ac:dyDescent="0.2">
      <c r="A37" s="39">
        <v>34</v>
      </c>
      <c r="B37" s="40" t="s">
        <v>12</v>
      </c>
      <c r="C37" s="41" t="s">
        <v>150</v>
      </c>
      <c r="D37" s="42">
        <v>30103605</v>
      </c>
      <c r="E37" s="43" t="s">
        <v>151</v>
      </c>
      <c r="F37" s="44" t="s">
        <v>86</v>
      </c>
      <c r="G37" s="66" t="s">
        <v>501</v>
      </c>
      <c r="H37" s="46" t="s">
        <v>502</v>
      </c>
      <c r="I37" s="46" t="s">
        <v>502</v>
      </c>
      <c r="J37" s="46" t="s">
        <v>502</v>
      </c>
      <c r="K37" s="46" t="s">
        <v>502</v>
      </c>
      <c r="L37" s="46" t="s">
        <v>502</v>
      </c>
      <c r="M37" s="46" t="s">
        <v>502</v>
      </c>
      <c r="N37" s="46" t="s">
        <v>502</v>
      </c>
      <c r="O37" s="46" t="s">
        <v>502</v>
      </c>
      <c r="P37" s="46" t="s">
        <v>502</v>
      </c>
      <c r="Q37" s="46" t="s">
        <v>502</v>
      </c>
      <c r="R37" s="46" t="s">
        <v>502</v>
      </c>
      <c r="S37" s="46" t="s">
        <v>502</v>
      </c>
      <c r="T37" s="46" t="s">
        <v>502</v>
      </c>
      <c r="U37" s="46" t="s">
        <v>502</v>
      </c>
      <c r="V37" s="46" t="s">
        <v>502</v>
      </c>
      <c r="W37" s="46" t="s">
        <v>502</v>
      </c>
      <c r="X37" s="46" t="s">
        <v>502</v>
      </c>
      <c r="Y37" s="46" t="s">
        <v>502</v>
      </c>
      <c r="Z37" s="46" t="s">
        <v>502</v>
      </c>
      <c r="AA37" s="46" t="s">
        <v>502</v>
      </c>
      <c r="AB37" s="46" t="s">
        <v>502</v>
      </c>
      <c r="AC37" s="46" t="s">
        <v>502</v>
      </c>
      <c r="AD37" s="46" t="s">
        <v>502</v>
      </c>
      <c r="AE37" s="46" t="s">
        <v>502</v>
      </c>
      <c r="AF37" s="46" t="s">
        <v>502</v>
      </c>
      <c r="AG37" s="46" t="s">
        <v>502</v>
      </c>
      <c r="AH37" s="46" t="s">
        <v>502</v>
      </c>
      <c r="AI37" s="46" t="s">
        <v>502</v>
      </c>
      <c r="AJ37" s="46" t="s">
        <v>502</v>
      </c>
      <c r="AK37" s="46" t="s">
        <v>502</v>
      </c>
      <c r="AL37" s="46" t="s">
        <v>502</v>
      </c>
      <c r="AM37" s="46" t="s">
        <v>502</v>
      </c>
      <c r="AN37" s="49" t="s">
        <v>502</v>
      </c>
      <c r="AO37" s="46" t="s">
        <v>502</v>
      </c>
      <c r="AP37" s="46" t="s">
        <v>502</v>
      </c>
      <c r="AQ37" s="49" t="s">
        <v>502</v>
      </c>
      <c r="AR37" s="46" t="s">
        <v>502</v>
      </c>
      <c r="AS37" s="46" t="s">
        <v>502</v>
      </c>
      <c r="AT37" s="49" t="s">
        <v>502</v>
      </c>
      <c r="AU37" s="46" t="s">
        <v>502</v>
      </c>
      <c r="AV37" s="46" t="s">
        <v>502</v>
      </c>
      <c r="AW37" s="49" t="s">
        <v>502</v>
      </c>
      <c r="AX37" s="46" t="s">
        <v>502</v>
      </c>
      <c r="AY37" s="46" t="s">
        <v>502</v>
      </c>
      <c r="AZ37" s="49" t="s">
        <v>502</v>
      </c>
      <c r="BA37" s="46" t="s">
        <v>502</v>
      </c>
      <c r="BB37" s="46" t="s">
        <v>502</v>
      </c>
      <c r="BC37" s="49" t="s">
        <v>502</v>
      </c>
      <c r="BD37" s="46" t="s">
        <v>502</v>
      </c>
      <c r="BE37" s="46" t="s">
        <v>502</v>
      </c>
      <c r="BF37" s="49" t="s">
        <v>502</v>
      </c>
      <c r="BG37" s="46" t="s">
        <v>502</v>
      </c>
      <c r="BH37" s="46" t="s">
        <v>502</v>
      </c>
      <c r="BI37" s="49" t="s">
        <v>502</v>
      </c>
      <c r="BJ37" s="71">
        <f>45500/1.19</f>
        <v>38235.294117647063</v>
      </c>
      <c r="BK37" s="71">
        <f>+BJ37*19%</f>
        <v>7264.7058823529424</v>
      </c>
      <c r="BL37" s="71">
        <f>+BK37+BJ37</f>
        <v>45500.000000000007</v>
      </c>
      <c r="BM37" s="46" t="s">
        <v>502</v>
      </c>
      <c r="BN37" s="46" t="s">
        <v>502</v>
      </c>
      <c r="BO37" s="49" t="s">
        <v>502</v>
      </c>
      <c r="BP37" s="46" t="s">
        <v>502</v>
      </c>
      <c r="BQ37" s="46" t="s">
        <v>502</v>
      </c>
      <c r="BR37" s="49" t="s">
        <v>502</v>
      </c>
      <c r="BS37" s="46" t="s">
        <v>502</v>
      </c>
      <c r="BT37" s="46" t="s">
        <v>502</v>
      </c>
      <c r="BU37" s="49" t="s">
        <v>502</v>
      </c>
      <c r="BV37" s="46" t="s">
        <v>502</v>
      </c>
      <c r="BW37" s="46" t="s">
        <v>502</v>
      </c>
      <c r="BX37" s="49" t="s">
        <v>502</v>
      </c>
      <c r="BY37" s="46" t="s">
        <v>502</v>
      </c>
      <c r="BZ37" s="46" t="s">
        <v>502</v>
      </c>
      <c r="CA37" s="49" t="s">
        <v>502</v>
      </c>
      <c r="CB37" s="46" t="s">
        <v>502</v>
      </c>
      <c r="CC37" s="46" t="s">
        <v>502</v>
      </c>
      <c r="CD37" s="49" t="s">
        <v>502</v>
      </c>
      <c r="CE37" s="46" t="s">
        <v>502</v>
      </c>
      <c r="CF37" s="46" t="s">
        <v>502</v>
      </c>
      <c r="CG37" s="49" t="s">
        <v>502</v>
      </c>
      <c r="CH37" s="46">
        <f>47900/1.19</f>
        <v>40252.100840336134</v>
      </c>
      <c r="CI37" s="46">
        <f>+CH37*19%</f>
        <v>7647.8991596638652</v>
      </c>
      <c r="CJ37" s="49">
        <f>+CH37+CI37</f>
        <v>47900</v>
      </c>
      <c r="CK37" s="46" t="s">
        <v>502</v>
      </c>
      <c r="CL37" s="46" t="s">
        <v>502</v>
      </c>
      <c r="CM37" s="49" t="s">
        <v>502</v>
      </c>
      <c r="CN37" s="46" t="s">
        <v>502</v>
      </c>
      <c r="CO37" s="46" t="s">
        <v>502</v>
      </c>
      <c r="CP37" s="49" t="s">
        <v>502</v>
      </c>
      <c r="CQ37" s="46" t="s">
        <v>502</v>
      </c>
      <c r="CR37" s="46" t="s">
        <v>502</v>
      </c>
      <c r="CS37" s="49" t="s">
        <v>502</v>
      </c>
      <c r="CT37" s="46" t="s">
        <v>502</v>
      </c>
      <c r="CU37" s="46" t="s">
        <v>502</v>
      </c>
      <c r="CV37" s="49" t="s">
        <v>502</v>
      </c>
      <c r="CW37" s="46" t="s">
        <v>502</v>
      </c>
      <c r="CX37" s="46" t="s">
        <v>502</v>
      </c>
      <c r="CY37" s="49" t="s">
        <v>502</v>
      </c>
      <c r="CZ37" s="46" t="s">
        <v>502</v>
      </c>
      <c r="DA37" s="46" t="s">
        <v>502</v>
      </c>
      <c r="DB37" s="49" t="s">
        <v>502</v>
      </c>
      <c r="DC37" s="46" t="s">
        <v>502</v>
      </c>
      <c r="DD37" s="46" t="s">
        <v>502</v>
      </c>
      <c r="DE37" s="49" t="s">
        <v>502</v>
      </c>
      <c r="DF37" s="46" t="s">
        <v>502</v>
      </c>
      <c r="DG37" s="46" t="s">
        <v>502</v>
      </c>
      <c r="DH37" s="49" t="s">
        <v>502</v>
      </c>
      <c r="DI37" s="46">
        <f>47900/1.19</f>
        <v>40252.100840336134</v>
      </c>
      <c r="DJ37" s="46">
        <f t="shared" si="42"/>
        <v>7647.8991596638652</v>
      </c>
      <c r="DK37" s="46">
        <f t="shared" si="43"/>
        <v>47900</v>
      </c>
      <c r="DL37" s="46" t="s">
        <v>502</v>
      </c>
      <c r="DM37" s="46" t="s">
        <v>502</v>
      </c>
      <c r="DN37" s="49" t="s">
        <v>502</v>
      </c>
      <c r="DO37" s="46" t="s">
        <v>502</v>
      </c>
      <c r="DP37" s="46" t="s">
        <v>502</v>
      </c>
      <c r="DQ37" s="49" t="s">
        <v>502</v>
      </c>
      <c r="DR37" s="46" t="s">
        <v>502</v>
      </c>
      <c r="DS37" s="46" t="s">
        <v>502</v>
      </c>
      <c r="DT37" s="49" t="s">
        <v>502</v>
      </c>
      <c r="DU37" s="46" t="s">
        <v>502</v>
      </c>
      <c r="DV37" s="46" t="s">
        <v>502</v>
      </c>
      <c r="DW37" s="49" t="s">
        <v>502</v>
      </c>
      <c r="DX37" s="46" t="s">
        <v>502</v>
      </c>
      <c r="DY37" s="46" t="s">
        <v>502</v>
      </c>
      <c r="DZ37" s="49" t="s">
        <v>502</v>
      </c>
      <c r="EA37" s="46" t="s">
        <v>502</v>
      </c>
      <c r="EB37" s="46" t="s">
        <v>502</v>
      </c>
      <c r="EC37" s="49" t="s">
        <v>502</v>
      </c>
      <c r="ED37" s="46" t="s">
        <v>502</v>
      </c>
      <c r="EE37" s="46" t="s">
        <v>502</v>
      </c>
      <c r="EF37" s="49" t="s">
        <v>502</v>
      </c>
      <c r="EG37" s="46" t="s">
        <v>502</v>
      </c>
      <c r="EH37" s="46" t="s">
        <v>502</v>
      </c>
      <c r="EI37" s="49" t="s">
        <v>502</v>
      </c>
      <c r="EJ37" s="46">
        <f>52000/1.19</f>
        <v>43697.478991596639</v>
      </c>
      <c r="EK37" s="46">
        <f t="shared" si="44"/>
        <v>8302.5210084033624</v>
      </c>
      <c r="EL37" s="46">
        <f t="shared" si="45"/>
        <v>52000</v>
      </c>
      <c r="EM37" s="46" t="s">
        <v>502</v>
      </c>
      <c r="EN37" s="46" t="s">
        <v>502</v>
      </c>
      <c r="EO37" s="49" t="s">
        <v>502</v>
      </c>
      <c r="EP37" s="46" t="s">
        <v>502</v>
      </c>
      <c r="EQ37" s="46" t="s">
        <v>502</v>
      </c>
      <c r="ER37" s="49" t="s">
        <v>502</v>
      </c>
      <c r="ES37" s="46" t="s">
        <v>502</v>
      </c>
      <c r="ET37" s="46" t="s">
        <v>502</v>
      </c>
      <c r="EU37" s="49" t="s">
        <v>502</v>
      </c>
      <c r="EV37" s="46" t="s">
        <v>502</v>
      </c>
      <c r="EW37" s="46" t="s">
        <v>502</v>
      </c>
      <c r="EX37" s="49" t="s">
        <v>502</v>
      </c>
      <c r="EY37" s="46" t="s">
        <v>502</v>
      </c>
      <c r="EZ37" s="46" t="s">
        <v>502</v>
      </c>
      <c r="FA37" s="49" t="s">
        <v>502</v>
      </c>
      <c r="FB37" s="46" t="s">
        <v>502</v>
      </c>
      <c r="FC37" s="46" t="s">
        <v>502</v>
      </c>
      <c r="FD37" s="49" t="s">
        <v>502</v>
      </c>
      <c r="FE37" s="46" t="s">
        <v>502</v>
      </c>
      <c r="FF37" s="46" t="s">
        <v>502</v>
      </c>
      <c r="FG37" s="49" t="s">
        <v>502</v>
      </c>
      <c r="FH37" s="46" t="s">
        <v>502</v>
      </c>
      <c r="FI37" s="46" t="s">
        <v>502</v>
      </c>
      <c r="FJ37" s="49" t="s">
        <v>502</v>
      </c>
      <c r="FK37" s="46" t="s">
        <v>502</v>
      </c>
      <c r="FL37" s="46" t="s">
        <v>502</v>
      </c>
      <c r="FM37" s="49" t="s">
        <v>502</v>
      </c>
      <c r="FN37" s="46" t="s">
        <v>502</v>
      </c>
      <c r="FO37" s="46" t="s">
        <v>502</v>
      </c>
      <c r="FP37" s="49" t="s">
        <v>502</v>
      </c>
      <c r="FQ37" s="46" t="s">
        <v>502</v>
      </c>
      <c r="FR37" s="46" t="s">
        <v>502</v>
      </c>
      <c r="FS37" s="49" t="s">
        <v>502</v>
      </c>
      <c r="FT37" s="46" t="s">
        <v>502</v>
      </c>
      <c r="FU37" s="46" t="s">
        <v>502</v>
      </c>
      <c r="FV37" s="49" t="s">
        <v>502</v>
      </c>
      <c r="FW37" s="50">
        <f t="shared" si="7"/>
        <v>4</v>
      </c>
      <c r="FX37" s="51">
        <f t="shared" si="8"/>
        <v>48325</v>
      </c>
      <c r="FY37" s="46">
        <f t="shared" si="6"/>
        <v>48350</v>
      </c>
      <c r="FZ37" s="52" t="s">
        <v>504</v>
      </c>
    </row>
    <row r="38" spans="1:182" ht="127.5" customHeight="1" x14ac:dyDescent="0.2">
      <c r="A38" s="39">
        <v>35</v>
      </c>
      <c r="B38" s="40" t="s">
        <v>12</v>
      </c>
      <c r="C38" s="41" t="s">
        <v>152</v>
      </c>
      <c r="D38" s="42">
        <v>30191617</v>
      </c>
      <c r="E38" s="43" t="s">
        <v>153</v>
      </c>
      <c r="F38" s="44" t="s">
        <v>118</v>
      </c>
      <c r="G38" s="66" t="s">
        <v>501</v>
      </c>
      <c r="H38" s="46" t="s">
        <v>502</v>
      </c>
      <c r="I38" s="46" t="s">
        <v>502</v>
      </c>
      <c r="J38" s="46" t="s">
        <v>502</v>
      </c>
      <c r="K38" s="46" t="s">
        <v>502</v>
      </c>
      <c r="L38" s="46" t="s">
        <v>502</v>
      </c>
      <c r="M38" s="46" t="s">
        <v>502</v>
      </c>
      <c r="N38" s="46" t="s">
        <v>502</v>
      </c>
      <c r="O38" s="46" t="s">
        <v>502</v>
      </c>
      <c r="P38" s="46" t="s">
        <v>502</v>
      </c>
      <c r="Q38" s="46" t="s">
        <v>502</v>
      </c>
      <c r="R38" s="46" t="s">
        <v>502</v>
      </c>
      <c r="S38" s="46" t="s">
        <v>502</v>
      </c>
      <c r="T38" s="46" t="s">
        <v>502</v>
      </c>
      <c r="U38" s="46" t="s">
        <v>502</v>
      </c>
      <c r="V38" s="46" t="s">
        <v>502</v>
      </c>
      <c r="W38" s="46" t="s">
        <v>502</v>
      </c>
      <c r="X38" s="46" t="s">
        <v>502</v>
      </c>
      <c r="Y38" s="46" t="s">
        <v>502</v>
      </c>
      <c r="Z38" s="46" t="s">
        <v>502</v>
      </c>
      <c r="AA38" s="46" t="s">
        <v>502</v>
      </c>
      <c r="AB38" s="46" t="s">
        <v>502</v>
      </c>
      <c r="AC38" s="46" t="s">
        <v>502</v>
      </c>
      <c r="AD38" s="46" t="s">
        <v>502</v>
      </c>
      <c r="AE38" s="46" t="s">
        <v>502</v>
      </c>
      <c r="AF38" s="46" t="s">
        <v>502</v>
      </c>
      <c r="AG38" s="46" t="s">
        <v>502</v>
      </c>
      <c r="AH38" s="46" t="s">
        <v>502</v>
      </c>
      <c r="AI38" s="46" t="s">
        <v>502</v>
      </c>
      <c r="AJ38" s="46" t="s">
        <v>502</v>
      </c>
      <c r="AK38" s="46" t="s">
        <v>502</v>
      </c>
      <c r="AL38" s="46" t="s">
        <v>502</v>
      </c>
      <c r="AM38" s="46" t="s">
        <v>502</v>
      </c>
      <c r="AN38" s="49" t="s">
        <v>502</v>
      </c>
      <c r="AO38" s="46" t="s">
        <v>502</v>
      </c>
      <c r="AP38" s="46" t="s">
        <v>502</v>
      </c>
      <c r="AQ38" s="49" t="s">
        <v>502</v>
      </c>
      <c r="AR38" s="46" t="s">
        <v>502</v>
      </c>
      <c r="AS38" s="46" t="s">
        <v>502</v>
      </c>
      <c r="AT38" s="49" t="s">
        <v>502</v>
      </c>
      <c r="AU38" s="46" t="s">
        <v>502</v>
      </c>
      <c r="AV38" s="46" t="s">
        <v>502</v>
      </c>
      <c r="AW38" s="49" t="s">
        <v>502</v>
      </c>
      <c r="AX38" s="46" t="s">
        <v>502</v>
      </c>
      <c r="AY38" s="46" t="s">
        <v>502</v>
      </c>
      <c r="AZ38" s="49" t="s">
        <v>502</v>
      </c>
      <c r="BA38" s="46" t="s">
        <v>502</v>
      </c>
      <c r="BB38" s="46" t="s">
        <v>502</v>
      </c>
      <c r="BC38" s="49" t="s">
        <v>502</v>
      </c>
      <c r="BD38" s="46" t="s">
        <v>502</v>
      </c>
      <c r="BE38" s="46" t="s">
        <v>502</v>
      </c>
      <c r="BF38" s="49" t="s">
        <v>502</v>
      </c>
      <c r="BG38" s="46" t="s">
        <v>502</v>
      </c>
      <c r="BH38" s="46" t="s">
        <v>502</v>
      </c>
      <c r="BI38" s="49" t="s">
        <v>502</v>
      </c>
      <c r="BJ38" s="71">
        <f>78500/1.19</f>
        <v>65966.386554621859</v>
      </c>
      <c r="BK38" s="71">
        <f>+BJ38*19%</f>
        <v>12533.613445378152</v>
      </c>
      <c r="BL38" s="71">
        <f>+BK38+BJ38</f>
        <v>78500.000000000015</v>
      </c>
      <c r="BM38" s="46" t="s">
        <v>502</v>
      </c>
      <c r="BN38" s="46" t="s">
        <v>502</v>
      </c>
      <c r="BO38" s="49" t="s">
        <v>502</v>
      </c>
      <c r="BP38" s="46" t="s">
        <v>502</v>
      </c>
      <c r="BQ38" s="46" t="s">
        <v>502</v>
      </c>
      <c r="BR38" s="49" t="s">
        <v>502</v>
      </c>
      <c r="BS38" s="46" t="s">
        <v>502</v>
      </c>
      <c r="BT38" s="46" t="s">
        <v>502</v>
      </c>
      <c r="BU38" s="49" t="s">
        <v>502</v>
      </c>
      <c r="BV38" s="46" t="s">
        <v>502</v>
      </c>
      <c r="BW38" s="46" t="s">
        <v>502</v>
      </c>
      <c r="BX38" s="49" t="s">
        <v>502</v>
      </c>
      <c r="BY38" s="46" t="s">
        <v>502</v>
      </c>
      <c r="BZ38" s="46" t="s">
        <v>502</v>
      </c>
      <c r="CA38" s="49" t="s">
        <v>502</v>
      </c>
      <c r="CB38" s="46" t="s">
        <v>502</v>
      </c>
      <c r="CC38" s="46" t="s">
        <v>502</v>
      </c>
      <c r="CD38" s="49" t="s">
        <v>502</v>
      </c>
      <c r="CE38" s="46" t="s">
        <v>502</v>
      </c>
      <c r="CF38" s="46" t="s">
        <v>502</v>
      </c>
      <c r="CG38" s="49" t="s">
        <v>502</v>
      </c>
      <c r="CH38" s="46" t="s">
        <v>502</v>
      </c>
      <c r="CI38" s="46" t="s">
        <v>502</v>
      </c>
      <c r="CJ38" s="49" t="s">
        <v>502</v>
      </c>
      <c r="CK38" s="46" t="s">
        <v>502</v>
      </c>
      <c r="CL38" s="46" t="s">
        <v>502</v>
      </c>
      <c r="CM38" s="49" t="s">
        <v>502</v>
      </c>
      <c r="CN38" s="46" t="s">
        <v>502</v>
      </c>
      <c r="CO38" s="46" t="s">
        <v>502</v>
      </c>
      <c r="CP38" s="49" t="s">
        <v>502</v>
      </c>
      <c r="CQ38" s="46" t="s">
        <v>502</v>
      </c>
      <c r="CR38" s="46" t="s">
        <v>502</v>
      </c>
      <c r="CS38" s="49" t="s">
        <v>502</v>
      </c>
      <c r="CT38" s="46" t="s">
        <v>502</v>
      </c>
      <c r="CU38" s="46" t="s">
        <v>502</v>
      </c>
      <c r="CV38" s="49" t="s">
        <v>502</v>
      </c>
      <c r="CW38" s="46" t="s">
        <v>502</v>
      </c>
      <c r="CX38" s="46" t="s">
        <v>502</v>
      </c>
      <c r="CY38" s="49" t="s">
        <v>502</v>
      </c>
      <c r="CZ38" s="46" t="s">
        <v>502</v>
      </c>
      <c r="DA38" s="46" t="s">
        <v>502</v>
      </c>
      <c r="DB38" s="49" t="s">
        <v>502</v>
      </c>
      <c r="DC38" s="46" t="s">
        <v>502</v>
      </c>
      <c r="DD38" s="46" t="s">
        <v>502</v>
      </c>
      <c r="DE38" s="49" t="s">
        <v>502</v>
      </c>
      <c r="DF38" s="46" t="s">
        <v>502</v>
      </c>
      <c r="DG38" s="46" t="s">
        <v>502</v>
      </c>
      <c r="DH38" s="49" t="s">
        <v>502</v>
      </c>
      <c r="DI38" s="46">
        <f>74000/1.19</f>
        <v>62184.873949579836</v>
      </c>
      <c r="DJ38" s="46">
        <f t="shared" si="42"/>
        <v>11815.126050420169</v>
      </c>
      <c r="DK38" s="46">
        <f t="shared" si="43"/>
        <v>74000</v>
      </c>
      <c r="DL38" s="46" t="s">
        <v>502</v>
      </c>
      <c r="DM38" s="46" t="s">
        <v>502</v>
      </c>
      <c r="DN38" s="49" t="s">
        <v>502</v>
      </c>
      <c r="DO38" s="46" t="s">
        <v>502</v>
      </c>
      <c r="DP38" s="46" t="s">
        <v>502</v>
      </c>
      <c r="DQ38" s="49" t="s">
        <v>502</v>
      </c>
      <c r="DR38" s="46" t="s">
        <v>502</v>
      </c>
      <c r="DS38" s="46" t="s">
        <v>502</v>
      </c>
      <c r="DT38" s="49" t="s">
        <v>502</v>
      </c>
      <c r="DU38" s="46" t="s">
        <v>502</v>
      </c>
      <c r="DV38" s="46" t="s">
        <v>502</v>
      </c>
      <c r="DW38" s="49" t="s">
        <v>502</v>
      </c>
      <c r="DX38" s="46" t="s">
        <v>502</v>
      </c>
      <c r="DY38" s="46" t="s">
        <v>502</v>
      </c>
      <c r="DZ38" s="49" t="s">
        <v>502</v>
      </c>
      <c r="EA38" s="46" t="s">
        <v>502</v>
      </c>
      <c r="EB38" s="46" t="s">
        <v>502</v>
      </c>
      <c r="EC38" s="49" t="s">
        <v>502</v>
      </c>
      <c r="ED38" s="46" t="s">
        <v>502</v>
      </c>
      <c r="EE38" s="46" t="s">
        <v>502</v>
      </c>
      <c r="EF38" s="49" t="s">
        <v>502</v>
      </c>
      <c r="EG38" s="46" t="s">
        <v>502</v>
      </c>
      <c r="EH38" s="46" t="s">
        <v>502</v>
      </c>
      <c r="EI38" s="49" t="s">
        <v>502</v>
      </c>
      <c r="EJ38" s="46">
        <f>69800/1.19</f>
        <v>58655.462184873955</v>
      </c>
      <c r="EK38" s="46">
        <f t="shared" si="44"/>
        <v>11144.537815126052</v>
      </c>
      <c r="EL38" s="46">
        <f t="shared" si="45"/>
        <v>69800</v>
      </c>
      <c r="EM38" s="46" t="s">
        <v>503</v>
      </c>
      <c r="EN38" s="46" t="s">
        <v>503</v>
      </c>
      <c r="EO38" s="46" t="s">
        <v>503</v>
      </c>
      <c r="EP38" s="46" t="s">
        <v>502</v>
      </c>
      <c r="EQ38" s="46" t="s">
        <v>502</v>
      </c>
      <c r="ER38" s="49" t="s">
        <v>502</v>
      </c>
      <c r="ES38" s="46" t="s">
        <v>502</v>
      </c>
      <c r="ET38" s="46" t="s">
        <v>502</v>
      </c>
      <c r="EU38" s="49" t="s">
        <v>502</v>
      </c>
      <c r="EV38" s="46" t="s">
        <v>502</v>
      </c>
      <c r="EW38" s="46" t="s">
        <v>502</v>
      </c>
      <c r="EX38" s="49" t="s">
        <v>502</v>
      </c>
      <c r="EY38" s="46" t="s">
        <v>502</v>
      </c>
      <c r="EZ38" s="46" t="s">
        <v>502</v>
      </c>
      <c r="FA38" s="49" t="s">
        <v>502</v>
      </c>
      <c r="FB38" s="46" t="s">
        <v>502</v>
      </c>
      <c r="FC38" s="46" t="s">
        <v>502</v>
      </c>
      <c r="FD38" s="49" t="s">
        <v>502</v>
      </c>
      <c r="FE38" s="46" t="s">
        <v>502</v>
      </c>
      <c r="FF38" s="46" t="s">
        <v>502</v>
      </c>
      <c r="FG38" s="49" t="s">
        <v>502</v>
      </c>
      <c r="FH38" s="46" t="s">
        <v>502</v>
      </c>
      <c r="FI38" s="46" t="s">
        <v>502</v>
      </c>
      <c r="FJ38" s="49" t="s">
        <v>502</v>
      </c>
      <c r="FK38" s="46" t="s">
        <v>502</v>
      </c>
      <c r="FL38" s="46" t="s">
        <v>502</v>
      </c>
      <c r="FM38" s="49" t="s">
        <v>502</v>
      </c>
      <c r="FN38" s="46" t="s">
        <v>502</v>
      </c>
      <c r="FO38" s="46" t="s">
        <v>502</v>
      </c>
      <c r="FP38" s="49" t="s">
        <v>502</v>
      </c>
      <c r="FQ38" s="46" t="s">
        <v>502</v>
      </c>
      <c r="FR38" s="46" t="s">
        <v>502</v>
      </c>
      <c r="FS38" s="49" t="s">
        <v>502</v>
      </c>
      <c r="FT38" s="46" t="s">
        <v>502</v>
      </c>
      <c r="FU38" s="46" t="s">
        <v>502</v>
      </c>
      <c r="FV38" s="49" t="s">
        <v>502</v>
      </c>
      <c r="FW38" s="50">
        <f t="shared" si="7"/>
        <v>3</v>
      </c>
      <c r="FX38" s="51">
        <f t="shared" si="8"/>
        <v>74100</v>
      </c>
      <c r="FY38" s="46">
        <f t="shared" si="6"/>
        <v>74100</v>
      </c>
      <c r="FZ38" s="52" t="s">
        <v>504</v>
      </c>
    </row>
    <row r="39" spans="1:182" ht="127.5" customHeight="1" x14ac:dyDescent="0.2">
      <c r="A39" s="53">
        <v>36</v>
      </c>
      <c r="B39" s="60" t="s">
        <v>12</v>
      </c>
      <c r="C39" s="41" t="s">
        <v>154</v>
      </c>
      <c r="D39" s="42">
        <v>47121610</v>
      </c>
      <c r="E39" s="75" t="s">
        <v>330</v>
      </c>
      <c r="F39" s="44" t="s">
        <v>138</v>
      </c>
      <c r="G39" s="66" t="s">
        <v>501</v>
      </c>
      <c r="H39" s="46" t="s">
        <v>502</v>
      </c>
      <c r="I39" s="46" t="s">
        <v>502</v>
      </c>
      <c r="J39" s="46" t="s">
        <v>502</v>
      </c>
      <c r="K39" s="46" t="s">
        <v>502</v>
      </c>
      <c r="L39" s="46" t="s">
        <v>502</v>
      </c>
      <c r="M39" s="46" t="s">
        <v>502</v>
      </c>
      <c r="N39" s="46" t="s">
        <v>502</v>
      </c>
      <c r="O39" s="46" t="s">
        <v>502</v>
      </c>
      <c r="P39" s="46" t="s">
        <v>502</v>
      </c>
      <c r="Q39" s="46" t="s">
        <v>502</v>
      </c>
      <c r="R39" s="46" t="s">
        <v>502</v>
      </c>
      <c r="S39" s="46" t="s">
        <v>502</v>
      </c>
      <c r="T39" s="46" t="s">
        <v>502</v>
      </c>
      <c r="U39" s="46" t="s">
        <v>502</v>
      </c>
      <c r="V39" s="46" t="s">
        <v>502</v>
      </c>
      <c r="W39" s="46" t="s">
        <v>502</v>
      </c>
      <c r="X39" s="46" t="s">
        <v>502</v>
      </c>
      <c r="Y39" s="46" t="s">
        <v>502</v>
      </c>
      <c r="Z39" s="46" t="s">
        <v>502</v>
      </c>
      <c r="AA39" s="46" t="s">
        <v>502</v>
      </c>
      <c r="AB39" s="46" t="s">
        <v>502</v>
      </c>
      <c r="AC39" s="46" t="s">
        <v>502</v>
      </c>
      <c r="AD39" s="46" t="s">
        <v>502</v>
      </c>
      <c r="AE39" s="46" t="s">
        <v>502</v>
      </c>
      <c r="AF39" s="46" t="s">
        <v>502</v>
      </c>
      <c r="AG39" s="46" t="s">
        <v>502</v>
      </c>
      <c r="AH39" s="46" t="s">
        <v>502</v>
      </c>
      <c r="AI39" s="76">
        <v>35000</v>
      </c>
      <c r="AJ39" s="47">
        <f t="shared" ref="AJ39" si="48">+AI39*19%</f>
        <v>6650</v>
      </c>
      <c r="AK39" s="48">
        <f t="shared" ref="AK39" si="49">+AI39+AJ39</f>
        <v>41650</v>
      </c>
      <c r="AL39" s="46" t="s">
        <v>502</v>
      </c>
      <c r="AM39" s="46" t="s">
        <v>502</v>
      </c>
      <c r="AN39" s="49" t="s">
        <v>502</v>
      </c>
      <c r="AO39" s="46" t="s">
        <v>502</v>
      </c>
      <c r="AP39" s="46" t="s">
        <v>502</v>
      </c>
      <c r="AQ39" s="49" t="s">
        <v>502</v>
      </c>
      <c r="AR39" s="46" t="s">
        <v>502</v>
      </c>
      <c r="AS39" s="46" t="s">
        <v>502</v>
      </c>
      <c r="AT39" s="49" t="s">
        <v>502</v>
      </c>
      <c r="AU39" s="46" t="s">
        <v>502</v>
      </c>
      <c r="AV39" s="46" t="s">
        <v>502</v>
      </c>
      <c r="AW39" s="49" t="s">
        <v>502</v>
      </c>
      <c r="AX39" s="46" t="s">
        <v>502</v>
      </c>
      <c r="AY39" s="46" t="s">
        <v>502</v>
      </c>
      <c r="AZ39" s="49" t="s">
        <v>502</v>
      </c>
      <c r="BA39" s="46" t="s">
        <v>502</v>
      </c>
      <c r="BB39" s="46" t="s">
        <v>502</v>
      </c>
      <c r="BC39" s="49" t="s">
        <v>502</v>
      </c>
      <c r="BD39" s="46" t="s">
        <v>502</v>
      </c>
      <c r="BE39" s="46" t="s">
        <v>502</v>
      </c>
      <c r="BF39" s="49" t="s">
        <v>502</v>
      </c>
      <c r="BG39" s="46" t="s">
        <v>502</v>
      </c>
      <c r="BH39" s="46" t="s">
        <v>502</v>
      </c>
      <c r="BI39" s="49" t="s">
        <v>502</v>
      </c>
      <c r="BJ39" s="46" t="s">
        <v>502</v>
      </c>
      <c r="BK39" s="46" t="s">
        <v>502</v>
      </c>
      <c r="BL39" s="49" t="s">
        <v>502</v>
      </c>
      <c r="BM39" s="46" t="s">
        <v>502</v>
      </c>
      <c r="BN39" s="46" t="s">
        <v>502</v>
      </c>
      <c r="BO39" s="49" t="s">
        <v>502</v>
      </c>
      <c r="BP39" s="46" t="s">
        <v>502</v>
      </c>
      <c r="BQ39" s="46" t="s">
        <v>502</v>
      </c>
      <c r="BR39" s="49" t="s">
        <v>502</v>
      </c>
      <c r="BS39" s="46" t="s">
        <v>502</v>
      </c>
      <c r="BT39" s="46" t="s">
        <v>502</v>
      </c>
      <c r="BU39" s="49" t="s">
        <v>502</v>
      </c>
      <c r="BV39" s="46" t="s">
        <v>502</v>
      </c>
      <c r="BW39" s="46" t="s">
        <v>502</v>
      </c>
      <c r="BX39" s="49" t="s">
        <v>502</v>
      </c>
      <c r="BY39" s="46" t="s">
        <v>502</v>
      </c>
      <c r="BZ39" s="46" t="s">
        <v>502</v>
      </c>
      <c r="CA39" s="49" t="s">
        <v>502</v>
      </c>
      <c r="CB39" s="46" t="s">
        <v>502</v>
      </c>
      <c r="CC39" s="46" t="s">
        <v>502</v>
      </c>
      <c r="CD39" s="49" t="s">
        <v>502</v>
      </c>
      <c r="CE39" s="46" t="s">
        <v>502</v>
      </c>
      <c r="CF39" s="46" t="s">
        <v>502</v>
      </c>
      <c r="CG39" s="49" t="s">
        <v>502</v>
      </c>
      <c r="CH39" s="46" t="s">
        <v>502</v>
      </c>
      <c r="CI39" s="46" t="s">
        <v>502</v>
      </c>
      <c r="CJ39" s="49" t="s">
        <v>502</v>
      </c>
      <c r="CK39" s="46" t="s">
        <v>502</v>
      </c>
      <c r="CL39" s="46" t="s">
        <v>502</v>
      </c>
      <c r="CM39" s="49" t="s">
        <v>502</v>
      </c>
      <c r="CN39" s="46" t="s">
        <v>502</v>
      </c>
      <c r="CO39" s="46" t="s">
        <v>502</v>
      </c>
      <c r="CP39" s="49" t="s">
        <v>502</v>
      </c>
      <c r="CQ39" s="62">
        <f>SUM(75000+15000+15000)/1.19</f>
        <v>88235.294117647063</v>
      </c>
      <c r="CR39" s="62">
        <f t="shared" ref="CR39" si="50">+CQ39*19%</f>
        <v>16764.705882352941</v>
      </c>
      <c r="CS39" s="62">
        <f t="shared" ref="CS39" si="51">+CQ39+CR39</f>
        <v>105000</v>
      </c>
      <c r="CT39" s="46" t="s">
        <v>502</v>
      </c>
      <c r="CU39" s="46" t="s">
        <v>502</v>
      </c>
      <c r="CV39" s="49" t="s">
        <v>502</v>
      </c>
      <c r="CW39" s="46" t="s">
        <v>502</v>
      </c>
      <c r="CX39" s="46" t="s">
        <v>502</v>
      </c>
      <c r="CY39" s="49" t="s">
        <v>502</v>
      </c>
      <c r="CZ39" s="46" t="s">
        <v>502</v>
      </c>
      <c r="DA39" s="46" t="s">
        <v>502</v>
      </c>
      <c r="DB39" s="49" t="s">
        <v>502</v>
      </c>
      <c r="DC39" s="46" t="s">
        <v>502</v>
      </c>
      <c r="DD39" s="46" t="s">
        <v>502</v>
      </c>
      <c r="DE39" s="49" t="s">
        <v>502</v>
      </c>
      <c r="DF39" s="46" t="s">
        <v>502</v>
      </c>
      <c r="DG39" s="46" t="s">
        <v>502</v>
      </c>
      <c r="DH39" s="49" t="s">
        <v>502</v>
      </c>
      <c r="DI39" s="46" t="s">
        <v>502</v>
      </c>
      <c r="DJ39" s="46" t="s">
        <v>502</v>
      </c>
      <c r="DK39" s="49" t="s">
        <v>502</v>
      </c>
      <c r="DL39" s="46" t="s">
        <v>502</v>
      </c>
      <c r="DM39" s="46" t="s">
        <v>502</v>
      </c>
      <c r="DN39" s="49" t="s">
        <v>502</v>
      </c>
      <c r="DO39" s="46" t="s">
        <v>502</v>
      </c>
      <c r="DP39" s="46" t="s">
        <v>502</v>
      </c>
      <c r="DQ39" s="49" t="s">
        <v>502</v>
      </c>
      <c r="DR39" s="46" t="s">
        <v>502</v>
      </c>
      <c r="DS39" s="46" t="s">
        <v>502</v>
      </c>
      <c r="DT39" s="49" t="s">
        <v>502</v>
      </c>
      <c r="DU39" s="46" t="s">
        <v>502</v>
      </c>
      <c r="DV39" s="46" t="s">
        <v>502</v>
      </c>
      <c r="DW39" s="49" t="s">
        <v>502</v>
      </c>
      <c r="DX39" s="49">
        <f>71400/1.19</f>
        <v>60000</v>
      </c>
      <c r="DY39" s="49">
        <f>+DX39*19%</f>
        <v>11400</v>
      </c>
      <c r="DZ39" s="49">
        <f>+DX39+DY39</f>
        <v>71400</v>
      </c>
      <c r="EA39" s="46" t="s">
        <v>502</v>
      </c>
      <c r="EB39" s="46" t="s">
        <v>502</v>
      </c>
      <c r="EC39" s="49" t="s">
        <v>502</v>
      </c>
      <c r="ED39" s="46" t="s">
        <v>502</v>
      </c>
      <c r="EE39" s="46" t="s">
        <v>502</v>
      </c>
      <c r="EF39" s="49" t="s">
        <v>502</v>
      </c>
      <c r="EG39" s="46" t="s">
        <v>502</v>
      </c>
      <c r="EH39" s="46" t="s">
        <v>502</v>
      </c>
      <c r="EI39" s="49" t="s">
        <v>502</v>
      </c>
      <c r="EJ39" s="46" t="s">
        <v>502</v>
      </c>
      <c r="EK39" s="46" t="s">
        <v>502</v>
      </c>
      <c r="EL39" s="49" t="s">
        <v>502</v>
      </c>
      <c r="EM39" s="46" t="s">
        <v>502</v>
      </c>
      <c r="EN39" s="46" t="s">
        <v>502</v>
      </c>
      <c r="EO39" s="49" t="s">
        <v>502</v>
      </c>
      <c r="EP39" s="46" t="s">
        <v>502</v>
      </c>
      <c r="EQ39" s="46" t="s">
        <v>502</v>
      </c>
      <c r="ER39" s="49" t="s">
        <v>502</v>
      </c>
      <c r="ES39" s="46" t="s">
        <v>502</v>
      </c>
      <c r="ET39" s="46" t="s">
        <v>502</v>
      </c>
      <c r="EU39" s="49" t="s">
        <v>502</v>
      </c>
      <c r="EV39" s="46" t="s">
        <v>502</v>
      </c>
      <c r="EW39" s="46" t="s">
        <v>502</v>
      </c>
      <c r="EX39" s="49" t="s">
        <v>502</v>
      </c>
      <c r="EY39" s="46" t="s">
        <v>502</v>
      </c>
      <c r="EZ39" s="46" t="s">
        <v>502</v>
      </c>
      <c r="FA39" s="49" t="s">
        <v>502</v>
      </c>
      <c r="FB39" s="46" t="s">
        <v>502</v>
      </c>
      <c r="FC39" s="46" t="s">
        <v>502</v>
      </c>
      <c r="FD39" s="49" t="s">
        <v>502</v>
      </c>
      <c r="FE39" s="46" t="s">
        <v>502</v>
      </c>
      <c r="FF39" s="46" t="s">
        <v>502</v>
      </c>
      <c r="FG39" s="49" t="s">
        <v>502</v>
      </c>
      <c r="FH39" s="46" t="s">
        <v>502</v>
      </c>
      <c r="FI39" s="46" t="s">
        <v>502</v>
      </c>
      <c r="FJ39" s="49" t="s">
        <v>502</v>
      </c>
      <c r="FK39" s="46" t="s">
        <v>502</v>
      </c>
      <c r="FL39" s="46" t="s">
        <v>502</v>
      </c>
      <c r="FM39" s="49" t="s">
        <v>502</v>
      </c>
      <c r="FN39" s="46" t="s">
        <v>502</v>
      </c>
      <c r="FO39" s="46" t="s">
        <v>502</v>
      </c>
      <c r="FP39" s="49" t="s">
        <v>502</v>
      </c>
      <c r="FQ39" s="46" t="s">
        <v>502</v>
      </c>
      <c r="FR39" s="46" t="s">
        <v>502</v>
      </c>
      <c r="FS39" s="49" t="s">
        <v>502</v>
      </c>
      <c r="FT39" s="46" t="s">
        <v>502</v>
      </c>
      <c r="FU39" s="46" t="s">
        <v>502</v>
      </c>
      <c r="FV39" s="49" t="s">
        <v>502</v>
      </c>
      <c r="FW39" s="50">
        <f t="shared" si="7"/>
        <v>3</v>
      </c>
      <c r="FX39" s="51">
        <f t="shared" si="8"/>
        <v>72683.333333333328</v>
      </c>
      <c r="FY39" s="46">
        <f t="shared" si="6"/>
        <v>72700</v>
      </c>
      <c r="FZ39" s="52" t="s">
        <v>504</v>
      </c>
    </row>
    <row r="40" spans="1:182" ht="127.5" customHeight="1" x14ac:dyDescent="0.2">
      <c r="A40" s="39">
        <v>37</v>
      </c>
      <c r="B40" s="40" t="s">
        <v>12</v>
      </c>
      <c r="C40" s="41" t="s">
        <v>155</v>
      </c>
      <c r="D40" s="42">
        <v>47131604</v>
      </c>
      <c r="E40" s="43" t="s">
        <v>346</v>
      </c>
      <c r="F40" s="44" t="s">
        <v>86</v>
      </c>
      <c r="G40" s="66" t="s">
        <v>501</v>
      </c>
      <c r="H40" s="46" t="s">
        <v>502</v>
      </c>
      <c r="I40" s="46" t="s">
        <v>502</v>
      </c>
      <c r="J40" s="46" t="s">
        <v>502</v>
      </c>
      <c r="K40" s="46" t="s">
        <v>502</v>
      </c>
      <c r="L40" s="46" t="s">
        <v>502</v>
      </c>
      <c r="M40" s="46" t="s">
        <v>502</v>
      </c>
      <c r="N40" s="46" t="s">
        <v>502</v>
      </c>
      <c r="O40" s="46" t="s">
        <v>502</v>
      </c>
      <c r="P40" s="46" t="s">
        <v>502</v>
      </c>
      <c r="Q40" s="46" t="s">
        <v>502</v>
      </c>
      <c r="R40" s="46" t="s">
        <v>502</v>
      </c>
      <c r="S40" s="46" t="s">
        <v>502</v>
      </c>
      <c r="T40" s="46" t="s">
        <v>502</v>
      </c>
      <c r="U40" s="46" t="s">
        <v>502</v>
      </c>
      <c r="V40" s="46" t="s">
        <v>502</v>
      </c>
      <c r="W40" s="46" t="s">
        <v>502</v>
      </c>
      <c r="X40" s="46" t="s">
        <v>502</v>
      </c>
      <c r="Y40" s="46" t="s">
        <v>502</v>
      </c>
      <c r="Z40" s="46" t="s">
        <v>502</v>
      </c>
      <c r="AA40" s="46" t="s">
        <v>502</v>
      </c>
      <c r="AB40" s="46" t="s">
        <v>502</v>
      </c>
      <c r="AC40" s="46" t="s">
        <v>502</v>
      </c>
      <c r="AD40" s="46" t="s">
        <v>502</v>
      </c>
      <c r="AE40" s="46" t="s">
        <v>502</v>
      </c>
      <c r="AF40" s="46" t="s">
        <v>502</v>
      </c>
      <c r="AG40" s="46" t="s">
        <v>502</v>
      </c>
      <c r="AH40" s="46" t="s">
        <v>502</v>
      </c>
      <c r="AI40" s="46" t="s">
        <v>502</v>
      </c>
      <c r="AJ40" s="46" t="s">
        <v>502</v>
      </c>
      <c r="AK40" s="46" t="s">
        <v>502</v>
      </c>
      <c r="AL40" s="46" t="s">
        <v>502</v>
      </c>
      <c r="AM40" s="46" t="s">
        <v>502</v>
      </c>
      <c r="AN40" s="49" t="s">
        <v>502</v>
      </c>
      <c r="AO40" s="46">
        <v>11880</v>
      </c>
      <c r="AP40" s="47">
        <f t="shared" ref="AP40:AP42" si="52">+AO40*19%</f>
        <v>2257.1999999999998</v>
      </c>
      <c r="AQ40" s="54">
        <f t="shared" ref="AQ40:AQ42" si="53">+AO40+AP40</f>
        <v>14137.2</v>
      </c>
      <c r="AR40" s="46" t="s">
        <v>502</v>
      </c>
      <c r="AS40" s="46" t="s">
        <v>502</v>
      </c>
      <c r="AT40" s="49" t="s">
        <v>502</v>
      </c>
      <c r="AU40" s="46" t="s">
        <v>502</v>
      </c>
      <c r="AV40" s="46" t="s">
        <v>502</v>
      </c>
      <c r="AW40" s="49" t="s">
        <v>502</v>
      </c>
      <c r="AX40" s="46" t="s">
        <v>502</v>
      </c>
      <c r="AY40" s="46" t="s">
        <v>502</v>
      </c>
      <c r="AZ40" s="49" t="s">
        <v>502</v>
      </c>
      <c r="BA40" s="46" t="s">
        <v>502</v>
      </c>
      <c r="BB40" s="46" t="s">
        <v>502</v>
      </c>
      <c r="BC40" s="49" t="s">
        <v>502</v>
      </c>
      <c r="BD40" s="46" t="s">
        <v>502</v>
      </c>
      <c r="BE40" s="46" t="s">
        <v>502</v>
      </c>
      <c r="BF40" s="49" t="s">
        <v>502</v>
      </c>
      <c r="BG40" s="46" t="s">
        <v>502</v>
      </c>
      <c r="BH40" s="46" t="s">
        <v>502</v>
      </c>
      <c r="BI40" s="49" t="s">
        <v>502</v>
      </c>
      <c r="BJ40" s="46" t="s">
        <v>502</v>
      </c>
      <c r="BK40" s="46" t="s">
        <v>502</v>
      </c>
      <c r="BL40" s="49" t="s">
        <v>502</v>
      </c>
      <c r="BM40" s="46" t="s">
        <v>502</v>
      </c>
      <c r="BN40" s="46" t="s">
        <v>502</v>
      </c>
      <c r="BO40" s="49" t="s">
        <v>502</v>
      </c>
      <c r="BP40" s="46" t="s">
        <v>502</v>
      </c>
      <c r="BQ40" s="46" t="s">
        <v>502</v>
      </c>
      <c r="BR40" s="49" t="s">
        <v>502</v>
      </c>
      <c r="BS40" s="46" t="s">
        <v>502</v>
      </c>
      <c r="BT40" s="46" t="s">
        <v>502</v>
      </c>
      <c r="BU40" s="49" t="s">
        <v>502</v>
      </c>
      <c r="BV40" s="46" t="s">
        <v>502</v>
      </c>
      <c r="BW40" s="46" t="s">
        <v>502</v>
      </c>
      <c r="BX40" s="49" t="s">
        <v>502</v>
      </c>
      <c r="BY40" s="46" t="s">
        <v>502</v>
      </c>
      <c r="BZ40" s="46" t="s">
        <v>502</v>
      </c>
      <c r="CA40" s="49" t="s">
        <v>502</v>
      </c>
      <c r="CB40" s="46" t="s">
        <v>502</v>
      </c>
      <c r="CC40" s="46" t="s">
        <v>502</v>
      </c>
      <c r="CD40" s="49" t="s">
        <v>502</v>
      </c>
      <c r="CE40" s="46" t="s">
        <v>502</v>
      </c>
      <c r="CF40" s="46" t="s">
        <v>502</v>
      </c>
      <c r="CG40" s="49" t="s">
        <v>502</v>
      </c>
      <c r="CH40" s="46">
        <f>13900/1.19</f>
        <v>11680.672268907563</v>
      </c>
      <c r="CI40" s="47">
        <f t="shared" ref="CI40" si="54">+CH40*19%</f>
        <v>2219.3277310924368</v>
      </c>
      <c r="CJ40" s="55">
        <f t="shared" ref="CJ40" si="55">+CH40+CI40</f>
        <v>13900</v>
      </c>
      <c r="CK40" s="46" t="s">
        <v>502</v>
      </c>
      <c r="CL40" s="46" t="s">
        <v>502</v>
      </c>
      <c r="CM40" s="49" t="s">
        <v>502</v>
      </c>
      <c r="CN40" s="46" t="s">
        <v>502</v>
      </c>
      <c r="CO40" s="46" t="s">
        <v>502</v>
      </c>
      <c r="CP40" s="49" t="s">
        <v>502</v>
      </c>
      <c r="CQ40" s="46" t="s">
        <v>502</v>
      </c>
      <c r="CR40" s="46" t="s">
        <v>502</v>
      </c>
      <c r="CS40" s="49" t="s">
        <v>502</v>
      </c>
      <c r="CT40" s="46" t="s">
        <v>502</v>
      </c>
      <c r="CU40" s="46" t="s">
        <v>502</v>
      </c>
      <c r="CV40" s="49" t="s">
        <v>502</v>
      </c>
      <c r="CW40" s="46" t="s">
        <v>502</v>
      </c>
      <c r="CX40" s="46" t="s">
        <v>502</v>
      </c>
      <c r="CY40" s="49" t="s">
        <v>502</v>
      </c>
      <c r="CZ40" s="46" t="s">
        <v>502</v>
      </c>
      <c r="DA40" s="46" t="s">
        <v>502</v>
      </c>
      <c r="DB40" s="49" t="s">
        <v>502</v>
      </c>
      <c r="DC40" s="46" t="s">
        <v>502</v>
      </c>
      <c r="DD40" s="46" t="s">
        <v>502</v>
      </c>
      <c r="DE40" s="49" t="s">
        <v>502</v>
      </c>
      <c r="DF40" s="46" t="s">
        <v>502</v>
      </c>
      <c r="DG40" s="46" t="s">
        <v>502</v>
      </c>
      <c r="DH40" s="49" t="s">
        <v>502</v>
      </c>
      <c r="DI40" s="46" t="s">
        <v>502</v>
      </c>
      <c r="DJ40" s="46" t="s">
        <v>502</v>
      </c>
      <c r="DK40" s="49" t="s">
        <v>502</v>
      </c>
      <c r="DL40" s="46" t="s">
        <v>502</v>
      </c>
      <c r="DM40" s="46" t="s">
        <v>502</v>
      </c>
      <c r="DN40" s="49" t="s">
        <v>502</v>
      </c>
      <c r="DO40" s="46" t="s">
        <v>502</v>
      </c>
      <c r="DP40" s="46" t="s">
        <v>502</v>
      </c>
      <c r="DQ40" s="49" t="s">
        <v>502</v>
      </c>
      <c r="DR40" s="46" t="s">
        <v>502</v>
      </c>
      <c r="DS40" s="46" t="s">
        <v>502</v>
      </c>
      <c r="DT40" s="49" t="s">
        <v>502</v>
      </c>
      <c r="DU40" s="46" t="s">
        <v>502</v>
      </c>
      <c r="DV40" s="46" t="s">
        <v>502</v>
      </c>
      <c r="DW40" s="49" t="s">
        <v>502</v>
      </c>
      <c r="DX40" s="46" t="s">
        <v>502</v>
      </c>
      <c r="DY40" s="46" t="s">
        <v>502</v>
      </c>
      <c r="DZ40" s="49" t="s">
        <v>502</v>
      </c>
      <c r="EA40" s="46" t="s">
        <v>502</v>
      </c>
      <c r="EB40" s="46" t="s">
        <v>502</v>
      </c>
      <c r="EC40" s="49" t="s">
        <v>502</v>
      </c>
      <c r="ED40" s="46" t="s">
        <v>502</v>
      </c>
      <c r="EE40" s="46" t="s">
        <v>502</v>
      </c>
      <c r="EF40" s="49" t="s">
        <v>502</v>
      </c>
      <c r="EG40" s="46" t="s">
        <v>502</v>
      </c>
      <c r="EH40" s="46" t="s">
        <v>502</v>
      </c>
      <c r="EI40" s="49" t="s">
        <v>502</v>
      </c>
      <c r="EJ40" s="46" t="s">
        <v>502</v>
      </c>
      <c r="EK40" s="46" t="s">
        <v>502</v>
      </c>
      <c r="EL40" s="49" t="s">
        <v>502</v>
      </c>
      <c r="EM40" s="46" t="s">
        <v>502</v>
      </c>
      <c r="EN40" s="46" t="s">
        <v>502</v>
      </c>
      <c r="EO40" s="49" t="s">
        <v>502</v>
      </c>
      <c r="EP40" s="46" t="s">
        <v>502</v>
      </c>
      <c r="EQ40" s="46" t="s">
        <v>502</v>
      </c>
      <c r="ER40" s="49" t="s">
        <v>502</v>
      </c>
      <c r="ES40" s="46" t="s">
        <v>502</v>
      </c>
      <c r="ET40" s="46" t="s">
        <v>502</v>
      </c>
      <c r="EU40" s="49" t="s">
        <v>502</v>
      </c>
      <c r="EV40" s="46" t="s">
        <v>503</v>
      </c>
      <c r="EW40" s="46" t="s">
        <v>503</v>
      </c>
      <c r="EX40" s="46" t="s">
        <v>503</v>
      </c>
      <c r="EY40" s="46" t="s">
        <v>502</v>
      </c>
      <c r="EZ40" s="46" t="s">
        <v>502</v>
      </c>
      <c r="FA40" s="49" t="s">
        <v>502</v>
      </c>
      <c r="FB40" s="46" t="s">
        <v>502</v>
      </c>
      <c r="FC40" s="46" t="s">
        <v>502</v>
      </c>
      <c r="FD40" s="49" t="s">
        <v>502</v>
      </c>
      <c r="FE40" s="46" t="s">
        <v>502</v>
      </c>
      <c r="FF40" s="46" t="s">
        <v>502</v>
      </c>
      <c r="FG40" s="49" t="s">
        <v>502</v>
      </c>
      <c r="FH40" s="46" t="s">
        <v>502</v>
      </c>
      <c r="FI40" s="46" t="s">
        <v>502</v>
      </c>
      <c r="FJ40" s="49" t="s">
        <v>502</v>
      </c>
      <c r="FK40" s="46" t="s">
        <v>502</v>
      </c>
      <c r="FL40" s="46" t="s">
        <v>502</v>
      </c>
      <c r="FM40" s="49" t="s">
        <v>502</v>
      </c>
      <c r="FN40" s="46" t="s">
        <v>502</v>
      </c>
      <c r="FO40" s="46" t="s">
        <v>502</v>
      </c>
      <c r="FP40" s="49" t="s">
        <v>502</v>
      </c>
      <c r="FQ40" s="46" t="s">
        <v>502</v>
      </c>
      <c r="FR40" s="46" t="s">
        <v>502</v>
      </c>
      <c r="FS40" s="49" t="s">
        <v>502</v>
      </c>
      <c r="FT40" s="46" t="s">
        <v>502</v>
      </c>
      <c r="FU40" s="46" t="s">
        <v>502</v>
      </c>
      <c r="FV40" s="49" t="s">
        <v>502</v>
      </c>
      <c r="FW40" s="50">
        <f t="shared" si="7"/>
        <v>2</v>
      </c>
      <c r="FX40" s="51">
        <f t="shared" si="8"/>
        <v>14018.6</v>
      </c>
      <c r="FY40" s="46">
        <f t="shared" si="6"/>
        <v>14050</v>
      </c>
      <c r="FZ40" s="52" t="s">
        <v>504</v>
      </c>
    </row>
    <row r="41" spans="1:182" ht="127.5" customHeight="1" x14ac:dyDescent="0.2">
      <c r="A41" s="39">
        <v>38</v>
      </c>
      <c r="B41" s="40" t="s">
        <v>12</v>
      </c>
      <c r="C41" s="41" t="s">
        <v>156</v>
      </c>
      <c r="D41" s="42">
        <v>47131604</v>
      </c>
      <c r="E41" s="43" t="s">
        <v>157</v>
      </c>
      <c r="F41" s="44" t="s">
        <v>86</v>
      </c>
      <c r="G41" s="66" t="s">
        <v>501</v>
      </c>
      <c r="H41" s="46" t="s">
        <v>502</v>
      </c>
      <c r="I41" s="46" t="s">
        <v>502</v>
      </c>
      <c r="J41" s="46" t="s">
        <v>502</v>
      </c>
      <c r="K41" s="46" t="s">
        <v>502</v>
      </c>
      <c r="L41" s="46" t="s">
        <v>502</v>
      </c>
      <c r="M41" s="46" t="s">
        <v>502</v>
      </c>
      <c r="N41" s="46" t="s">
        <v>502</v>
      </c>
      <c r="O41" s="46" t="s">
        <v>502</v>
      </c>
      <c r="P41" s="46" t="s">
        <v>502</v>
      </c>
      <c r="Q41" s="46" t="s">
        <v>502</v>
      </c>
      <c r="R41" s="46" t="s">
        <v>502</v>
      </c>
      <c r="S41" s="46" t="s">
        <v>502</v>
      </c>
      <c r="T41" s="46" t="s">
        <v>502</v>
      </c>
      <c r="U41" s="46" t="s">
        <v>502</v>
      </c>
      <c r="V41" s="46" t="s">
        <v>502</v>
      </c>
      <c r="W41" s="46" t="s">
        <v>502</v>
      </c>
      <c r="X41" s="46" t="s">
        <v>502</v>
      </c>
      <c r="Y41" s="46" t="s">
        <v>502</v>
      </c>
      <c r="Z41" s="46" t="s">
        <v>502</v>
      </c>
      <c r="AA41" s="46" t="s">
        <v>502</v>
      </c>
      <c r="AB41" s="46" t="s">
        <v>502</v>
      </c>
      <c r="AC41" s="46" t="s">
        <v>502</v>
      </c>
      <c r="AD41" s="46" t="s">
        <v>502</v>
      </c>
      <c r="AE41" s="46" t="s">
        <v>502</v>
      </c>
      <c r="AF41" s="46" t="s">
        <v>502</v>
      </c>
      <c r="AG41" s="46" t="s">
        <v>502</v>
      </c>
      <c r="AH41" s="46" t="s">
        <v>502</v>
      </c>
      <c r="AI41" s="46" t="s">
        <v>502</v>
      </c>
      <c r="AJ41" s="46" t="s">
        <v>502</v>
      </c>
      <c r="AK41" s="46" t="s">
        <v>502</v>
      </c>
      <c r="AL41" s="46" t="s">
        <v>502</v>
      </c>
      <c r="AM41" s="46" t="s">
        <v>502</v>
      </c>
      <c r="AN41" s="49" t="s">
        <v>502</v>
      </c>
      <c r="AO41" s="46">
        <v>5829</v>
      </c>
      <c r="AP41" s="47">
        <f t="shared" si="52"/>
        <v>1107.51</v>
      </c>
      <c r="AQ41" s="54">
        <f t="shared" si="53"/>
        <v>6936.51</v>
      </c>
      <c r="AR41" s="46" t="s">
        <v>502</v>
      </c>
      <c r="AS41" s="46" t="s">
        <v>502</v>
      </c>
      <c r="AT41" s="49" t="s">
        <v>502</v>
      </c>
      <c r="AU41" s="46" t="s">
        <v>502</v>
      </c>
      <c r="AV41" s="46" t="s">
        <v>502</v>
      </c>
      <c r="AW41" s="49" t="s">
        <v>502</v>
      </c>
      <c r="AX41" s="46" t="s">
        <v>502</v>
      </c>
      <c r="AY41" s="46" t="s">
        <v>502</v>
      </c>
      <c r="AZ41" s="49" t="s">
        <v>502</v>
      </c>
      <c r="BA41" s="46" t="s">
        <v>502</v>
      </c>
      <c r="BB41" s="46" t="s">
        <v>502</v>
      </c>
      <c r="BC41" s="49" t="s">
        <v>502</v>
      </c>
      <c r="BD41" s="46" t="s">
        <v>502</v>
      </c>
      <c r="BE41" s="46" t="s">
        <v>502</v>
      </c>
      <c r="BF41" s="49" t="s">
        <v>502</v>
      </c>
      <c r="BG41" s="46" t="s">
        <v>502</v>
      </c>
      <c r="BH41" s="46" t="s">
        <v>502</v>
      </c>
      <c r="BI41" s="49" t="s">
        <v>502</v>
      </c>
      <c r="BJ41" s="46" t="s">
        <v>502</v>
      </c>
      <c r="BK41" s="46" t="s">
        <v>502</v>
      </c>
      <c r="BL41" s="49" t="s">
        <v>502</v>
      </c>
      <c r="BM41" s="46" t="s">
        <v>502</v>
      </c>
      <c r="BN41" s="46" t="s">
        <v>502</v>
      </c>
      <c r="BO41" s="49" t="s">
        <v>502</v>
      </c>
      <c r="BP41" s="46" t="s">
        <v>502</v>
      </c>
      <c r="BQ41" s="46" t="s">
        <v>502</v>
      </c>
      <c r="BR41" s="49" t="s">
        <v>502</v>
      </c>
      <c r="BS41" s="46" t="s">
        <v>502</v>
      </c>
      <c r="BT41" s="46" t="s">
        <v>502</v>
      </c>
      <c r="BU41" s="49" t="s">
        <v>502</v>
      </c>
      <c r="BV41" s="46" t="s">
        <v>502</v>
      </c>
      <c r="BW41" s="46" t="s">
        <v>502</v>
      </c>
      <c r="BX41" s="49" t="s">
        <v>502</v>
      </c>
      <c r="BY41" s="46" t="s">
        <v>502</v>
      </c>
      <c r="BZ41" s="46" t="s">
        <v>502</v>
      </c>
      <c r="CA41" s="49" t="s">
        <v>502</v>
      </c>
      <c r="CB41" s="46" t="s">
        <v>502</v>
      </c>
      <c r="CC41" s="46" t="s">
        <v>502</v>
      </c>
      <c r="CD41" s="49" t="s">
        <v>502</v>
      </c>
      <c r="CE41" s="46" t="s">
        <v>502</v>
      </c>
      <c r="CF41" s="46" t="s">
        <v>502</v>
      </c>
      <c r="CG41" s="49" t="s">
        <v>502</v>
      </c>
      <c r="CH41" s="46" t="s">
        <v>502</v>
      </c>
      <c r="CI41" s="46" t="s">
        <v>502</v>
      </c>
      <c r="CJ41" s="49" t="s">
        <v>502</v>
      </c>
      <c r="CK41" s="46" t="s">
        <v>502</v>
      </c>
      <c r="CL41" s="46" t="s">
        <v>502</v>
      </c>
      <c r="CM41" s="49" t="s">
        <v>502</v>
      </c>
      <c r="CN41" s="46" t="s">
        <v>502</v>
      </c>
      <c r="CO41" s="46" t="s">
        <v>502</v>
      </c>
      <c r="CP41" s="49" t="s">
        <v>502</v>
      </c>
      <c r="CQ41" s="46" t="s">
        <v>502</v>
      </c>
      <c r="CR41" s="46" t="s">
        <v>502</v>
      </c>
      <c r="CS41" s="49" t="s">
        <v>502</v>
      </c>
      <c r="CT41" s="46" t="s">
        <v>502</v>
      </c>
      <c r="CU41" s="46" t="s">
        <v>502</v>
      </c>
      <c r="CV41" s="49" t="s">
        <v>502</v>
      </c>
      <c r="CW41" s="46" t="s">
        <v>502</v>
      </c>
      <c r="CX41" s="46" t="s">
        <v>502</v>
      </c>
      <c r="CY41" s="49" t="s">
        <v>502</v>
      </c>
      <c r="CZ41" s="46" t="s">
        <v>502</v>
      </c>
      <c r="DA41" s="46" t="s">
        <v>502</v>
      </c>
      <c r="DB41" s="49" t="s">
        <v>502</v>
      </c>
      <c r="DC41" s="46" t="s">
        <v>502</v>
      </c>
      <c r="DD41" s="46" t="s">
        <v>502</v>
      </c>
      <c r="DE41" s="49" t="s">
        <v>502</v>
      </c>
      <c r="DF41" s="46" t="s">
        <v>502</v>
      </c>
      <c r="DG41" s="46" t="s">
        <v>502</v>
      </c>
      <c r="DH41" s="49" t="s">
        <v>502</v>
      </c>
      <c r="DI41" s="46" t="s">
        <v>502</v>
      </c>
      <c r="DJ41" s="46" t="s">
        <v>502</v>
      </c>
      <c r="DK41" s="49" t="s">
        <v>502</v>
      </c>
      <c r="DL41" s="46" t="s">
        <v>502</v>
      </c>
      <c r="DM41" s="46" t="s">
        <v>502</v>
      </c>
      <c r="DN41" s="49" t="s">
        <v>502</v>
      </c>
      <c r="DO41" s="46" t="s">
        <v>502</v>
      </c>
      <c r="DP41" s="46" t="s">
        <v>502</v>
      </c>
      <c r="DQ41" s="49" t="s">
        <v>502</v>
      </c>
      <c r="DR41" s="46" t="s">
        <v>502</v>
      </c>
      <c r="DS41" s="46" t="s">
        <v>502</v>
      </c>
      <c r="DT41" s="49" t="s">
        <v>502</v>
      </c>
      <c r="DU41" s="46" t="s">
        <v>502</v>
      </c>
      <c r="DV41" s="46" t="s">
        <v>502</v>
      </c>
      <c r="DW41" s="49" t="s">
        <v>502</v>
      </c>
      <c r="DX41" s="46" t="s">
        <v>502</v>
      </c>
      <c r="DY41" s="46" t="s">
        <v>502</v>
      </c>
      <c r="DZ41" s="49" t="s">
        <v>502</v>
      </c>
      <c r="EA41" s="46" t="s">
        <v>502</v>
      </c>
      <c r="EB41" s="46" t="s">
        <v>502</v>
      </c>
      <c r="EC41" s="49" t="s">
        <v>502</v>
      </c>
      <c r="ED41" s="46">
        <f>6900/1.19</f>
        <v>5798.3193277310929</v>
      </c>
      <c r="EE41" s="47">
        <f t="shared" ref="EE41" si="56">+ED41*19%</f>
        <v>1101.6806722689078</v>
      </c>
      <c r="EF41" s="48">
        <f t="shared" ref="EF41" si="57">+ED41+EE41</f>
        <v>6900.0000000000009</v>
      </c>
      <c r="EG41" s="46" t="s">
        <v>502</v>
      </c>
      <c r="EH41" s="46" t="s">
        <v>502</v>
      </c>
      <c r="EI41" s="49" t="s">
        <v>502</v>
      </c>
      <c r="EJ41" s="46" t="s">
        <v>502</v>
      </c>
      <c r="EK41" s="46" t="s">
        <v>502</v>
      </c>
      <c r="EL41" s="49" t="s">
        <v>502</v>
      </c>
      <c r="EM41" s="46" t="s">
        <v>502</v>
      </c>
      <c r="EN41" s="46" t="s">
        <v>502</v>
      </c>
      <c r="EO41" s="49" t="s">
        <v>502</v>
      </c>
      <c r="EP41" s="46" t="s">
        <v>502</v>
      </c>
      <c r="EQ41" s="46" t="s">
        <v>502</v>
      </c>
      <c r="ER41" s="49" t="s">
        <v>502</v>
      </c>
      <c r="ES41" s="46" t="s">
        <v>502</v>
      </c>
      <c r="ET41" s="46" t="s">
        <v>502</v>
      </c>
      <c r="EU41" s="49" t="s">
        <v>502</v>
      </c>
      <c r="EV41" s="46">
        <f>8100/1.19</f>
        <v>6806.7226890756301</v>
      </c>
      <c r="EW41" s="47">
        <f t="shared" ref="EW41" si="58">+EV41*19%</f>
        <v>1293.2773109243697</v>
      </c>
      <c r="EX41" s="48">
        <f t="shared" ref="EX41" si="59">+EV41+EW41</f>
        <v>8100</v>
      </c>
      <c r="EY41" s="46" t="s">
        <v>502</v>
      </c>
      <c r="EZ41" s="46" t="s">
        <v>502</v>
      </c>
      <c r="FA41" s="49" t="s">
        <v>502</v>
      </c>
      <c r="FB41" s="46" t="s">
        <v>502</v>
      </c>
      <c r="FC41" s="46" t="s">
        <v>502</v>
      </c>
      <c r="FD41" s="49" t="s">
        <v>502</v>
      </c>
      <c r="FE41" s="46" t="s">
        <v>502</v>
      </c>
      <c r="FF41" s="46" t="s">
        <v>502</v>
      </c>
      <c r="FG41" s="49" t="s">
        <v>502</v>
      </c>
      <c r="FH41" s="46" t="s">
        <v>502</v>
      </c>
      <c r="FI41" s="46" t="s">
        <v>502</v>
      </c>
      <c r="FJ41" s="49" t="s">
        <v>502</v>
      </c>
      <c r="FK41" s="46" t="s">
        <v>502</v>
      </c>
      <c r="FL41" s="46" t="s">
        <v>502</v>
      </c>
      <c r="FM41" s="49" t="s">
        <v>502</v>
      </c>
      <c r="FN41" s="46" t="s">
        <v>502</v>
      </c>
      <c r="FO41" s="46" t="s">
        <v>502</v>
      </c>
      <c r="FP41" s="49" t="s">
        <v>502</v>
      </c>
      <c r="FQ41" s="46" t="s">
        <v>502</v>
      </c>
      <c r="FR41" s="46" t="s">
        <v>502</v>
      </c>
      <c r="FS41" s="49" t="s">
        <v>502</v>
      </c>
      <c r="FT41" s="46" t="s">
        <v>502</v>
      </c>
      <c r="FU41" s="46" t="s">
        <v>502</v>
      </c>
      <c r="FV41" s="49" t="s">
        <v>502</v>
      </c>
      <c r="FW41" s="50">
        <f t="shared" si="7"/>
        <v>3</v>
      </c>
      <c r="FX41" s="51">
        <f t="shared" si="8"/>
        <v>7312.170000000001</v>
      </c>
      <c r="FY41" s="46">
        <f t="shared" si="6"/>
        <v>7350</v>
      </c>
      <c r="FZ41" s="52" t="s">
        <v>504</v>
      </c>
    </row>
    <row r="42" spans="1:182" ht="127.5" customHeight="1" x14ac:dyDescent="0.2">
      <c r="A42" s="53">
        <v>39</v>
      </c>
      <c r="B42" s="40" t="s">
        <v>12</v>
      </c>
      <c r="C42" s="41" t="s">
        <v>347</v>
      </c>
      <c r="D42" s="42">
        <v>47131611</v>
      </c>
      <c r="E42" s="43" t="s">
        <v>348</v>
      </c>
      <c r="F42" s="44" t="s">
        <v>86</v>
      </c>
      <c r="G42" s="66" t="s">
        <v>501</v>
      </c>
      <c r="H42" s="46" t="s">
        <v>502</v>
      </c>
      <c r="I42" s="46" t="s">
        <v>502</v>
      </c>
      <c r="J42" s="46" t="s">
        <v>502</v>
      </c>
      <c r="K42" s="46" t="s">
        <v>502</v>
      </c>
      <c r="L42" s="46" t="s">
        <v>502</v>
      </c>
      <c r="M42" s="46" t="s">
        <v>502</v>
      </c>
      <c r="N42" s="46" t="s">
        <v>502</v>
      </c>
      <c r="O42" s="46" t="s">
        <v>502</v>
      </c>
      <c r="P42" s="46" t="s">
        <v>502</v>
      </c>
      <c r="Q42" s="46" t="s">
        <v>502</v>
      </c>
      <c r="R42" s="46" t="s">
        <v>502</v>
      </c>
      <c r="S42" s="46" t="s">
        <v>502</v>
      </c>
      <c r="T42" s="46" t="s">
        <v>502</v>
      </c>
      <c r="U42" s="46" t="s">
        <v>502</v>
      </c>
      <c r="V42" s="46" t="s">
        <v>502</v>
      </c>
      <c r="W42" s="46" t="s">
        <v>502</v>
      </c>
      <c r="X42" s="46" t="s">
        <v>502</v>
      </c>
      <c r="Y42" s="46" t="s">
        <v>502</v>
      </c>
      <c r="Z42" s="46" t="s">
        <v>502</v>
      </c>
      <c r="AA42" s="46" t="s">
        <v>502</v>
      </c>
      <c r="AB42" s="46" t="s">
        <v>502</v>
      </c>
      <c r="AC42" s="46" t="s">
        <v>502</v>
      </c>
      <c r="AD42" s="46" t="s">
        <v>502</v>
      </c>
      <c r="AE42" s="46" t="s">
        <v>502</v>
      </c>
      <c r="AF42" s="46" t="s">
        <v>502</v>
      </c>
      <c r="AG42" s="46" t="s">
        <v>502</v>
      </c>
      <c r="AH42" s="46" t="s">
        <v>502</v>
      </c>
      <c r="AI42" s="46" t="s">
        <v>502</v>
      </c>
      <c r="AJ42" s="46" t="s">
        <v>502</v>
      </c>
      <c r="AK42" s="46" t="s">
        <v>502</v>
      </c>
      <c r="AL42" s="46" t="s">
        <v>502</v>
      </c>
      <c r="AM42" s="46" t="s">
        <v>502</v>
      </c>
      <c r="AN42" s="49" t="s">
        <v>502</v>
      </c>
      <c r="AO42" s="46">
        <v>2839</v>
      </c>
      <c r="AP42" s="47">
        <f t="shared" si="52"/>
        <v>539.41</v>
      </c>
      <c r="AQ42" s="54">
        <f t="shared" si="53"/>
        <v>3378.41</v>
      </c>
      <c r="AR42" s="46" t="s">
        <v>502</v>
      </c>
      <c r="AS42" s="46" t="s">
        <v>502</v>
      </c>
      <c r="AT42" s="49" t="s">
        <v>502</v>
      </c>
      <c r="AU42" s="46" t="s">
        <v>502</v>
      </c>
      <c r="AV42" s="46" t="s">
        <v>502</v>
      </c>
      <c r="AW42" s="49" t="s">
        <v>502</v>
      </c>
      <c r="AX42" s="46" t="s">
        <v>502</v>
      </c>
      <c r="AY42" s="46" t="s">
        <v>502</v>
      </c>
      <c r="AZ42" s="49" t="s">
        <v>502</v>
      </c>
      <c r="BA42" s="46" t="s">
        <v>502</v>
      </c>
      <c r="BB42" s="46" t="s">
        <v>502</v>
      </c>
      <c r="BC42" s="49" t="s">
        <v>502</v>
      </c>
      <c r="BD42" s="46" t="s">
        <v>502</v>
      </c>
      <c r="BE42" s="46" t="s">
        <v>502</v>
      </c>
      <c r="BF42" s="49" t="s">
        <v>502</v>
      </c>
      <c r="BG42" s="46" t="s">
        <v>502</v>
      </c>
      <c r="BH42" s="46" t="s">
        <v>502</v>
      </c>
      <c r="BI42" s="49" t="s">
        <v>502</v>
      </c>
      <c r="BJ42" s="46" t="s">
        <v>502</v>
      </c>
      <c r="BK42" s="46" t="s">
        <v>502</v>
      </c>
      <c r="BL42" s="49" t="s">
        <v>502</v>
      </c>
      <c r="BM42" s="46" t="s">
        <v>502</v>
      </c>
      <c r="BN42" s="46" t="s">
        <v>502</v>
      </c>
      <c r="BO42" s="49" t="s">
        <v>502</v>
      </c>
      <c r="BP42" s="46" t="s">
        <v>502</v>
      </c>
      <c r="BQ42" s="46" t="s">
        <v>502</v>
      </c>
      <c r="BR42" s="49" t="s">
        <v>502</v>
      </c>
      <c r="BS42" s="46" t="s">
        <v>502</v>
      </c>
      <c r="BT42" s="46" t="s">
        <v>502</v>
      </c>
      <c r="BU42" s="49" t="s">
        <v>502</v>
      </c>
      <c r="BV42" s="46" t="s">
        <v>502</v>
      </c>
      <c r="BW42" s="46" t="s">
        <v>502</v>
      </c>
      <c r="BX42" s="49" t="s">
        <v>502</v>
      </c>
      <c r="BY42" s="46" t="s">
        <v>502</v>
      </c>
      <c r="BZ42" s="46" t="s">
        <v>502</v>
      </c>
      <c r="CA42" s="49" t="s">
        <v>502</v>
      </c>
      <c r="CB42" s="46" t="s">
        <v>502</v>
      </c>
      <c r="CC42" s="46" t="s">
        <v>502</v>
      </c>
      <c r="CD42" s="49" t="s">
        <v>502</v>
      </c>
      <c r="CE42" s="46" t="s">
        <v>502</v>
      </c>
      <c r="CF42" s="46" t="s">
        <v>502</v>
      </c>
      <c r="CG42" s="49" t="s">
        <v>502</v>
      </c>
      <c r="CH42" s="46" t="s">
        <v>502</v>
      </c>
      <c r="CI42" s="46" t="s">
        <v>502</v>
      </c>
      <c r="CJ42" s="49" t="s">
        <v>502</v>
      </c>
      <c r="CK42" s="46" t="s">
        <v>502</v>
      </c>
      <c r="CL42" s="46" t="s">
        <v>502</v>
      </c>
      <c r="CM42" s="49" t="s">
        <v>502</v>
      </c>
      <c r="CN42" s="46" t="s">
        <v>502</v>
      </c>
      <c r="CO42" s="46" t="s">
        <v>502</v>
      </c>
      <c r="CP42" s="49" t="s">
        <v>502</v>
      </c>
      <c r="CQ42" s="46" t="s">
        <v>502</v>
      </c>
      <c r="CR42" s="46" t="s">
        <v>502</v>
      </c>
      <c r="CS42" s="49" t="s">
        <v>502</v>
      </c>
      <c r="CT42" s="46" t="s">
        <v>502</v>
      </c>
      <c r="CU42" s="46" t="s">
        <v>502</v>
      </c>
      <c r="CV42" s="49" t="s">
        <v>502</v>
      </c>
      <c r="CW42" s="46" t="s">
        <v>502</v>
      </c>
      <c r="CX42" s="46" t="s">
        <v>502</v>
      </c>
      <c r="CY42" s="49" t="s">
        <v>502</v>
      </c>
      <c r="CZ42" s="46" t="s">
        <v>502</v>
      </c>
      <c r="DA42" s="46" t="s">
        <v>502</v>
      </c>
      <c r="DB42" s="49" t="s">
        <v>502</v>
      </c>
      <c r="DC42" s="46" t="s">
        <v>502</v>
      </c>
      <c r="DD42" s="46" t="s">
        <v>502</v>
      </c>
      <c r="DE42" s="49" t="s">
        <v>502</v>
      </c>
      <c r="DF42" s="46" t="s">
        <v>502</v>
      </c>
      <c r="DG42" s="46" t="s">
        <v>502</v>
      </c>
      <c r="DH42" s="49" t="s">
        <v>502</v>
      </c>
      <c r="DI42" s="46" t="s">
        <v>502</v>
      </c>
      <c r="DJ42" s="46" t="s">
        <v>502</v>
      </c>
      <c r="DK42" s="49" t="s">
        <v>502</v>
      </c>
      <c r="DL42" s="46" t="s">
        <v>502</v>
      </c>
      <c r="DM42" s="46" t="s">
        <v>502</v>
      </c>
      <c r="DN42" s="49" t="s">
        <v>502</v>
      </c>
      <c r="DO42" s="46" t="s">
        <v>502</v>
      </c>
      <c r="DP42" s="46" t="s">
        <v>502</v>
      </c>
      <c r="DQ42" s="49" t="s">
        <v>502</v>
      </c>
      <c r="DR42" s="46" t="s">
        <v>502</v>
      </c>
      <c r="DS42" s="46" t="s">
        <v>502</v>
      </c>
      <c r="DT42" s="49" t="s">
        <v>502</v>
      </c>
      <c r="DU42" s="46" t="s">
        <v>502</v>
      </c>
      <c r="DV42" s="46" t="s">
        <v>502</v>
      </c>
      <c r="DW42" s="49" t="s">
        <v>502</v>
      </c>
      <c r="DX42" s="46" t="s">
        <v>502</v>
      </c>
      <c r="DY42" s="46" t="s">
        <v>502</v>
      </c>
      <c r="DZ42" s="49" t="s">
        <v>502</v>
      </c>
      <c r="EA42" s="46" t="s">
        <v>502</v>
      </c>
      <c r="EB42" s="46" t="s">
        <v>502</v>
      </c>
      <c r="EC42" s="49" t="s">
        <v>502</v>
      </c>
      <c r="ED42" s="46" t="s">
        <v>502</v>
      </c>
      <c r="EE42" s="46" t="s">
        <v>502</v>
      </c>
      <c r="EF42" s="49" t="s">
        <v>502</v>
      </c>
      <c r="EG42" s="46" t="s">
        <v>502</v>
      </c>
      <c r="EH42" s="46" t="s">
        <v>502</v>
      </c>
      <c r="EI42" s="49" t="s">
        <v>502</v>
      </c>
      <c r="EJ42" s="46" t="s">
        <v>502</v>
      </c>
      <c r="EK42" s="46" t="s">
        <v>502</v>
      </c>
      <c r="EL42" s="49" t="s">
        <v>502</v>
      </c>
      <c r="EM42" s="46" t="s">
        <v>502</v>
      </c>
      <c r="EN42" s="46" t="s">
        <v>502</v>
      </c>
      <c r="EO42" s="49" t="s">
        <v>502</v>
      </c>
      <c r="EP42" s="46" t="s">
        <v>502</v>
      </c>
      <c r="EQ42" s="46" t="s">
        <v>502</v>
      </c>
      <c r="ER42" s="49" t="s">
        <v>502</v>
      </c>
      <c r="ES42" s="46" t="s">
        <v>502</v>
      </c>
      <c r="ET42" s="46" t="s">
        <v>502</v>
      </c>
      <c r="EU42" s="49" t="s">
        <v>502</v>
      </c>
      <c r="EV42" s="46" t="s">
        <v>502</v>
      </c>
      <c r="EW42" s="46" t="s">
        <v>502</v>
      </c>
      <c r="EX42" s="49" t="s">
        <v>502</v>
      </c>
      <c r="EY42" s="46">
        <f>3450/1.19</f>
        <v>2899.1596638655465</v>
      </c>
      <c r="EZ42" s="47">
        <f t="shared" ref="EZ42" si="60">+EY42*19%</f>
        <v>550.84033613445388</v>
      </c>
      <c r="FA42" s="48">
        <f t="shared" ref="FA42" si="61">+EY42+EZ42</f>
        <v>3450.0000000000005</v>
      </c>
      <c r="FB42" s="46" t="s">
        <v>502</v>
      </c>
      <c r="FC42" s="46" t="s">
        <v>502</v>
      </c>
      <c r="FD42" s="49" t="s">
        <v>502</v>
      </c>
      <c r="FE42" s="46" t="s">
        <v>502</v>
      </c>
      <c r="FF42" s="46" t="s">
        <v>502</v>
      </c>
      <c r="FG42" s="49" t="s">
        <v>502</v>
      </c>
      <c r="FH42" s="46" t="s">
        <v>502</v>
      </c>
      <c r="FI42" s="46" t="s">
        <v>502</v>
      </c>
      <c r="FJ42" s="49" t="s">
        <v>502</v>
      </c>
      <c r="FK42" s="46" t="s">
        <v>502</v>
      </c>
      <c r="FL42" s="46" t="s">
        <v>502</v>
      </c>
      <c r="FM42" s="49" t="s">
        <v>502</v>
      </c>
      <c r="FN42" s="46" t="s">
        <v>502</v>
      </c>
      <c r="FO42" s="46" t="s">
        <v>502</v>
      </c>
      <c r="FP42" s="49" t="s">
        <v>502</v>
      </c>
      <c r="FQ42" s="46">
        <f>SUM(4900)/1.19</f>
        <v>4117.6470588235297</v>
      </c>
      <c r="FR42" s="46">
        <f>+FQ42*19%</f>
        <v>782.35294117647061</v>
      </c>
      <c r="FS42" s="46">
        <f>+FQ42+FR42</f>
        <v>4900</v>
      </c>
      <c r="FT42" s="46" t="s">
        <v>502</v>
      </c>
      <c r="FU42" s="46" t="s">
        <v>502</v>
      </c>
      <c r="FV42" s="49" t="s">
        <v>502</v>
      </c>
      <c r="FW42" s="50">
        <f t="shared" si="7"/>
        <v>3</v>
      </c>
      <c r="FX42" s="51">
        <f t="shared" si="8"/>
        <v>3909.47</v>
      </c>
      <c r="FY42" s="46">
        <f t="shared" si="6"/>
        <v>3950</v>
      </c>
      <c r="FZ42" s="52" t="s">
        <v>504</v>
      </c>
    </row>
    <row r="43" spans="1:182" ht="127.5" customHeight="1" x14ac:dyDescent="0.2">
      <c r="A43" s="39">
        <v>40</v>
      </c>
      <c r="B43" s="40" t="s">
        <v>12</v>
      </c>
      <c r="C43" s="41" t="s">
        <v>158</v>
      </c>
      <c r="D43" s="42">
        <v>27112004</v>
      </c>
      <c r="E43" s="43" t="s">
        <v>517</v>
      </c>
      <c r="F43" s="44" t="s">
        <v>86</v>
      </c>
      <c r="G43" s="66" t="s">
        <v>501</v>
      </c>
      <c r="H43" s="46" t="s">
        <v>502</v>
      </c>
      <c r="I43" s="46" t="s">
        <v>502</v>
      </c>
      <c r="J43" s="46" t="s">
        <v>502</v>
      </c>
      <c r="K43" s="46" t="s">
        <v>502</v>
      </c>
      <c r="L43" s="46" t="s">
        <v>502</v>
      </c>
      <c r="M43" s="46" t="s">
        <v>502</v>
      </c>
      <c r="N43" s="46" t="s">
        <v>502</v>
      </c>
      <c r="O43" s="46" t="s">
        <v>502</v>
      </c>
      <c r="P43" s="46" t="s">
        <v>502</v>
      </c>
      <c r="Q43" s="46" t="s">
        <v>502</v>
      </c>
      <c r="R43" s="46" t="s">
        <v>502</v>
      </c>
      <c r="S43" s="46" t="s">
        <v>502</v>
      </c>
      <c r="T43" s="46" t="s">
        <v>502</v>
      </c>
      <c r="U43" s="46" t="s">
        <v>502</v>
      </c>
      <c r="V43" s="46" t="s">
        <v>502</v>
      </c>
      <c r="W43" s="46" t="s">
        <v>502</v>
      </c>
      <c r="X43" s="46" t="s">
        <v>502</v>
      </c>
      <c r="Y43" s="46" t="s">
        <v>502</v>
      </c>
      <c r="Z43" s="46" t="s">
        <v>502</v>
      </c>
      <c r="AA43" s="46" t="s">
        <v>502</v>
      </c>
      <c r="AB43" s="46" t="s">
        <v>502</v>
      </c>
      <c r="AC43" s="46" t="s">
        <v>502</v>
      </c>
      <c r="AD43" s="46" t="s">
        <v>502</v>
      </c>
      <c r="AE43" s="46" t="s">
        <v>502</v>
      </c>
      <c r="AF43" s="46" t="s">
        <v>502</v>
      </c>
      <c r="AG43" s="46" t="s">
        <v>502</v>
      </c>
      <c r="AH43" s="46" t="s">
        <v>502</v>
      </c>
      <c r="AI43" s="46" t="s">
        <v>502</v>
      </c>
      <c r="AJ43" s="46" t="s">
        <v>502</v>
      </c>
      <c r="AK43" s="46" t="s">
        <v>502</v>
      </c>
      <c r="AL43" s="46" t="s">
        <v>502</v>
      </c>
      <c r="AM43" s="46" t="s">
        <v>502</v>
      </c>
      <c r="AN43" s="49" t="s">
        <v>502</v>
      </c>
      <c r="AO43" s="46" t="s">
        <v>502</v>
      </c>
      <c r="AP43" s="46" t="s">
        <v>502</v>
      </c>
      <c r="AQ43" s="49" t="s">
        <v>502</v>
      </c>
      <c r="AR43" s="46" t="s">
        <v>502</v>
      </c>
      <c r="AS43" s="46" t="s">
        <v>502</v>
      </c>
      <c r="AT43" s="49" t="s">
        <v>502</v>
      </c>
      <c r="AU43" s="46" t="s">
        <v>502</v>
      </c>
      <c r="AV43" s="46" t="s">
        <v>502</v>
      </c>
      <c r="AW43" s="49" t="s">
        <v>502</v>
      </c>
      <c r="AX43" s="46" t="s">
        <v>502</v>
      </c>
      <c r="AY43" s="46" t="s">
        <v>502</v>
      </c>
      <c r="AZ43" s="49" t="s">
        <v>502</v>
      </c>
      <c r="BA43" s="46" t="s">
        <v>502</v>
      </c>
      <c r="BB43" s="46" t="s">
        <v>502</v>
      </c>
      <c r="BC43" s="49" t="s">
        <v>502</v>
      </c>
      <c r="BD43" s="46" t="s">
        <v>502</v>
      </c>
      <c r="BE43" s="46" t="s">
        <v>502</v>
      </c>
      <c r="BF43" s="49" t="s">
        <v>502</v>
      </c>
      <c r="BG43" s="46" t="s">
        <v>502</v>
      </c>
      <c r="BH43" s="46" t="s">
        <v>502</v>
      </c>
      <c r="BI43" s="49" t="s">
        <v>502</v>
      </c>
      <c r="BJ43" s="46" t="s">
        <v>502</v>
      </c>
      <c r="BK43" s="46" t="s">
        <v>502</v>
      </c>
      <c r="BL43" s="49" t="s">
        <v>502</v>
      </c>
      <c r="BM43" s="46" t="s">
        <v>502</v>
      </c>
      <c r="BN43" s="46" t="s">
        <v>502</v>
      </c>
      <c r="BO43" s="49" t="s">
        <v>502</v>
      </c>
      <c r="BP43" s="46" t="s">
        <v>502</v>
      </c>
      <c r="BQ43" s="46" t="s">
        <v>502</v>
      </c>
      <c r="BR43" s="49" t="s">
        <v>502</v>
      </c>
      <c r="BS43" s="46" t="s">
        <v>502</v>
      </c>
      <c r="BT43" s="46" t="s">
        <v>502</v>
      </c>
      <c r="BU43" s="49" t="s">
        <v>502</v>
      </c>
      <c r="BV43" s="46" t="s">
        <v>502</v>
      </c>
      <c r="BW43" s="46" t="s">
        <v>502</v>
      </c>
      <c r="BX43" s="49" t="s">
        <v>502</v>
      </c>
      <c r="BY43" s="46">
        <f>34730/1.05</f>
        <v>33076.190476190473</v>
      </c>
      <c r="BZ43" s="46">
        <f>+BY43*5%</f>
        <v>1653.8095238095239</v>
      </c>
      <c r="CA43" s="46">
        <f>+BY43+BZ43</f>
        <v>34730</v>
      </c>
      <c r="CB43" s="46" t="s">
        <v>502</v>
      </c>
      <c r="CC43" s="46" t="s">
        <v>502</v>
      </c>
      <c r="CD43" s="49" t="s">
        <v>502</v>
      </c>
      <c r="CE43" s="46" t="s">
        <v>502</v>
      </c>
      <c r="CF43" s="46" t="s">
        <v>502</v>
      </c>
      <c r="CG43" s="49" t="s">
        <v>502</v>
      </c>
      <c r="CH43" s="46">
        <f>58900/1.05</f>
        <v>56095.238095238092</v>
      </c>
      <c r="CI43" s="46">
        <f>+CH43*5%</f>
        <v>2804.7619047619046</v>
      </c>
      <c r="CJ43" s="46">
        <f>+CH43+CI43</f>
        <v>58900</v>
      </c>
      <c r="CK43" s="46">
        <f>24990/1.05</f>
        <v>23800</v>
      </c>
      <c r="CL43" s="46">
        <f>+CK43*5%</f>
        <v>1190</v>
      </c>
      <c r="CM43" s="46">
        <f>+CK43+CL43</f>
        <v>24990</v>
      </c>
      <c r="CN43" s="46" t="s">
        <v>502</v>
      </c>
      <c r="CO43" s="46" t="s">
        <v>502</v>
      </c>
      <c r="CP43" s="49" t="s">
        <v>502</v>
      </c>
      <c r="CQ43" s="46" t="s">
        <v>502</v>
      </c>
      <c r="CR43" s="46" t="s">
        <v>502</v>
      </c>
      <c r="CS43" s="49" t="s">
        <v>502</v>
      </c>
      <c r="CT43" s="46" t="s">
        <v>502</v>
      </c>
      <c r="CU43" s="46" t="s">
        <v>502</v>
      </c>
      <c r="CV43" s="49" t="s">
        <v>502</v>
      </c>
      <c r="CW43" s="46" t="s">
        <v>502</v>
      </c>
      <c r="CX43" s="46" t="s">
        <v>502</v>
      </c>
      <c r="CY43" s="49" t="s">
        <v>502</v>
      </c>
      <c r="CZ43" s="46" t="s">
        <v>502</v>
      </c>
      <c r="DA43" s="46" t="s">
        <v>502</v>
      </c>
      <c r="DB43" s="49" t="s">
        <v>502</v>
      </c>
      <c r="DC43" s="46" t="s">
        <v>502</v>
      </c>
      <c r="DD43" s="46" t="s">
        <v>502</v>
      </c>
      <c r="DE43" s="49" t="s">
        <v>502</v>
      </c>
      <c r="DF43" s="46" t="s">
        <v>502</v>
      </c>
      <c r="DG43" s="46" t="s">
        <v>502</v>
      </c>
      <c r="DH43" s="49" t="s">
        <v>502</v>
      </c>
      <c r="DI43" s="46" t="s">
        <v>502</v>
      </c>
      <c r="DJ43" s="46" t="s">
        <v>502</v>
      </c>
      <c r="DK43" s="49" t="s">
        <v>502</v>
      </c>
      <c r="DL43" s="46" t="s">
        <v>502</v>
      </c>
      <c r="DM43" s="46" t="s">
        <v>502</v>
      </c>
      <c r="DN43" s="49" t="s">
        <v>502</v>
      </c>
      <c r="DO43" s="46" t="s">
        <v>502</v>
      </c>
      <c r="DP43" s="46" t="s">
        <v>502</v>
      </c>
      <c r="DQ43" s="49" t="s">
        <v>502</v>
      </c>
      <c r="DR43" s="46" t="s">
        <v>502</v>
      </c>
      <c r="DS43" s="46" t="s">
        <v>502</v>
      </c>
      <c r="DT43" s="49" t="s">
        <v>502</v>
      </c>
      <c r="DU43" s="46" t="s">
        <v>502</v>
      </c>
      <c r="DV43" s="46" t="s">
        <v>502</v>
      </c>
      <c r="DW43" s="49" t="s">
        <v>502</v>
      </c>
      <c r="DX43" s="46" t="s">
        <v>502</v>
      </c>
      <c r="DY43" s="46" t="s">
        <v>502</v>
      </c>
      <c r="DZ43" s="49" t="s">
        <v>502</v>
      </c>
      <c r="EA43" s="46" t="s">
        <v>502</v>
      </c>
      <c r="EB43" s="46" t="s">
        <v>502</v>
      </c>
      <c r="EC43" s="49" t="s">
        <v>502</v>
      </c>
      <c r="ED43" s="46" t="s">
        <v>502</v>
      </c>
      <c r="EE43" s="46" t="s">
        <v>502</v>
      </c>
      <c r="EF43" s="49" t="s">
        <v>502</v>
      </c>
      <c r="EG43" s="46" t="s">
        <v>502</v>
      </c>
      <c r="EH43" s="46" t="s">
        <v>502</v>
      </c>
      <c r="EI43" s="49" t="s">
        <v>502</v>
      </c>
      <c r="EJ43" s="46" t="s">
        <v>502</v>
      </c>
      <c r="EK43" s="46" t="s">
        <v>502</v>
      </c>
      <c r="EL43" s="49" t="s">
        <v>502</v>
      </c>
      <c r="EM43" s="46" t="s">
        <v>502</v>
      </c>
      <c r="EN43" s="46" t="s">
        <v>502</v>
      </c>
      <c r="EO43" s="49" t="s">
        <v>502</v>
      </c>
      <c r="EP43" s="46" t="s">
        <v>502</v>
      </c>
      <c r="EQ43" s="46" t="s">
        <v>502</v>
      </c>
      <c r="ER43" s="49" t="s">
        <v>502</v>
      </c>
      <c r="ES43" s="46" t="s">
        <v>502</v>
      </c>
      <c r="ET43" s="46" t="s">
        <v>502</v>
      </c>
      <c r="EU43" s="49" t="s">
        <v>502</v>
      </c>
      <c r="EV43" s="46" t="s">
        <v>502</v>
      </c>
      <c r="EW43" s="46" t="s">
        <v>502</v>
      </c>
      <c r="EX43" s="49" t="s">
        <v>502</v>
      </c>
      <c r="EY43" s="46" t="s">
        <v>502</v>
      </c>
      <c r="EZ43" s="46" t="s">
        <v>502</v>
      </c>
      <c r="FA43" s="49" t="s">
        <v>502</v>
      </c>
      <c r="FB43" s="46" t="s">
        <v>502</v>
      </c>
      <c r="FC43" s="46" t="s">
        <v>502</v>
      </c>
      <c r="FD43" s="49" t="s">
        <v>502</v>
      </c>
      <c r="FE43" s="46" t="s">
        <v>502</v>
      </c>
      <c r="FF43" s="46" t="s">
        <v>502</v>
      </c>
      <c r="FG43" s="49" t="s">
        <v>502</v>
      </c>
      <c r="FH43" s="46" t="s">
        <v>502</v>
      </c>
      <c r="FI43" s="46" t="s">
        <v>502</v>
      </c>
      <c r="FJ43" s="49" t="s">
        <v>502</v>
      </c>
      <c r="FK43" s="46" t="s">
        <v>502</v>
      </c>
      <c r="FL43" s="46" t="s">
        <v>502</v>
      </c>
      <c r="FM43" s="49" t="s">
        <v>502</v>
      </c>
      <c r="FN43" s="46" t="s">
        <v>502</v>
      </c>
      <c r="FO43" s="46" t="s">
        <v>502</v>
      </c>
      <c r="FP43" s="49" t="s">
        <v>502</v>
      </c>
      <c r="FQ43" s="46" t="s">
        <v>502</v>
      </c>
      <c r="FR43" s="46" t="s">
        <v>502</v>
      </c>
      <c r="FS43" s="49" t="s">
        <v>502</v>
      </c>
      <c r="FT43" s="46" t="s">
        <v>502</v>
      </c>
      <c r="FU43" s="46" t="s">
        <v>502</v>
      </c>
      <c r="FV43" s="49" t="s">
        <v>502</v>
      </c>
      <c r="FW43" s="50">
        <f t="shared" si="7"/>
        <v>3</v>
      </c>
      <c r="FX43" s="51">
        <f t="shared" si="8"/>
        <v>39540</v>
      </c>
      <c r="FY43" s="46">
        <f t="shared" si="6"/>
        <v>39550</v>
      </c>
      <c r="FZ43" s="52" t="s">
        <v>504</v>
      </c>
    </row>
    <row r="44" spans="1:182" ht="127.5" customHeight="1" x14ac:dyDescent="0.2">
      <c r="A44" s="39">
        <v>41</v>
      </c>
      <c r="B44" s="40" t="s">
        <v>12</v>
      </c>
      <c r="C44" s="41" t="s">
        <v>518</v>
      </c>
      <c r="D44" s="41">
        <v>27112700</v>
      </c>
      <c r="E44" s="43" t="s">
        <v>233</v>
      </c>
      <c r="F44" s="44" t="s">
        <v>86</v>
      </c>
      <c r="G44" s="66" t="s">
        <v>501</v>
      </c>
      <c r="H44" s="46" t="s">
        <v>502</v>
      </c>
      <c r="I44" s="46" t="s">
        <v>502</v>
      </c>
      <c r="J44" s="46" t="s">
        <v>502</v>
      </c>
      <c r="K44" s="46" t="s">
        <v>502</v>
      </c>
      <c r="L44" s="46" t="s">
        <v>502</v>
      </c>
      <c r="M44" s="46" t="s">
        <v>502</v>
      </c>
      <c r="N44" s="46" t="s">
        <v>502</v>
      </c>
      <c r="O44" s="46" t="s">
        <v>502</v>
      </c>
      <c r="P44" s="46" t="s">
        <v>502</v>
      </c>
      <c r="Q44" s="46" t="s">
        <v>502</v>
      </c>
      <c r="R44" s="46" t="s">
        <v>502</v>
      </c>
      <c r="S44" s="46" t="s">
        <v>502</v>
      </c>
      <c r="T44" s="46" t="s">
        <v>502</v>
      </c>
      <c r="U44" s="46" t="s">
        <v>502</v>
      </c>
      <c r="V44" s="46" t="s">
        <v>502</v>
      </c>
      <c r="W44" s="46" t="s">
        <v>502</v>
      </c>
      <c r="X44" s="46" t="s">
        <v>502</v>
      </c>
      <c r="Y44" s="46" t="s">
        <v>502</v>
      </c>
      <c r="Z44" s="46" t="s">
        <v>502</v>
      </c>
      <c r="AA44" s="46" t="s">
        <v>502</v>
      </c>
      <c r="AB44" s="46" t="s">
        <v>502</v>
      </c>
      <c r="AC44" s="46" t="s">
        <v>502</v>
      </c>
      <c r="AD44" s="46" t="s">
        <v>502</v>
      </c>
      <c r="AE44" s="46" t="s">
        <v>502</v>
      </c>
      <c r="AF44" s="46" t="s">
        <v>502</v>
      </c>
      <c r="AG44" s="46" t="s">
        <v>502</v>
      </c>
      <c r="AH44" s="46" t="s">
        <v>502</v>
      </c>
      <c r="AI44" s="46" t="s">
        <v>502</v>
      </c>
      <c r="AJ44" s="46" t="s">
        <v>502</v>
      </c>
      <c r="AK44" s="46" t="s">
        <v>502</v>
      </c>
      <c r="AL44" s="46" t="s">
        <v>502</v>
      </c>
      <c r="AM44" s="46" t="s">
        <v>502</v>
      </c>
      <c r="AN44" s="49" t="s">
        <v>502</v>
      </c>
      <c r="AO44" s="46" t="s">
        <v>502</v>
      </c>
      <c r="AP44" s="46" t="s">
        <v>502</v>
      </c>
      <c r="AQ44" s="49" t="s">
        <v>502</v>
      </c>
      <c r="AR44" s="46" t="s">
        <v>502</v>
      </c>
      <c r="AS44" s="46" t="s">
        <v>502</v>
      </c>
      <c r="AT44" s="49" t="s">
        <v>502</v>
      </c>
      <c r="AU44" s="46" t="s">
        <v>502</v>
      </c>
      <c r="AV44" s="46" t="s">
        <v>502</v>
      </c>
      <c r="AW44" s="49" t="s">
        <v>502</v>
      </c>
      <c r="AX44" s="46" t="s">
        <v>502</v>
      </c>
      <c r="AY44" s="46" t="s">
        <v>502</v>
      </c>
      <c r="AZ44" s="49" t="s">
        <v>502</v>
      </c>
      <c r="BA44" s="46" t="s">
        <v>502</v>
      </c>
      <c r="BB44" s="46" t="s">
        <v>502</v>
      </c>
      <c r="BC44" s="49" t="s">
        <v>502</v>
      </c>
      <c r="BD44" s="46" t="s">
        <v>502</v>
      </c>
      <c r="BE44" s="46" t="s">
        <v>502</v>
      </c>
      <c r="BF44" s="49" t="s">
        <v>502</v>
      </c>
      <c r="BG44" s="46" t="s">
        <v>502</v>
      </c>
      <c r="BH44" s="46" t="s">
        <v>502</v>
      </c>
      <c r="BI44" s="49" t="s">
        <v>502</v>
      </c>
      <c r="BJ44" s="46" t="s">
        <v>502</v>
      </c>
      <c r="BK44" s="46" t="s">
        <v>502</v>
      </c>
      <c r="BL44" s="49" t="s">
        <v>502</v>
      </c>
      <c r="BM44" s="46" t="s">
        <v>502</v>
      </c>
      <c r="BN44" s="46" t="s">
        <v>502</v>
      </c>
      <c r="BO44" s="49" t="s">
        <v>502</v>
      </c>
      <c r="BP44" s="46" t="s">
        <v>502</v>
      </c>
      <c r="BQ44" s="46" t="s">
        <v>502</v>
      </c>
      <c r="BR44" s="49" t="s">
        <v>502</v>
      </c>
      <c r="BS44" s="46" t="s">
        <v>502</v>
      </c>
      <c r="BT44" s="46" t="s">
        <v>502</v>
      </c>
      <c r="BU44" s="49" t="s">
        <v>502</v>
      </c>
      <c r="BV44" s="46" t="s">
        <v>502</v>
      </c>
      <c r="BW44" s="46" t="s">
        <v>502</v>
      </c>
      <c r="BX44" s="49" t="s">
        <v>502</v>
      </c>
      <c r="BY44" s="46" t="s">
        <v>502</v>
      </c>
      <c r="BZ44" s="46" t="s">
        <v>502</v>
      </c>
      <c r="CA44" s="49" t="s">
        <v>502</v>
      </c>
      <c r="CB44" s="46" t="s">
        <v>502</v>
      </c>
      <c r="CC44" s="46" t="s">
        <v>502</v>
      </c>
      <c r="CD44" s="49" t="s">
        <v>502</v>
      </c>
      <c r="CE44" s="46" t="s">
        <v>502</v>
      </c>
      <c r="CF44" s="46" t="s">
        <v>502</v>
      </c>
      <c r="CG44" s="49" t="s">
        <v>502</v>
      </c>
      <c r="CH44" s="46" t="s">
        <v>502</v>
      </c>
      <c r="CI44" s="46" t="s">
        <v>502</v>
      </c>
      <c r="CJ44" s="49" t="s">
        <v>502</v>
      </c>
      <c r="CK44" s="46" t="s">
        <v>502</v>
      </c>
      <c r="CL44" s="46" t="s">
        <v>502</v>
      </c>
      <c r="CM44" s="49" t="s">
        <v>502</v>
      </c>
      <c r="CN44" s="46" t="s">
        <v>502</v>
      </c>
      <c r="CO44" s="46" t="s">
        <v>502</v>
      </c>
      <c r="CP44" s="49" t="s">
        <v>502</v>
      </c>
      <c r="CQ44" s="46" t="s">
        <v>502</v>
      </c>
      <c r="CR44" s="46" t="s">
        <v>502</v>
      </c>
      <c r="CS44" s="49" t="s">
        <v>502</v>
      </c>
      <c r="CT44" s="46" t="s">
        <v>502</v>
      </c>
      <c r="CU44" s="46" t="s">
        <v>502</v>
      </c>
      <c r="CV44" s="49" t="s">
        <v>502</v>
      </c>
      <c r="CW44" s="46" t="s">
        <v>502</v>
      </c>
      <c r="CX44" s="46" t="s">
        <v>502</v>
      </c>
      <c r="CY44" s="49" t="s">
        <v>502</v>
      </c>
      <c r="CZ44" s="46" t="s">
        <v>502</v>
      </c>
      <c r="DA44" s="46" t="s">
        <v>502</v>
      </c>
      <c r="DB44" s="49" t="s">
        <v>502</v>
      </c>
      <c r="DC44" s="46" t="s">
        <v>502</v>
      </c>
      <c r="DD44" s="46" t="s">
        <v>502</v>
      </c>
      <c r="DE44" s="49" t="s">
        <v>502</v>
      </c>
      <c r="DF44" s="46" t="s">
        <v>502</v>
      </c>
      <c r="DG44" s="46" t="s">
        <v>502</v>
      </c>
      <c r="DH44" s="49" t="s">
        <v>502</v>
      </c>
      <c r="DI44" s="46" t="s">
        <v>502</v>
      </c>
      <c r="DJ44" s="46" t="s">
        <v>502</v>
      </c>
      <c r="DK44" s="49" t="s">
        <v>502</v>
      </c>
      <c r="DL44" s="46" t="s">
        <v>502</v>
      </c>
      <c r="DM44" s="46" t="s">
        <v>502</v>
      </c>
      <c r="DN44" s="49" t="s">
        <v>502</v>
      </c>
      <c r="DO44" s="46" t="s">
        <v>502</v>
      </c>
      <c r="DP44" s="46" t="s">
        <v>502</v>
      </c>
      <c r="DQ44" s="49" t="s">
        <v>502</v>
      </c>
      <c r="DR44" s="46" t="s">
        <v>502</v>
      </c>
      <c r="DS44" s="46" t="s">
        <v>502</v>
      </c>
      <c r="DT44" s="49" t="s">
        <v>502</v>
      </c>
      <c r="DU44" s="46" t="s">
        <v>502</v>
      </c>
      <c r="DV44" s="46" t="s">
        <v>502</v>
      </c>
      <c r="DW44" s="49" t="s">
        <v>502</v>
      </c>
      <c r="DX44" s="46" t="s">
        <v>502</v>
      </c>
      <c r="DY44" s="46" t="s">
        <v>502</v>
      </c>
      <c r="DZ44" s="49" t="s">
        <v>502</v>
      </c>
      <c r="EA44" s="46" t="s">
        <v>502</v>
      </c>
      <c r="EB44" s="46" t="s">
        <v>502</v>
      </c>
      <c r="EC44" s="49" t="s">
        <v>502</v>
      </c>
      <c r="ED44" s="46" t="s">
        <v>502</v>
      </c>
      <c r="EE44" s="46" t="s">
        <v>502</v>
      </c>
      <c r="EF44" s="49" t="s">
        <v>502</v>
      </c>
      <c r="EG44" s="46" t="s">
        <v>502</v>
      </c>
      <c r="EH44" s="46" t="s">
        <v>502</v>
      </c>
      <c r="EI44" s="49" t="s">
        <v>502</v>
      </c>
      <c r="EJ44" s="46" t="s">
        <v>502</v>
      </c>
      <c r="EK44" s="46" t="s">
        <v>502</v>
      </c>
      <c r="EL44" s="49" t="s">
        <v>502</v>
      </c>
      <c r="EM44" s="46" t="s">
        <v>502</v>
      </c>
      <c r="EN44" s="46" t="s">
        <v>502</v>
      </c>
      <c r="EO44" s="49" t="s">
        <v>502</v>
      </c>
      <c r="EP44" s="46" t="s">
        <v>502</v>
      </c>
      <c r="EQ44" s="46" t="s">
        <v>502</v>
      </c>
      <c r="ER44" s="49" t="s">
        <v>502</v>
      </c>
      <c r="ES44" s="46" t="s">
        <v>502</v>
      </c>
      <c r="ET44" s="46" t="s">
        <v>502</v>
      </c>
      <c r="EU44" s="49" t="s">
        <v>502</v>
      </c>
      <c r="EV44" s="46" t="s">
        <v>502</v>
      </c>
      <c r="EW44" s="46" t="s">
        <v>502</v>
      </c>
      <c r="EX44" s="49" t="s">
        <v>502</v>
      </c>
      <c r="EY44" s="46" t="s">
        <v>502</v>
      </c>
      <c r="EZ44" s="46" t="s">
        <v>502</v>
      </c>
      <c r="FA44" s="49" t="s">
        <v>502</v>
      </c>
      <c r="FB44" s="46" t="s">
        <v>502</v>
      </c>
      <c r="FC44" s="46" t="s">
        <v>502</v>
      </c>
      <c r="FD44" s="49" t="s">
        <v>502</v>
      </c>
      <c r="FE44" s="46" t="s">
        <v>502</v>
      </c>
      <c r="FF44" s="46" t="s">
        <v>502</v>
      </c>
      <c r="FG44" s="49" t="s">
        <v>502</v>
      </c>
      <c r="FH44" s="77">
        <v>33333</v>
      </c>
      <c r="FI44" s="78">
        <f t="shared" ref="FI44" si="62">+FH44*5%</f>
        <v>1666.65</v>
      </c>
      <c r="FJ44" s="46">
        <f t="shared" ref="FJ44" si="63">+FH44+FI44</f>
        <v>34999.65</v>
      </c>
      <c r="FK44" s="56">
        <v>29402.5</v>
      </c>
      <c r="FL44" s="78">
        <f t="shared" ref="FL44" si="64">+FK44*19%</f>
        <v>5586.4750000000004</v>
      </c>
      <c r="FM44" s="46">
        <f t="shared" ref="FM44" si="65">+FK44+FL44</f>
        <v>34988.974999999999</v>
      </c>
      <c r="FN44" s="56">
        <v>27000</v>
      </c>
      <c r="FO44" s="78">
        <f t="shared" ref="FO44" si="66">+FN44*19%</f>
        <v>5130</v>
      </c>
      <c r="FP44" s="46">
        <f t="shared" ref="FP44" si="67">+FN44+FO44</f>
        <v>32130</v>
      </c>
      <c r="FQ44" s="46" t="s">
        <v>502</v>
      </c>
      <c r="FR44" s="46" t="s">
        <v>502</v>
      </c>
      <c r="FS44" s="49" t="s">
        <v>502</v>
      </c>
      <c r="FT44" s="46" t="s">
        <v>502</v>
      </c>
      <c r="FU44" s="46" t="s">
        <v>502</v>
      </c>
      <c r="FV44" s="49" t="s">
        <v>502</v>
      </c>
      <c r="FW44" s="50">
        <f t="shared" si="7"/>
        <v>3</v>
      </c>
      <c r="FX44" s="51">
        <f t="shared" si="8"/>
        <v>34039.541666666664</v>
      </c>
      <c r="FY44" s="46">
        <f t="shared" si="6"/>
        <v>34050</v>
      </c>
      <c r="FZ44" s="52" t="s">
        <v>504</v>
      </c>
    </row>
    <row r="45" spans="1:182" ht="127.5" customHeight="1" x14ac:dyDescent="0.2">
      <c r="A45" s="53">
        <v>42</v>
      </c>
      <c r="B45" s="40" t="s">
        <v>12</v>
      </c>
      <c r="C45" s="41" t="s">
        <v>354</v>
      </c>
      <c r="D45" s="42">
        <v>27111605</v>
      </c>
      <c r="E45" s="43" t="s">
        <v>519</v>
      </c>
      <c r="F45" s="44" t="s">
        <v>86</v>
      </c>
      <c r="G45" s="66"/>
      <c r="H45" s="46" t="s">
        <v>502</v>
      </c>
      <c r="I45" s="46" t="s">
        <v>502</v>
      </c>
      <c r="J45" s="46" t="s">
        <v>502</v>
      </c>
      <c r="K45" s="46" t="s">
        <v>502</v>
      </c>
      <c r="L45" s="46" t="s">
        <v>502</v>
      </c>
      <c r="M45" s="46" t="s">
        <v>502</v>
      </c>
      <c r="N45" s="46" t="s">
        <v>502</v>
      </c>
      <c r="O45" s="46" t="s">
        <v>502</v>
      </c>
      <c r="P45" s="46" t="s">
        <v>502</v>
      </c>
      <c r="Q45" s="46" t="s">
        <v>502</v>
      </c>
      <c r="R45" s="46" t="s">
        <v>502</v>
      </c>
      <c r="S45" s="46" t="s">
        <v>502</v>
      </c>
      <c r="T45" s="46" t="s">
        <v>502</v>
      </c>
      <c r="U45" s="46" t="s">
        <v>502</v>
      </c>
      <c r="V45" s="46" t="s">
        <v>502</v>
      </c>
      <c r="W45" s="46" t="s">
        <v>502</v>
      </c>
      <c r="X45" s="46" t="s">
        <v>502</v>
      </c>
      <c r="Y45" s="46" t="s">
        <v>502</v>
      </c>
      <c r="Z45" s="46" t="s">
        <v>502</v>
      </c>
      <c r="AA45" s="46" t="s">
        <v>502</v>
      </c>
      <c r="AB45" s="46" t="s">
        <v>502</v>
      </c>
      <c r="AC45" s="46" t="s">
        <v>502</v>
      </c>
      <c r="AD45" s="46" t="s">
        <v>502</v>
      </c>
      <c r="AE45" s="46" t="s">
        <v>502</v>
      </c>
      <c r="AF45" s="46" t="s">
        <v>502</v>
      </c>
      <c r="AG45" s="46" t="s">
        <v>502</v>
      </c>
      <c r="AH45" s="46" t="s">
        <v>502</v>
      </c>
      <c r="AI45" s="46" t="s">
        <v>502</v>
      </c>
      <c r="AJ45" s="46" t="s">
        <v>502</v>
      </c>
      <c r="AK45" s="46" t="s">
        <v>502</v>
      </c>
      <c r="AL45" s="46" t="s">
        <v>502</v>
      </c>
      <c r="AM45" s="46" t="s">
        <v>502</v>
      </c>
      <c r="AN45" s="49" t="s">
        <v>502</v>
      </c>
      <c r="AO45" s="46" t="s">
        <v>502</v>
      </c>
      <c r="AP45" s="46" t="s">
        <v>502</v>
      </c>
      <c r="AQ45" s="49" t="s">
        <v>502</v>
      </c>
      <c r="AR45" s="46" t="s">
        <v>502</v>
      </c>
      <c r="AS45" s="46" t="s">
        <v>502</v>
      </c>
      <c r="AT45" s="49" t="s">
        <v>502</v>
      </c>
      <c r="AU45" s="46" t="s">
        <v>502</v>
      </c>
      <c r="AV45" s="46" t="s">
        <v>502</v>
      </c>
      <c r="AW45" s="49" t="s">
        <v>502</v>
      </c>
      <c r="AX45" s="46" t="s">
        <v>502</v>
      </c>
      <c r="AY45" s="46" t="s">
        <v>502</v>
      </c>
      <c r="AZ45" s="49" t="s">
        <v>502</v>
      </c>
      <c r="BA45" s="46" t="s">
        <v>502</v>
      </c>
      <c r="BB45" s="46" t="s">
        <v>502</v>
      </c>
      <c r="BC45" s="49" t="s">
        <v>502</v>
      </c>
      <c r="BD45" s="46" t="s">
        <v>502</v>
      </c>
      <c r="BE45" s="46" t="s">
        <v>502</v>
      </c>
      <c r="BF45" s="49" t="s">
        <v>502</v>
      </c>
      <c r="BG45" s="46" t="s">
        <v>502</v>
      </c>
      <c r="BH45" s="46" t="s">
        <v>502</v>
      </c>
      <c r="BI45" s="49" t="s">
        <v>502</v>
      </c>
      <c r="BJ45" s="46" t="s">
        <v>502</v>
      </c>
      <c r="BK45" s="46" t="s">
        <v>502</v>
      </c>
      <c r="BL45" s="49" t="s">
        <v>502</v>
      </c>
      <c r="BM45" s="46" t="s">
        <v>502</v>
      </c>
      <c r="BN45" s="46" t="s">
        <v>502</v>
      </c>
      <c r="BO45" s="49" t="s">
        <v>502</v>
      </c>
      <c r="BP45" s="46" t="s">
        <v>502</v>
      </c>
      <c r="BQ45" s="46" t="s">
        <v>502</v>
      </c>
      <c r="BR45" s="49" t="s">
        <v>502</v>
      </c>
      <c r="BS45" s="46" t="s">
        <v>502</v>
      </c>
      <c r="BT45" s="46" t="s">
        <v>502</v>
      </c>
      <c r="BU45" s="49" t="s">
        <v>502</v>
      </c>
      <c r="BV45" s="46" t="s">
        <v>502</v>
      </c>
      <c r="BW45" s="46" t="s">
        <v>502</v>
      </c>
      <c r="BX45" s="49" t="s">
        <v>502</v>
      </c>
      <c r="BY45" s="46" t="s">
        <v>502</v>
      </c>
      <c r="BZ45" s="46" t="s">
        <v>502</v>
      </c>
      <c r="CA45" s="49" t="s">
        <v>502</v>
      </c>
      <c r="CB45" s="46" t="s">
        <v>502</v>
      </c>
      <c r="CC45" s="46" t="s">
        <v>502</v>
      </c>
      <c r="CD45" s="49" t="s">
        <v>502</v>
      </c>
      <c r="CE45" s="46" t="s">
        <v>502</v>
      </c>
      <c r="CF45" s="46" t="s">
        <v>502</v>
      </c>
      <c r="CG45" s="49" t="s">
        <v>502</v>
      </c>
      <c r="CH45" s="46">
        <f>82900/1.05</f>
        <v>78952.380952380947</v>
      </c>
      <c r="CI45" s="46">
        <f>+CH45*5%</f>
        <v>3947.6190476190477</v>
      </c>
      <c r="CJ45" s="46">
        <f>+CH45+CI45</f>
        <v>82900</v>
      </c>
      <c r="CK45" s="46">
        <f>74990/1.05</f>
        <v>71419.047619047618</v>
      </c>
      <c r="CL45" s="46">
        <f>+CK45*5%</f>
        <v>3570.9523809523812</v>
      </c>
      <c r="CM45" s="46">
        <f>+CK45+CL45</f>
        <v>74990</v>
      </c>
      <c r="CN45" s="46" t="s">
        <v>502</v>
      </c>
      <c r="CO45" s="46" t="s">
        <v>502</v>
      </c>
      <c r="CP45" s="49" t="s">
        <v>502</v>
      </c>
      <c r="CQ45" s="46" t="s">
        <v>502</v>
      </c>
      <c r="CR45" s="46" t="s">
        <v>502</v>
      </c>
      <c r="CS45" s="49" t="s">
        <v>502</v>
      </c>
      <c r="CT45" s="46" t="s">
        <v>502</v>
      </c>
      <c r="CU45" s="46" t="s">
        <v>502</v>
      </c>
      <c r="CV45" s="49" t="s">
        <v>502</v>
      </c>
      <c r="CW45" s="46" t="s">
        <v>502</v>
      </c>
      <c r="CX45" s="46" t="s">
        <v>502</v>
      </c>
      <c r="CY45" s="49" t="s">
        <v>502</v>
      </c>
      <c r="CZ45" s="46" t="s">
        <v>502</v>
      </c>
      <c r="DA45" s="46" t="s">
        <v>502</v>
      </c>
      <c r="DB45" s="49" t="s">
        <v>502</v>
      </c>
      <c r="DC45" s="46" t="s">
        <v>502</v>
      </c>
      <c r="DD45" s="46" t="s">
        <v>502</v>
      </c>
      <c r="DE45" s="49" t="s">
        <v>502</v>
      </c>
      <c r="DF45" s="46" t="s">
        <v>502</v>
      </c>
      <c r="DG45" s="46" t="s">
        <v>502</v>
      </c>
      <c r="DH45" s="49" t="s">
        <v>502</v>
      </c>
      <c r="DI45" s="46" t="s">
        <v>502</v>
      </c>
      <c r="DJ45" s="46" t="s">
        <v>502</v>
      </c>
      <c r="DK45" s="49" t="s">
        <v>502</v>
      </c>
      <c r="DL45" s="46" t="s">
        <v>502</v>
      </c>
      <c r="DM45" s="46" t="s">
        <v>502</v>
      </c>
      <c r="DN45" s="49" t="s">
        <v>502</v>
      </c>
      <c r="DO45" s="46" t="s">
        <v>502</v>
      </c>
      <c r="DP45" s="46" t="s">
        <v>502</v>
      </c>
      <c r="DQ45" s="49" t="s">
        <v>502</v>
      </c>
      <c r="DR45" s="46" t="s">
        <v>502</v>
      </c>
      <c r="DS45" s="46" t="s">
        <v>502</v>
      </c>
      <c r="DT45" s="49" t="s">
        <v>502</v>
      </c>
      <c r="DU45" s="46" t="s">
        <v>502</v>
      </c>
      <c r="DV45" s="46" t="s">
        <v>502</v>
      </c>
      <c r="DW45" s="49" t="s">
        <v>502</v>
      </c>
      <c r="DX45" s="46" t="s">
        <v>502</v>
      </c>
      <c r="DY45" s="46" t="s">
        <v>502</v>
      </c>
      <c r="DZ45" s="49" t="s">
        <v>502</v>
      </c>
      <c r="EA45" s="46" t="s">
        <v>502</v>
      </c>
      <c r="EB45" s="46" t="s">
        <v>502</v>
      </c>
      <c r="EC45" s="49" t="s">
        <v>502</v>
      </c>
      <c r="ED45" s="46" t="s">
        <v>502</v>
      </c>
      <c r="EE45" s="46" t="s">
        <v>502</v>
      </c>
      <c r="EF45" s="49" t="s">
        <v>502</v>
      </c>
      <c r="EG45" s="46" t="s">
        <v>502</v>
      </c>
      <c r="EH45" s="46" t="s">
        <v>502</v>
      </c>
      <c r="EI45" s="49" t="s">
        <v>502</v>
      </c>
      <c r="EJ45" s="46" t="s">
        <v>502</v>
      </c>
      <c r="EK45" s="46" t="s">
        <v>502</v>
      </c>
      <c r="EL45" s="49" t="s">
        <v>502</v>
      </c>
      <c r="EM45" s="46" t="s">
        <v>502</v>
      </c>
      <c r="EN45" s="46" t="s">
        <v>502</v>
      </c>
      <c r="EO45" s="49" t="s">
        <v>502</v>
      </c>
      <c r="EP45" s="46" t="s">
        <v>502</v>
      </c>
      <c r="EQ45" s="46" t="s">
        <v>502</v>
      </c>
      <c r="ER45" s="49" t="s">
        <v>502</v>
      </c>
      <c r="ES45" s="46" t="s">
        <v>502</v>
      </c>
      <c r="ET45" s="46" t="s">
        <v>502</v>
      </c>
      <c r="EU45" s="49" t="s">
        <v>502</v>
      </c>
      <c r="EV45" s="46" t="s">
        <v>502</v>
      </c>
      <c r="EW45" s="46" t="s">
        <v>502</v>
      </c>
      <c r="EX45" s="49" t="s">
        <v>502</v>
      </c>
      <c r="EY45" s="46" t="s">
        <v>502</v>
      </c>
      <c r="EZ45" s="46" t="s">
        <v>502</v>
      </c>
      <c r="FA45" s="49" t="s">
        <v>502</v>
      </c>
      <c r="FB45" s="46" t="s">
        <v>503</v>
      </c>
      <c r="FC45" s="46" t="s">
        <v>503</v>
      </c>
      <c r="FD45" s="46" t="s">
        <v>503</v>
      </c>
      <c r="FE45" s="46" t="s">
        <v>502</v>
      </c>
      <c r="FF45" s="46" t="s">
        <v>502</v>
      </c>
      <c r="FG45" s="49" t="s">
        <v>502</v>
      </c>
      <c r="FH45" s="46" t="s">
        <v>502</v>
      </c>
      <c r="FI45" s="46" t="s">
        <v>502</v>
      </c>
      <c r="FJ45" s="49" t="s">
        <v>502</v>
      </c>
      <c r="FK45" s="46" t="s">
        <v>502</v>
      </c>
      <c r="FL45" s="46" t="s">
        <v>502</v>
      </c>
      <c r="FM45" s="49" t="s">
        <v>502</v>
      </c>
      <c r="FN45" s="46" t="s">
        <v>502</v>
      </c>
      <c r="FO45" s="46" t="s">
        <v>502</v>
      </c>
      <c r="FP45" s="49" t="s">
        <v>502</v>
      </c>
      <c r="FQ45" s="46" t="s">
        <v>502</v>
      </c>
      <c r="FR45" s="46" t="s">
        <v>502</v>
      </c>
      <c r="FS45" s="49" t="s">
        <v>502</v>
      </c>
      <c r="FT45" s="46" t="s">
        <v>502</v>
      </c>
      <c r="FU45" s="46" t="s">
        <v>502</v>
      </c>
      <c r="FV45" s="49" t="s">
        <v>502</v>
      </c>
      <c r="FW45" s="50">
        <f t="shared" si="7"/>
        <v>2</v>
      </c>
      <c r="FX45" s="51">
        <f t="shared" si="8"/>
        <v>78945</v>
      </c>
      <c r="FY45" s="46">
        <f t="shared" si="6"/>
        <v>78950</v>
      </c>
      <c r="FZ45" s="52" t="s">
        <v>504</v>
      </c>
    </row>
    <row r="46" spans="1:182" ht="194.25" customHeight="1" x14ac:dyDescent="0.2">
      <c r="A46" s="39">
        <v>43</v>
      </c>
      <c r="B46" s="40" t="s">
        <v>12</v>
      </c>
      <c r="C46" s="41" t="s">
        <v>160</v>
      </c>
      <c r="D46" s="42">
        <v>53101800</v>
      </c>
      <c r="E46" s="43" t="s">
        <v>161</v>
      </c>
      <c r="F46" s="44" t="s">
        <v>86</v>
      </c>
      <c r="G46" s="66" t="s">
        <v>501</v>
      </c>
      <c r="H46" s="56">
        <v>80000</v>
      </c>
      <c r="I46" s="47">
        <f>+H46*19%</f>
        <v>15200</v>
      </c>
      <c r="J46" s="48">
        <f>+H46+I46</f>
        <v>95200</v>
      </c>
      <c r="K46" s="56">
        <v>75000</v>
      </c>
      <c r="L46" s="47">
        <f t="shared" ref="L46:L48" si="68">+K46*19%</f>
        <v>14250</v>
      </c>
      <c r="M46" s="48">
        <f t="shared" ref="M46:M48" si="69">+K46+L46</f>
        <v>89250</v>
      </c>
      <c r="N46" s="46" t="s">
        <v>503</v>
      </c>
      <c r="O46" s="46" t="s">
        <v>503</v>
      </c>
      <c r="P46" s="46" t="s">
        <v>503</v>
      </c>
      <c r="Q46" s="46" t="s">
        <v>503</v>
      </c>
      <c r="R46" s="46" t="s">
        <v>503</v>
      </c>
      <c r="S46" s="46" t="s">
        <v>503</v>
      </c>
      <c r="T46" s="46" t="s">
        <v>502</v>
      </c>
      <c r="U46" s="46" t="s">
        <v>502</v>
      </c>
      <c r="V46" s="46" t="s">
        <v>502</v>
      </c>
      <c r="W46" s="46" t="s">
        <v>502</v>
      </c>
      <c r="X46" s="46" t="s">
        <v>502</v>
      </c>
      <c r="Y46" s="46" t="s">
        <v>502</v>
      </c>
      <c r="Z46" s="46" t="s">
        <v>502</v>
      </c>
      <c r="AA46" s="46" t="s">
        <v>502</v>
      </c>
      <c r="AB46" s="46" t="s">
        <v>502</v>
      </c>
      <c r="AC46" s="46" t="s">
        <v>502</v>
      </c>
      <c r="AD46" s="46" t="s">
        <v>502</v>
      </c>
      <c r="AE46" s="46" t="s">
        <v>502</v>
      </c>
      <c r="AF46" s="46" t="s">
        <v>502</v>
      </c>
      <c r="AG46" s="46" t="s">
        <v>502</v>
      </c>
      <c r="AH46" s="46" t="s">
        <v>502</v>
      </c>
      <c r="AI46" s="46" t="s">
        <v>502</v>
      </c>
      <c r="AJ46" s="46" t="s">
        <v>502</v>
      </c>
      <c r="AK46" s="46" t="s">
        <v>502</v>
      </c>
      <c r="AL46" s="46" t="s">
        <v>502</v>
      </c>
      <c r="AM46" s="46" t="s">
        <v>502</v>
      </c>
      <c r="AN46" s="49" t="s">
        <v>502</v>
      </c>
      <c r="AO46" s="46" t="s">
        <v>502</v>
      </c>
      <c r="AP46" s="46" t="s">
        <v>502</v>
      </c>
      <c r="AQ46" s="49" t="s">
        <v>502</v>
      </c>
      <c r="AR46" s="46" t="s">
        <v>502</v>
      </c>
      <c r="AS46" s="46" t="s">
        <v>502</v>
      </c>
      <c r="AT46" s="49" t="s">
        <v>502</v>
      </c>
      <c r="AU46" s="46" t="s">
        <v>502</v>
      </c>
      <c r="AV46" s="46" t="s">
        <v>502</v>
      </c>
      <c r="AW46" s="49" t="s">
        <v>502</v>
      </c>
      <c r="AX46" s="46" t="s">
        <v>502</v>
      </c>
      <c r="AY46" s="46" t="s">
        <v>502</v>
      </c>
      <c r="AZ46" s="49" t="s">
        <v>502</v>
      </c>
      <c r="BA46" s="46" t="s">
        <v>502</v>
      </c>
      <c r="BB46" s="46" t="s">
        <v>502</v>
      </c>
      <c r="BC46" s="49" t="s">
        <v>502</v>
      </c>
      <c r="BD46" s="46" t="s">
        <v>502</v>
      </c>
      <c r="BE46" s="46" t="s">
        <v>502</v>
      </c>
      <c r="BF46" s="49" t="s">
        <v>502</v>
      </c>
      <c r="BG46" s="46" t="s">
        <v>502</v>
      </c>
      <c r="BH46" s="46" t="s">
        <v>502</v>
      </c>
      <c r="BI46" s="49" t="s">
        <v>502</v>
      </c>
      <c r="BJ46" s="46" t="s">
        <v>502</v>
      </c>
      <c r="BK46" s="46" t="s">
        <v>502</v>
      </c>
      <c r="BL46" s="49" t="s">
        <v>502</v>
      </c>
      <c r="BM46" s="46" t="s">
        <v>502</v>
      </c>
      <c r="BN46" s="46" t="s">
        <v>502</v>
      </c>
      <c r="BO46" s="49" t="s">
        <v>502</v>
      </c>
      <c r="BP46" s="46" t="s">
        <v>502</v>
      </c>
      <c r="BQ46" s="46" t="s">
        <v>502</v>
      </c>
      <c r="BR46" s="49" t="s">
        <v>502</v>
      </c>
      <c r="BS46" s="46" t="s">
        <v>502</v>
      </c>
      <c r="BT46" s="46" t="s">
        <v>502</v>
      </c>
      <c r="BU46" s="49" t="s">
        <v>502</v>
      </c>
      <c r="BV46" s="46" t="s">
        <v>502</v>
      </c>
      <c r="BW46" s="46" t="s">
        <v>502</v>
      </c>
      <c r="BX46" s="49" t="s">
        <v>502</v>
      </c>
      <c r="BY46" s="46" t="s">
        <v>502</v>
      </c>
      <c r="BZ46" s="46" t="s">
        <v>502</v>
      </c>
      <c r="CA46" s="49" t="s">
        <v>502</v>
      </c>
      <c r="CB46" s="46" t="s">
        <v>502</v>
      </c>
      <c r="CC46" s="46" t="s">
        <v>502</v>
      </c>
      <c r="CD46" s="49" t="s">
        <v>502</v>
      </c>
      <c r="CE46" s="46" t="s">
        <v>502</v>
      </c>
      <c r="CF46" s="46" t="s">
        <v>502</v>
      </c>
      <c r="CG46" s="49" t="s">
        <v>502</v>
      </c>
      <c r="CH46" s="46" t="s">
        <v>502</v>
      </c>
      <c r="CI46" s="46" t="s">
        <v>502</v>
      </c>
      <c r="CJ46" s="49" t="s">
        <v>502</v>
      </c>
      <c r="CK46" s="46" t="s">
        <v>502</v>
      </c>
      <c r="CL46" s="46" t="s">
        <v>502</v>
      </c>
      <c r="CM46" s="49" t="s">
        <v>502</v>
      </c>
      <c r="CN46" s="46" t="s">
        <v>502</v>
      </c>
      <c r="CO46" s="46" t="s">
        <v>502</v>
      </c>
      <c r="CP46" s="49" t="s">
        <v>502</v>
      </c>
      <c r="CQ46" s="46" t="s">
        <v>502</v>
      </c>
      <c r="CR46" s="46" t="s">
        <v>502</v>
      </c>
      <c r="CS46" s="49" t="s">
        <v>502</v>
      </c>
      <c r="CT46" s="46" t="s">
        <v>502</v>
      </c>
      <c r="CU46" s="46" t="s">
        <v>502</v>
      </c>
      <c r="CV46" s="49" t="s">
        <v>502</v>
      </c>
      <c r="CW46" s="46" t="s">
        <v>502</v>
      </c>
      <c r="CX46" s="46" t="s">
        <v>502</v>
      </c>
      <c r="CY46" s="49" t="s">
        <v>502</v>
      </c>
      <c r="CZ46" s="46" t="s">
        <v>502</v>
      </c>
      <c r="DA46" s="46" t="s">
        <v>502</v>
      </c>
      <c r="DB46" s="49" t="s">
        <v>502</v>
      </c>
      <c r="DC46" s="46" t="s">
        <v>502</v>
      </c>
      <c r="DD46" s="46" t="s">
        <v>502</v>
      </c>
      <c r="DE46" s="49" t="s">
        <v>502</v>
      </c>
      <c r="DF46" s="46" t="s">
        <v>502</v>
      </c>
      <c r="DG46" s="46" t="s">
        <v>502</v>
      </c>
      <c r="DH46" s="49" t="s">
        <v>502</v>
      </c>
      <c r="DI46" s="46" t="s">
        <v>502</v>
      </c>
      <c r="DJ46" s="46" t="s">
        <v>502</v>
      </c>
      <c r="DK46" s="49" t="s">
        <v>502</v>
      </c>
      <c r="DL46" s="46" t="s">
        <v>502</v>
      </c>
      <c r="DM46" s="46" t="s">
        <v>502</v>
      </c>
      <c r="DN46" s="49" t="s">
        <v>502</v>
      </c>
      <c r="DO46" s="46" t="s">
        <v>502</v>
      </c>
      <c r="DP46" s="46" t="s">
        <v>502</v>
      </c>
      <c r="DQ46" s="49" t="s">
        <v>502</v>
      </c>
      <c r="DR46" s="46" t="s">
        <v>502</v>
      </c>
      <c r="DS46" s="46" t="s">
        <v>502</v>
      </c>
      <c r="DT46" s="49" t="s">
        <v>502</v>
      </c>
      <c r="DU46" s="46" t="s">
        <v>502</v>
      </c>
      <c r="DV46" s="46" t="s">
        <v>502</v>
      </c>
      <c r="DW46" s="49" t="s">
        <v>502</v>
      </c>
      <c r="DX46" s="46" t="s">
        <v>502</v>
      </c>
      <c r="DY46" s="46" t="s">
        <v>502</v>
      </c>
      <c r="DZ46" s="49" t="s">
        <v>502</v>
      </c>
      <c r="EA46" s="46" t="s">
        <v>502</v>
      </c>
      <c r="EB46" s="46" t="s">
        <v>502</v>
      </c>
      <c r="EC46" s="49" t="s">
        <v>502</v>
      </c>
      <c r="ED46" s="46" t="s">
        <v>502</v>
      </c>
      <c r="EE46" s="46" t="s">
        <v>502</v>
      </c>
      <c r="EF46" s="49" t="s">
        <v>502</v>
      </c>
      <c r="EG46" s="46" t="s">
        <v>502</v>
      </c>
      <c r="EH46" s="46" t="s">
        <v>502</v>
      </c>
      <c r="EI46" s="49" t="s">
        <v>502</v>
      </c>
      <c r="EJ46" s="46" t="s">
        <v>502</v>
      </c>
      <c r="EK46" s="46" t="s">
        <v>502</v>
      </c>
      <c r="EL46" s="49" t="s">
        <v>502</v>
      </c>
      <c r="EM46" s="46" t="s">
        <v>502</v>
      </c>
      <c r="EN46" s="46" t="s">
        <v>502</v>
      </c>
      <c r="EO46" s="49" t="s">
        <v>502</v>
      </c>
      <c r="EP46" s="46" t="s">
        <v>502</v>
      </c>
      <c r="EQ46" s="46" t="s">
        <v>502</v>
      </c>
      <c r="ER46" s="49" t="s">
        <v>502</v>
      </c>
      <c r="ES46" s="46" t="s">
        <v>502</v>
      </c>
      <c r="ET46" s="46" t="s">
        <v>502</v>
      </c>
      <c r="EU46" s="49" t="s">
        <v>502</v>
      </c>
      <c r="EV46" s="46" t="s">
        <v>502</v>
      </c>
      <c r="EW46" s="46" t="s">
        <v>502</v>
      </c>
      <c r="EX46" s="49" t="s">
        <v>502</v>
      </c>
      <c r="EY46" s="46" t="s">
        <v>502</v>
      </c>
      <c r="EZ46" s="46" t="s">
        <v>502</v>
      </c>
      <c r="FA46" s="49" t="s">
        <v>502</v>
      </c>
      <c r="FB46" s="46" t="s">
        <v>502</v>
      </c>
      <c r="FC46" s="46" t="s">
        <v>502</v>
      </c>
      <c r="FD46" s="49" t="s">
        <v>502</v>
      </c>
      <c r="FE46" s="46" t="s">
        <v>502</v>
      </c>
      <c r="FF46" s="46" t="s">
        <v>502</v>
      </c>
      <c r="FG46" s="49" t="s">
        <v>502</v>
      </c>
      <c r="FH46" s="46" t="s">
        <v>502</v>
      </c>
      <c r="FI46" s="46" t="s">
        <v>502</v>
      </c>
      <c r="FJ46" s="49" t="s">
        <v>502</v>
      </c>
      <c r="FK46" s="46" t="s">
        <v>502</v>
      </c>
      <c r="FL46" s="46" t="s">
        <v>502</v>
      </c>
      <c r="FM46" s="49" t="s">
        <v>502</v>
      </c>
      <c r="FN46" s="46" t="s">
        <v>502</v>
      </c>
      <c r="FO46" s="46" t="s">
        <v>502</v>
      </c>
      <c r="FP46" s="49" t="s">
        <v>502</v>
      </c>
      <c r="FQ46" s="46" t="s">
        <v>502</v>
      </c>
      <c r="FR46" s="46" t="s">
        <v>502</v>
      </c>
      <c r="FS46" s="49" t="s">
        <v>502</v>
      </c>
      <c r="FT46" s="46" t="s">
        <v>502</v>
      </c>
      <c r="FU46" s="46" t="s">
        <v>502</v>
      </c>
      <c r="FV46" s="49" t="s">
        <v>502</v>
      </c>
      <c r="FW46" s="50">
        <f t="shared" si="7"/>
        <v>2</v>
      </c>
      <c r="FX46" s="51">
        <f t="shared" si="8"/>
        <v>92225</v>
      </c>
      <c r="FY46" s="46">
        <f t="shared" si="6"/>
        <v>92250</v>
      </c>
      <c r="FZ46" s="52" t="s">
        <v>504</v>
      </c>
    </row>
    <row r="47" spans="1:182" ht="111.75" customHeight="1" x14ac:dyDescent="0.2">
      <c r="A47" s="39">
        <v>44</v>
      </c>
      <c r="B47" s="40" t="s">
        <v>12</v>
      </c>
      <c r="C47" s="41" t="s">
        <v>162</v>
      </c>
      <c r="D47" s="42">
        <v>53102516</v>
      </c>
      <c r="E47" s="43" t="s">
        <v>520</v>
      </c>
      <c r="F47" s="44" t="s">
        <v>86</v>
      </c>
      <c r="G47" s="66" t="s">
        <v>501</v>
      </c>
      <c r="H47" s="56">
        <v>31500</v>
      </c>
      <c r="I47" s="47">
        <f>+H47*19%</f>
        <v>5985</v>
      </c>
      <c r="J47" s="48">
        <f>+H47+I47</f>
        <v>37485</v>
      </c>
      <c r="K47" s="46" t="s">
        <v>503</v>
      </c>
      <c r="L47" s="46" t="s">
        <v>503</v>
      </c>
      <c r="M47" s="46" t="s">
        <v>503</v>
      </c>
      <c r="N47" s="56">
        <v>27500</v>
      </c>
      <c r="O47" s="47">
        <f t="shared" ref="O47" si="70">+N47*19%</f>
        <v>5225</v>
      </c>
      <c r="P47" s="48">
        <f t="shared" ref="P47" si="71">+N47+O47</f>
        <v>32725</v>
      </c>
      <c r="Q47" s="46" t="s">
        <v>503</v>
      </c>
      <c r="R47" s="46" t="s">
        <v>503</v>
      </c>
      <c r="S47" s="46" t="s">
        <v>503</v>
      </c>
      <c r="T47" s="46" t="s">
        <v>502</v>
      </c>
      <c r="U47" s="46" t="s">
        <v>502</v>
      </c>
      <c r="V47" s="46" t="s">
        <v>502</v>
      </c>
      <c r="W47" s="46" t="s">
        <v>502</v>
      </c>
      <c r="X47" s="46" t="s">
        <v>502</v>
      </c>
      <c r="Y47" s="46" t="s">
        <v>502</v>
      </c>
      <c r="Z47" s="46" t="s">
        <v>502</v>
      </c>
      <c r="AA47" s="46" t="s">
        <v>502</v>
      </c>
      <c r="AB47" s="46" t="s">
        <v>502</v>
      </c>
      <c r="AC47" s="46" t="s">
        <v>502</v>
      </c>
      <c r="AD47" s="46" t="s">
        <v>502</v>
      </c>
      <c r="AE47" s="46" t="s">
        <v>502</v>
      </c>
      <c r="AF47" s="46" t="s">
        <v>502</v>
      </c>
      <c r="AG47" s="46" t="s">
        <v>502</v>
      </c>
      <c r="AH47" s="46" t="s">
        <v>502</v>
      </c>
      <c r="AI47" s="46" t="s">
        <v>502</v>
      </c>
      <c r="AJ47" s="46" t="s">
        <v>502</v>
      </c>
      <c r="AK47" s="46" t="s">
        <v>502</v>
      </c>
      <c r="AL47" s="46" t="s">
        <v>502</v>
      </c>
      <c r="AM47" s="46" t="s">
        <v>502</v>
      </c>
      <c r="AN47" s="49" t="s">
        <v>502</v>
      </c>
      <c r="AO47" s="46" t="s">
        <v>502</v>
      </c>
      <c r="AP47" s="46" t="s">
        <v>502</v>
      </c>
      <c r="AQ47" s="49" t="s">
        <v>502</v>
      </c>
      <c r="AR47" s="46" t="s">
        <v>502</v>
      </c>
      <c r="AS47" s="46" t="s">
        <v>502</v>
      </c>
      <c r="AT47" s="49" t="s">
        <v>502</v>
      </c>
      <c r="AU47" s="46" t="s">
        <v>502</v>
      </c>
      <c r="AV47" s="46" t="s">
        <v>502</v>
      </c>
      <c r="AW47" s="49" t="s">
        <v>502</v>
      </c>
      <c r="AX47" s="46" t="s">
        <v>502</v>
      </c>
      <c r="AY47" s="46" t="s">
        <v>502</v>
      </c>
      <c r="AZ47" s="49" t="s">
        <v>502</v>
      </c>
      <c r="BA47" s="46" t="s">
        <v>502</v>
      </c>
      <c r="BB47" s="46" t="s">
        <v>502</v>
      </c>
      <c r="BC47" s="49" t="s">
        <v>502</v>
      </c>
      <c r="BD47" s="46" t="s">
        <v>502</v>
      </c>
      <c r="BE47" s="46" t="s">
        <v>502</v>
      </c>
      <c r="BF47" s="49" t="s">
        <v>502</v>
      </c>
      <c r="BG47" s="46" t="s">
        <v>502</v>
      </c>
      <c r="BH47" s="46" t="s">
        <v>502</v>
      </c>
      <c r="BI47" s="49" t="s">
        <v>502</v>
      </c>
      <c r="BJ47" s="46" t="s">
        <v>502</v>
      </c>
      <c r="BK47" s="46" t="s">
        <v>502</v>
      </c>
      <c r="BL47" s="49" t="s">
        <v>502</v>
      </c>
      <c r="BM47" s="46" t="s">
        <v>502</v>
      </c>
      <c r="BN47" s="46" t="s">
        <v>502</v>
      </c>
      <c r="BO47" s="49" t="s">
        <v>502</v>
      </c>
      <c r="BP47" s="46" t="s">
        <v>502</v>
      </c>
      <c r="BQ47" s="46" t="s">
        <v>502</v>
      </c>
      <c r="BR47" s="49" t="s">
        <v>502</v>
      </c>
      <c r="BS47" s="46" t="s">
        <v>502</v>
      </c>
      <c r="BT47" s="46" t="s">
        <v>502</v>
      </c>
      <c r="BU47" s="49" t="s">
        <v>502</v>
      </c>
      <c r="BV47" s="46" t="s">
        <v>502</v>
      </c>
      <c r="BW47" s="46" t="s">
        <v>502</v>
      </c>
      <c r="BX47" s="49" t="s">
        <v>502</v>
      </c>
      <c r="BY47" s="46" t="s">
        <v>502</v>
      </c>
      <c r="BZ47" s="46" t="s">
        <v>502</v>
      </c>
      <c r="CA47" s="49" t="s">
        <v>502</v>
      </c>
      <c r="CB47" s="46" t="s">
        <v>502</v>
      </c>
      <c r="CC47" s="46" t="s">
        <v>502</v>
      </c>
      <c r="CD47" s="49" t="s">
        <v>502</v>
      </c>
      <c r="CE47" s="46" t="s">
        <v>502</v>
      </c>
      <c r="CF47" s="46" t="s">
        <v>502</v>
      </c>
      <c r="CG47" s="49" t="s">
        <v>502</v>
      </c>
      <c r="CH47" s="46" t="s">
        <v>502</v>
      </c>
      <c r="CI47" s="46" t="s">
        <v>502</v>
      </c>
      <c r="CJ47" s="49" t="s">
        <v>502</v>
      </c>
      <c r="CK47" s="46" t="s">
        <v>502</v>
      </c>
      <c r="CL47" s="46" t="s">
        <v>502</v>
      </c>
      <c r="CM47" s="49" t="s">
        <v>502</v>
      </c>
      <c r="CN47" s="46" t="s">
        <v>502</v>
      </c>
      <c r="CO47" s="46" t="s">
        <v>502</v>
      </c>
      <c r="CP47" s="49" t="s">
        <v>502</v>
      </c>
      <c r="CQ47" s="46" t="s">
        <v>502</v>
      </c>
      <c r="CR47" s="46" t="s">
        <v>502</v>
      </c>
      <c r="CS47" s="49" t="s">
        <v>502</v>
      </c>
      <c r="CT47" s="46" t="s">
        <v>502</v>
      </c>
      <c r="CU47" s="46" t="s">
        <v>502</v>
      </c>
      <c r="CV47" s="49" t="s">
        <v>502</v>
      </c>
      <c r="CW47" s="46" t="s">
        <v>502</v>
      </c>
      <c r="CX47" s="46" t="s">
        <v>502</v>
      </c>
      <c r="CY47" s="49" t="s">
        <v>502</v>
      </c>
      <c r="CZ47" s="46" t="s">
        <v>502</v>
      </c>
      <c r="DA47" s="46" t="s">
        <v>502</v>
      </c>
      <c r="DB47" s="49" t="s">
        <v>502</v>
      </c>
      <c r="DC47" s="46" t="s">
        <v>502</v>
      </c>
      <c r="DD47" s="46" t="s">
        <v>502</v>
      </c>
      <c r="DE47" s="49" t="s">
        <v>502</v>
      </c>
      <c r="DF47" s="46" t="s">
        <v>502</v>
      </c>
      <c r="DG47" s="46" t="s">
        <v>502</v>
      </c>
      <c r="DH47" s="49" t="s">
        <v>502</v>
      </c>
      <c r="DI47" s="46" t="s">
        <v>502</v>
      </c>
      <c r="DJ47" s="46" t="s">
        <v>502</v>
      </c>
      <c r="DK47" s="49" t="s">
        <v>502</v>
      </c>
      <c r="DL47" s="46" t="s">
        <v>502</v>
      </c>
      <c r="DM47" s="46" t="s">
        <v>502</v>
      </c>
      <c r="DN47" s="49" t="s">
        <v>502</v>
      </c>
      <c r="DO47" s="46" t="s">
        <v>502</v>
      </c>
      <c r="DP47" s="46" t="s">
        <v>502</v>
      </c>
      <c r="DQ47" s="49" t="s">
        <v>502</v>
      </c>
      <c r="DR47" s="46" t="s">
        <v>502</v>
      </c>
      <c r="DS47" s="46" t="s">
        <v>502</v>
      </c>
      <c r="DT47" s="49" t="s">
        <v>502</v>
      </c>
      <c r="DU47" s="46" t="s">
        <v>502</v>
      </c>
      <c r="DV47" s="46" t="s">
        <v>502</v>
      </c>
      <c r="DW47" s="49" t="s">
        <v>502</v>
      </c>
      <c r="DX47" s="46" t="s">
        <v>502</v>
      </c>
      <c r="DY47" s="46" t="s">
        <v>502</v>
      </c>
      <c r="DZ47" s="49" t="s">
        <v>502</v>
      </c>
      <c r="EA47" s="46" t="s">
        <v>502</v>
      </c>
      <c r="EB47" s="46" t="s">
        <v>502</v>
      </c>
      <c r="EC47" s="49" t="s">
        <v>502</v>
      </c>
      <c r="ED47" s="46" t="s">
        <v>502</v>
      </c>
      <c r="EE47" s="46" t="s">
        <v>502</v>
      </c>
      <c r="EF47" s="49" t="s">
        <v>502</v>
      </c>
      <c r="EG47" s="46" t="s">
        <v>502</v>
      </c>
      <c r="EH47" s="46" t="s">
        <v>502</v>
      </c>
      <c r="EI47" s="49" t="s">
        <v>502</v>
      </c>
      <c r="EJ47" s="46" t="s">
        <v>502</v>
      </c>
      <c r="EK47" s="46" t="s">
        <v>502</v>
      </c>
      <c r="EL47" s="49" t="s">
        <v>502</v>
      </c>
      <c r="EM47" s="46" t="s">
        <v>502</v>
      </c>
      <c r="EN47" s="46" t="s">
        <v>502</v>
      </c>
      <c r="EO47" s="49" t="s">
        <v>502</v>
      </c>
      <c r="EP47" s="46" t="s">
        <v>502</v>
      </c>
      <c r="EQ47" s="46" t="s">
        <v>502</v>
      </c>
      <c r="ER47" s="49" t="s">
        <v>502</v>
      </c>
      <c r="ES47" s="46" t="s">
        <v>502</v>
      </c>
      <c r="ET47" s="46" t="s">
        <v>502</v>
      </c>
      <c r="EU47" s="49" t="s">
        <v>502</v>
      </c>
      <c r="EV47" s="46" t="s">
        <v>502</v>
      </c>
      <c r="EW47" s="46" t="s">
        <v>502</v>
      </c>
      <c r="EX47" s="49" t="s">
        <v>502</v>
      </c>
      <c r="EY47" s="46" t="s">
        <v>502</v>
      </c>
      <c r="EZ47" s="46" t="s">
        <v>502</v>
      </c>
      <c r="FA47" s="49" t="s">
        <v>502</v>
      </c>
      <c r="FB47" s="46" t="s">
        <v>502</v>
      </c>
      <c r="FC47" s="46" t="s">
        <v>502</v>
      </c>
      <c r="FD47" s="49" t="s">
        <v>502</v>
      </c>
      <c r="FE47" s="46" t="s">
        <v>502</v>
      </c>
      <c r="FF47" s="46" t="s">
        <v>502</v>
      </c>
      <c r="FG47" s="49" t="s">
        <v>502</v>
      </c>
      <c r="FH47" s="46" t="s">
        <v>502</v>
      </c>
      <c r="FI47" s="46" t="s">
        <v>502</v>
      </c>
      <c r="FJ47" s="49" t="s">
        <v>502</v>
      </c>
      <c r="FK47" s="46" t="s">
        <v>502</v>
      </c>
      <c r="FL47" s="46" t="s">
        <v>502</v>
      </c>
      <c r="FM47" s="49" t="s">
        <v>502</v>
      </c>
      <c r="FN47" s="46" t="s">
        <v>502</v>
      </c>
      <c r="FO47" s="46" t="s">
        <v>502</v>
      </c>
      <c r="FP47" s="49" t="s">
        <v>502</v>
      </c>
      <c r="FQ47" s="46" t="s">
        <v>502</v>
      </c>
      <c r="FR47" s="46" t="s">
        <v>502</v>
      </c>
      <c r="FS47" s="49" t="s">
        <v>502</v>
      </c>
      <c r="FT47" s="46" t="s">
        <v>502</v>
      </c>
      <c r="FU47" s="46" t="s">
        <v>502</v>
      </c>
      <c r="FV47" s="49" t="s">
        <v>502</v>
      </c>
      <c r="FW47" s="50">
        <f t="shared" si="7"/>
        <v>2</v>
      </c>
      <c r="FX47" s="51">
        <f t="shared" si="8"/>
        <v>35105</v>
      </c>
      <c r="FY47" s="46">
        <f t="shared" si="6"/>
        <v>35150</v>
      </c>
      <c r="FZ47" s="52" t="s">
        <v>504</v>
      </c>
    </row>
    <row r="48" spans="1:182" ht="138.75" customHeight="1" x14ac:dyDescent="0.2">
      <c r="A48" s="53">
        <v>45</v>
      </c>
      <c r="B48" s="40" t="s">
        <v>12</v>
      </c>
      <c r="C48" s="41" t="s">
        <v>164</v>
      </c>
      <c r="D48" s="42">
        <v>53121602</v>
      </c>
      <c r="E48" s="43" t="s">
        <v>521</v>
      </c>
      <c r="F48" s="44" t="s">
        <v>86</v>
      </c>
      <c r="G48" s="66" t="s">
        <v>501</v>
      </c>
      <c r="H48" s="56">
        <v>10500</v>
      </c>
      <c r="I48" s="47">
        <f>+H48*19%</f>
        <v>1995</v>
      </c>
      <c r="J48" s="48">
        <f>+H48+I48</f>
        <v>12495</v>
      </c>
      <c r="K48" s="56">
        <v>13500</v>
      </c>
      <c r="L48" s="47">
        <f t="shared" si="68"/>
        <v>2565</v>
      </c>
      <c r="M48" s="48">
        <f t="shared" si="69"/>
        <v>16065</v>
      </c>
      <c r="N48" s="46" t="s">
        <v>503</v>
      </c>
      <c r="O48" s="46" t="s">
        <v>503</v>
      </c>
      <c r="P48" s="46" t="s">
        <v>503</v>
      </c>
      <c r="Q48" s="46" t="s">
        <v>503</v>
      </c>
      <c r="R48" s="46" t="s">
        <v>503</v>
      </c>
      <c r="S48" s="46" t="s">
        <v>503</v>
      </c>
      <c r="T48" s="46" t="s">
        <v>502</v>
      </c>
      <c r="U48" s="46" t="s">
        <v>502</v>
      </c>
      <c r="V48" s="46" t="s">
        <v>502</v>
      </c>
      <c r="W48" s="46" t="s">
        <v>502</v>
      </c>
      <c r="X48" s="46" t="s">
        <v>502</v>
      </c>
      <c r="Y48" s="46" t="s">
        <v>502</v>
      </c>
      <c r="Z48" s="46" t="s">
        <v>502</v>
      </c>
      <c r="AA48" s="46" t="s">
        <v>502</v>
      </c>
      <c r="AB48" s="46" t="s">
        <v>502</v>
      </c>
      <c r="AC48" s="46" t="s">
        <v>502</v>
      </c>
      <c r="AD48" s="46" t="s">
        <v>502</v>
      </c>
      <c r="AE48" s="46" t="s">
        <v>502</v>
      </c>
      <c r="AF48" s="46" t="s">
        <v>502</v>
      </c>
      <c r="AG48" s="46" t="s">
        <v>502</v>
      </c>
      <c r="AH48" s="46" t="s">
        <v>502</v>
      </c>
      <c r="AI48" s="46" t="s">
        <v>502</v>
      </c>
      <c r="AJ48" s="46" t="s">
        <v>502</v>
      </c>
      <c r="AK48" s="46" t="s">
        <v>502</v>
      </c>
      <c r="AL48" s="46" t="s">
        <v>502</v>
      </c>
      <c r="AM48" s="46" t="s">
        <v>502</v>
      </c>
      <c r="AN48" s="49" t="s">
        <v>502</v>
      </c>
      <c r="AO48" s="46" t="s">
        <v>502</v>
      </c>
      <c r="AP48" s="46" t="s">
        <v>502</v>
      </c>
      <c r="AQ48" s="49" t="s">
        <v>502</v>
      </c>
      <c r="AR48" s="46" t="s">
        <v>502</v>
      </c>
      <c r="AS48" s="46" t="s">
        <v>502</v>
      </c>
      <c r="AT48" s="49" t="s">
        <v>502</v>
      </c>
      <c r="AU48" s="46" t="s">
        <v>502</v>
      </c>
      <c r="AV48" s="46" t="s">
        <v>502</v>
      </c>
      <c r="AW48" s="49" t="s">
        <v>502</v>
      </c>
      <c r="AX48" s="46" t="s">
        <v>502</v>
      </c>
      <c r="AY48" s="46" t="s">
        <v>502</v>
      </c>
      <c r="AZ48" s="49" t="s">
        <v>502</v>
      </c>
      <c r="BA48" s="46" t="s">
        <v>502</v>
      </c>
      <c r="BB48" s="46" t="s">
        <v>502</v>
      </c>
      <c r="BC48" s="49" t="s">
        <v>502</v>
      </c>
      <c r="BD48" s="46" t="s">
        <v>502</v>
      </c>
      <c r="BE48" s="46" t="s">
        <v>502</v>
      </c>
      <c r="BF48" s="49" t="s">
        <v>502</v>
      </c>
      <c r="BG48" s="46" t="s">
        <v>502</v>
      </c>
      <c r="BH48" s="46" t="s">
        <v>502</v>
      </c>
      <c r="BI48" s="49" t="s">
        <v>502</v>
      </c>
      <c r="BJ48" s="46" t="s">
        <v>502</v>
      </c>
      <c r="BK48" s="46" t="s">
        <v>502</v>
      </c>
      <c r="BL48" s="49" t="s">
        <v>502</v>
      </c>
      <c r="BM48" s="46" t="s">
        <v>502</v>
      </c>
      <c r="BN48" s="46" t="s">
        <v>502</v>
      </c>
      <c r="BO48" s="49" t="s">
        <v>502</v>
      </c>
      <c r="BP48" s="46" t="s">
        <v>502</v>
      </c>
      <c r="BQ48" s="46" t="s">
        <v>502</v>
      </c>
      <c r="BR48" s="49" t="s">
        <v>502</v>
      </c>
      <c r="BS48" s="46" t="s">
        <v>502</v>
      </c>
      <c r="BT48" s="46" t="s">
        <v>502</v>
      </c>
      <c r="BU48" s="49" t="s">
        <v>502</v>
      </c>
      <c r="BV48" s="46" t="s">
        <v>502</v>
      </c>
      <c r="BW48" s="46" t="s">
        <v>502</v>
      </c>
      <c r="BX48" s="49" t="s">
        <v>502</v>
      </c>
      <c r="BY48" s="46" t="s">
        <v>502</v>
      </c>
      <c r="BZ48" s="46" t="s">
        <v>502</v>
      </c>
      <c r="CA48" s="49" t="s">
        <v>502</v>
      </c>
      <c r="CB48" s="46" t="s">
        <v>502</v>
      </c>
      <c r="CC48" s="46" t="s">
        <v>502</v>
      </c>
      <c r="CD48" s="49" t="s">
        <v>502</v>
      </c>
      <c r="CE48" s="46" t="s">
        <v>502</v>
      </c>
      <c r="CF48" s="46" t="s">
        <v>502</v>
      </c>
      <c r="CG48" s="49" t="s">
        <v>502</v>
      </c>
      <c r="CH48" s="46" t="s">
        <v>502</v>
      </c>
      <c r="CI48" s="46" t="s">
        <v>502</v>
      </c>
      <c r="CJ48" s="49" t="s">
        <v>502</v>
      </c>
      <c r="CK48" s="46" t="s">
        <v>502</v>
      </c>
      <c r="CL48" s="46" t="s">
        <v>502</v>
      </c>
      <c r="CM48" s="49" t="s">
        <v>502</v>
      </c>
      <c r="CN48" s="46" t="s">
        <v>502</v>
      </c>
      <c r="CO48" s="46" t="s">
        <v>502</v>
      </c>
      <c r="CP48" s="49" t="s">
        <v>502</v>
      </c>
      <c r="CQ48" s="46" t="s">
        <v>502</v>
      </c>
      <c r="CR48" s="46" t="s">
        <v>502</v>
      </c>
      <c r="CS48" s="49" t="s">
        <v>502</v>
      </c>
      <c r="CT48" s="46" t="s">
        <v>502</v>
      </c>
      <c r="CU48" s="46" t="s">
        <v>502</v>
      </c>
      <c r="CV48" s="49" t="s">
        <v>502</v>
      </c>
      <c r="CW48" s="46" t="s">
        <v>502</v>
      </c>
      <c r="CX48" s="46" t="s">
        <v>502</v>
      </c>
      <c r="CY48" s="49" t="s">
        <v>502</v>
      </c>
      <c r="CZ48" s="46" t="s">
        <v>502</v>
      </c>
      <c r="DA48" s="46" t="s">
        <v>502</v>
      </c>
      <c r="DB48" s="49" t="s">
        <v>502</v>
      </c>
      <c r="DC48" s="46" t="s">
        <v>502</v>
      </c>
      <c r="DD48" s="46" t="s">
        <v>502</v>
      </c>
      <c r="DE48" s="49" t="s">
        <v>502</v>
      </c>
      <c r="DF48" s="46" t="s">
        <v>502</v>
      </c>
      <c r="DG48" s="46" t="s">
        <v>502</v>
      </c>
      <c r="DH48" s="49" t="s">
        <v>502</v>
      </c>
      <c r="DI48" s="46" t="s">
        <v>502</v>
      </c>
      <c r="DJ48" s="46" t="s">
        <v>502</v>
      </c>
      <c r="DK48" s="49" t="s">
        <v>502</v>
      </c>
      <c r="DL48" s="46" t="s">
        <v>502</v>
      </c>
      <c r="DM48" s="46" t="s">
        <v>502</v>
      </c>
      <c r="DN48" s="49" t="s">
        <v>502</v>
      </c>
      <c r="DO48" s="46" t="s">
        <v>502</v>
      </c>
      <c r="DP48" s="46" t="s">
        <v>502</v>
      </c>
      <c r="DQ48" s="49" t="s">
        <v>502</v>
      </c>
      <c r="DR48" s="46" t="s">
        <v>502</v>
      </c>
      <c r="DS48" s="46" t="s">
        <v>502</v>
      </c>
      <c r="DT48" s="49" t="s">
        <v>502</v>
      </c>
      <c r="DU48" s="46" t="s">
        <v>502</v>
      </c>
      <c r="DV48" s="46" t="s">
        <v>502</v>
      </c>
      <c r="DW48" s="49" t="s">
        <v>502</v>
      </c>
      <c r="DX48" s="46" t="s">
        <v>502</v>
      </c>
      <c r="DY48" s="46" t="s">
        <v>502</v>
      </c>
      <c r="DZ48" s="49" t="s">
        <v>502</v>
      </c>
      <c r="EA48" s="46" t="s">
        <v>502</v>
      </c>
      <c r="EB48" s="46" t="s">
        <v>502</v>
      </c>
      <c r="EC48" s="49" t="s">
        <v>502</v>
      </c>
      <c r="ED48" s="46" t="s">
        <v>502</v>
      </c>
      <c r="EE48" s="46" t="s">
        <v>502</v>
      </c>
      <c r="EF48" s="49" t="s">
        <v>502</v>
      </c>
      <c r="EG48" s="46" t="s">
        <v>502</v>
      </c>
      <c r="EH48" s="46" t="s">
        <v>502</v>
      </c>
      <c r="EI48" s="49" t="s">
        <v>502</v>
      </c>
      <c r="EJ48" s="46" t="s">
        <v>502</v>
      </c>
      <c r="EK48" s="46" t="s">
        <v>502</v>
      </c>
      <c r="EL48" s="49" t="s">
        <v>502</v>
      </c>
      <c r="EM48" s="46" t="s">
        <v>502</v>
      </c>
      <c r="EN48" s="46" t="s">
        <v>502</v>
      </c>
      <c r="EO48" s="49" t="s">
        <v>502</v>
      </c>
      <c r="EP48" s="46" t="s">
        <v>502</v>
      </c>
      <c r="EQ48" s="46" t="s">
        <v>502</v>
      </c>
      <c r="ER48" s="49" t="s">
        <v>502</v>
      </c>
      <c r="ES48" s="46" t="s">
        <v>502</v>
      </c>
      <c r="ET48" s="46" t="s">
        <v>502</v>
      </c>
      <c r="EU48" s="49" t="s">
        <v>502</v>
      </c>
      <c r="EV48" s="46" t="s">
        <v>502</v>
      </c>
      <c r="EW48" s="46" t="s">
        <v>502</v>
      </c>
      <c r="EX48" s="49" t="s">
        <v>502</v>
      </c>
      <c r="EY48" s="46" t="s">
        <v>502</v>
      </c>
      <c r="EZ48" s="46" t="s">
        <v>502</v>
      </c>
      <c r="FA48" s="49" t="s">
        <v>502</v>
      </c>
      <c r="FB48" s="46" t="s">
        <v>502</v>
      </c>
      <c r="FC48" s="46" t="s">
        <v>502</v>
      </c>
      <c r="FD48" s="49" t="s">
        <v>502</v>
      </c>
      <c r="FE48" s="46" t="s">
        <v>502</v>
      </c>
      <c r="FF48" s="46" t="s">
        <v>502</v>
      </c>
      <c r="FG48" s="49" t="s">
        <v>502</v>
      </c>
      <c r="FH48" s="46" t="s">
        <v>502</v>
      </c>
      <c r="FI48" s="46" t="s">
        <v>502</v>
      </c>
      <c r="FJ48" s="49" t="s">
        <v>502</v>
      </c>
      <c r="FK48" s="46" t="s">
        <v>502</v>
      </c>
      <c r="FL48" s="46" t="s">
        <v>502</v>
      </c>
      <c r="FM48" s="49" t="s">
        <v>502</v>
      </c>
      <c r="FN48" s="46" t="s">
        <v>502</v>
      </c>
      <c r="FO48" s="46" t="s">
        <v>502</v>
      </c>
      <c r="FP48" s="49" t="s">
        <v>502</v>
      </c>
      <c r="FQ48" s="46" t="s">
        <v>502</v>
      </c>
      <c r="FR48" s="46" t="s">
        <v>502</v>
      </c>
      <c r="FS48" s="49" t="s">
        <v>502</v>
      </c>
      <c r="FT48" s="46" t="s">
        <v>502</v>
      </c>
      <c r="FU48" s="46" t="s">
        <v>502</v>
      </c>
      <c r="FV48" s="49" t="s">
        <v>502</v>
      </c>
      <c r="FW48" s="50">
        <f t="shared" si="7"/>
        <v>2</v>
      </c>
      <c r="FX48" s="51">
        <f t="shared" si="8"/>
        <v>14280</v>
      </c>
      <c r="FY48" s="46">
        <f t="shared" si="6"/>
        <v>14300</v>
      </c>
      <c r="FZ48" s="52" t="s">
        <v>504</v>
      </c>
    </row>
    <row r="49" spans="1:183" ht="123.75" customHeight="1" x14ac:dyDescent="0.2">
      <c r="A49" s="39">
        <v>46</v>
      </c>
      <c r="B49" s="40" t="s">
        <v>12</v>
      </c>
      <c r="C49" s="41" t="s">
        <v>351</v>
      </c>
      <c r="D49" s="42">
        <v>44122003</v>
      </c>
      <c r="E49" s="43" t="s">
        <v>352</v>
      </c>
      <c r="F49" s="44" t="s">
        <v>86</v>
      </c>
      <c r="G49" s="66"/>
      <c r="H49" s="46" t="s">
        <v>502</v>
      </c>
      <c r="I49" s="46" t="s">
        <v>502</v>
      </c>
      <c r="J49" s="46" t="s">
        <v>502</v>
      </c>
      <c r="K49" s="46" t="s">
        <v>502</v>
      </c>
      <c r="L49" s="46" t="s">
        <v>502</v>
      </c>
      <c r="M49" s="46" t="s">
        <v>502</v>
      </c>
      <c r="N49" s="46" t="s">
        <v>502</v>
      </c>
      <c r="O49" s="46" t="s">
        <v>502</v>
      </c>
      <c r="P49" s="46" t="s">
        <v>502</v>
      </c>
      <c r="Q49" s="46" t="s">
        <v>502</v>
      </c>
      <c r="R49" s="46" t="s">
        <v>502</v>
      </c>
      <c r="S49" s="46" t="s">
        <v>502</v>
      </c>
      <c r="T49" s="46" t="s">
        <v>502</v>
      </c>
      <c r="U49" s="46" t="s">
        <v>502</v>
      </c>
      <c r="V49" s="46" t="s">
        <v>502</v>
      </c>
      <c r="W49" s="46" t="s">
        <v>502</v>
      </c>
      <c r="X49" s="46" t="s">
        <v>502</v>
      </c>
      <c r="Y49" s="46" t="s">
        <v>502</v>
      </c>
      <c r="Z49" s="46" t="s">
        <v>502</v>
      </c>
      <c r="AA49" s="46" t="s">
        <v>502</v>
      </c>
      <c r="AB49" s="46" t="s">
        <v>502</v>
      </c>
      <c r="AC49" s="46" t="s">
        <v>502</v>
      </c>
      <c r="AD49" s="46" t="s">
        <v>502</v>
      </c>
      <c r="AE49" s="46" t="s">
        <v>502</v>
      </c>
      <c r="AF49" s="46" t="s">
        <v>502</v>
      </c>
      <c r="AG49" s="46" t="s">
        <v>502</v>
      </c>
      <c r="AH49" s="46" t="s">
        <v>502</v>
      </c>
      <c r="AI49" s="46" t="s">
        <v>502</v>
      </c>
      <c r="AJ49" s="46" t="s">
        <v>502</v>
      </c>
      <c r="AK49" s="46" t="s">
        <v>502</v>
      </c>
      <c r="AL49" s="46" t="s">
        <v>502</v>
      </c>
      <c r="AM49" s="46" t="s">
        <v>502</v>
      </c>
      <c r="AN49" s="49" t="s">
        <v>502</v>
      </c>
      <c r="AO49" s="46" t="s">
        <v>502</v>
      </c>
      <c r="AP49" s="46" t="s">
        <v>502</v>
      </c>
      <c r="AQ49" s="49" t="s">
        <v>502</v>
      </c>
      <c r="AR49" s="46" t="s">
        <v>502</v>
      </c>
      <c r="AS49" s="46" t="s">
        <v>502</v>
      </c>
      <c r="AT49" s="49" t="s">
        <v>502</v>
      </c>
      <c r="AU49" s="46" t="s">
        <v>502</v>
      </c>
      <c r="AV49" s="46" t="s">
        <v>502</v>
      </c>
      <c r="AW49" s="49" t="s">
        <v>502</v>
      </c>
      <c r="AX49" s="46" t="s">
        <v>502</v>
      </c>
      <c r="AY49" s="46" t="s">
        <v>502</v>
      </c>
      <c r="AZ49" s="49" t="s">
        <v>502</v>
      </c>
      <c r="BA49" s="46" t="s">
        <v>502</v>
      </c>
      <c r="BB49" s="46" t="s">
        <v>502</v>
      </c>
      <c r="BC49" s="49" t="s">
        <v>502</v>
      </c>
      <c r="BD49" s="46" t="s">
        <v>502</v>
      </c>
      <c r="BE49" s="46" t="s">
        <v>502</v>
      </c>
      <c r="BF49" s="49" t="s">
        <v>502</v>
      </c>
      <c r="BG49" s="46" t="s">
        <v>502</v>
      </c>
      <c r="BH49" s="46" t="s">
        <v>502</v>
      </c>
      <c r="BI49" s="49" t="s">
        <v>502</v>
      </c>
      <c r="BJ49" s="46" t="s">
        <v>502</v>
      </c>
      <c r="BK49" s="46" t="s">
        <v>502</v>
      </c>
      <c r="BL49" s="49" t="s">
        <v>502</v>
      </c>
      <c r="BM49" s="46" t="s">
        <v>502</v>
      </c>
      <c r="BN49" s="46" t="s">
        <v>502</v>
      </c>
      <c r="BO49" s="49" t="s">
        <v>502</v>
      </c>
      <c r="BP49" s="46" t="s">
        <v>502</v>
      </c>
      <c r="BQ49" s="46" t="s">
        <v>502</v>
      </c>
      <c r="BR49" s="49" t="s">
        <v>502</v>
      </c>
      <c r="BS49" s="46" t="s">
        <v>502</v>
      </c>
      <c r="BT49" s="46" t="s">
        <v>502</v>
      </c>
      <c r="BU49" s="49" t="s">
        <v>502</v>
      </c>
      <c r="BV49" s="46" t="s">
        <v>502</v>
      </c>
      <c r="BW49" s="46" t="s">
        <v>502</v>
      </c>
      <c r="BX49" s="49" t="s">
        <v>502</v>
      </c>
      <c r="BY49" s="46" t="s">
        <v>502</v>
      </c>
      <c r="BZ49" s="46" t="s">
        <v>502</v>
      </c>
      <c r="CA49" s="49" t="s">
        <v>502</v>
      </c>
      <c r="CB49" s="46">
        <f>800/1.19</f>
        <v>672.26890756302521</v>
      </c>
      <c r="CC49" s="46">
        <f>+CB49*19%</f>
        <v>127.73109243697479</v>
      </c>
      <c r="CD49" s="49">
        <f>+CB49+CC49</f>
        <v>800</v>
      </c>
      <c r="CE49" s="46" t="s">
        <v>502</v>
      </c>
      <c r="CF49" s="46" t="s">
        <v>502</v>
      </c>
      <c r="CG49" s="49" t="s">
        <v>502</v>
      </c>
      <c r="CH49" s="46" t="s">
        <v>502</v>
      </c>
      <c r="CI49" s="46" t="s">
        <v>502</v>
      </c>
      <c r="CJ49" s="49" t="s">
        <v>502</v>
      </c>
      <c r="CK49" s="46" t="s">
        <v>502</v>
      </c>
      <c r="CL49" s="46" t="s">
        <v>502</v>
      </c>
      <c r="CM49" s="49" t="s">
        <v>502</v>
      </c>
      <c r="CN49" s="46" t="s">
        <v>502</v>
      </c>
      <c r="CO49" s="46" t="s">
        <v>502</v>
      </c>
      <c r="CP49" s="49" t="s">
        <v>502</v>
      </c>
      <c r="CQ49" s="46" t="s">
        <v>502</v>
      </c>
      <c r="CR49" s="46" t="s">
        <v>502</v>
      </c>
      <c r="CS49" s="49" t="s">
        <v>502</v>
      </c>
      <c r="CT49" s="46" t="s">
        <v>502</v>
      </c>
      <c r="CU49" s="46" t="s">
        <v>502</v>
      </c>
      <c r="CV49" s="49" t="s">
        <v>502</v>
      </c>
      <c r="CW49" s="46" t="s">
        <v>502</v>
      </c>
      <c r="CX49" s="46" t="s">
        <v>502</v>
      </c>
      <c r="CY49" s="49" t="s">
        <v>502</v>
      </c>
      <c r="CZ49" s="46" t="s">
        <v>502</v>
      </c>
      <c r="DA49" s="46" t="s">
        <v>502</v>
      </c>
      <c r="DB49" s="49" t="s">
        <v>502</v>
      </c>
      <c r="DC49" s="46" t="s">
        <v>502</v>
      </c>
      <c r="DD49" s="46" t="s">
        <v>502</v>
      </c>
      <c r="DE49" s="49" t="s">
        <v>502</v>
      </c>
      <c r="DF49" s="46" t="s">
        <v>502</v>
      </c>
      <c r="DG49" s="46" t="s">
        <v>502</v>
      </c>
      <c r="DH49" s="49" t="s">
        <v>502</v>
      </c>
      <c r="DI49" s="46" t="s">
        <v>502</v>
      </c>
      <c r="DJ49" s="46" t="s">
        <v>502</v>
      </c>
      <c r="DK49" s="49" t="s">
        <v>502</v>
      </c>
      <c r="DL49" s="46" t="s">
        <v>502</v>
      </c>
      <c r="DM49" s="46" t="s">
        <v>502</v>
      </c>
      <c r="DN49" s="49" t="s">
        <v>502</v>
      </c>
      <c r="DO49" s="46" t="s">
        <v>502</v>
      </c>
      <c r="DP49" s="46" t="s">
        <v>502</v>
      </c>
      <c r="DQ49" s="49" t="s">
        <v>502</v>
      </c>
      <c r="DR49" s="46" t="s">
        <v>502</v>
      </c>
      <c r="DS49" s="46" t="s">
        <v>502</v>
      </c>
      <c r="DT49" s="49" t="s">
        <v>502</v>
      </c>
      <c r="DU49" s="46" t="s">
        <v>502</v>
      </c>
      <c r="DV49" s="46" t="s">
        <v>502</v>
      </c>
      <c r="DW49" s="49" t="s">
        <v>502</v>
      </c>
      <c r="DX49" s="46" t="s">
        <v>502</v>
      </c>
      <c r="DY49" s="46" t="s">
        <v>502</v>
      </c>
      <c r="DZ49" s="49" t="s">
        <v>502</v>
      </c>
      <c r="EA49" s="46" t="s">
        <v>502</v>
      </c>
      <c r="EB49" s="46" t="s">
        <v>502</v>
      </c>
      <c r="EC49" s="49" t="s">
        <v>502</v>
      </c>
      <c r="ED49" s="46" t="s">
        <v>502</v>
      </c>
      <c r="EE49" s="46" t="s">
        <v>502</v>
      </c>
      <c r="EF49" s="49" t="s">
        <v>502</v>
      </c>
      <c r="EG49" s="46" t="s">
        <v>502</v>
      </c>
      <c r="EH49" s="46" t="s">
        <v>502</v>
      </c>
      <c r="EI49" s="49" t="s">
        <v>502</v>
      </c>
      <c r="EJ49" s="46" t="s">
        <v>502</v>
      </c>
      <c r="EK49" s="46" t="s">
        <v>502</v>
      </c>
      <c r="EL49" s="49" t="s">
        <v>502</v>
      </c>
      <c r="EM49" s="46" t="s">
        <v>502</v>
      </c>
      <c r="EN49" s="46" t="s">
        <v>502</v>
      </c>
      <c r="EO49" s="49" t="s">
        <v>502</v>
      </c>
      <c r="EP49" s="46" t="s">
        <v>502</v>
      </c>
      <c r="EQ49" s="46" t="s">
        <v>502</v>
      </c>
      <c r="ER49" s="49" t="s">
        <v>502</v>
      </c>
      <c r="ES49" s="46" t="s">
        <v>502</v>
      </c>
      <c r="ET49" s="46" t="s">
        <v>502</v>
      </c>
      <c r="EU49" s="49" t="s">
        <v>502</v>
      </c>
      <c r="EV49" s="46" t="s">
        <v>502</v>
      </c>
      <c r="EW49" s="46" t="s">
        <v>502</v>
      </c>
      <c r="EX49" s="49" t="s">
        <v>502</v>
      </c>
      <c r="EY49" s="46" t="s">
        <v>502</v>
      </c>
      <c r="EZ49" s="46" t="s">
        <v>502</v>
      </c>
      <c r="FA49" s="49" t="s">
        <v>502</v>
      </c>
      <c r="FB49" s="46">
        <f>850/1.19</f>
        <v>714.28571428571433</v>
      </c>
      <c r="FC49" s="46">
        <f>+FB49*19%</f>
        <v>135.71428571428572</v>
      </c>
      <c r="FD49" s="49">
        <f>+FB49+FC49</f>
        <v>850</v>
      </c>
      <c r="FE49" s="46" t="s">
        <v>502</v>
      </c>
      <c r="FF49" s="46" t="s">
        <v>502</v>
      </c>
      <c r="FG49" s="49" t="s">
        <v>502</v>
      </c>
      <c r="FH49" s="46" t="s">
        <v>502</v>
      </c>
      <c r="FI49" s="46" t="s">
        <v>502</v>
      </c>
      <c r="FJ49" s="49" t="s">
        <v>502</v>
      </c>
      <c r="FK49" s="46" t="s">
        <v>502</v>
      </c>
      <c r="FL49" s="46" t="s">
        <v>502</v>
      </c>
      <c r="FM49" s="49" t="s">
        <v>502</v>
      </c>
      <c r="FN49" s="46" t="s">
        <v>502</v>
      </c>
      <c r="FO49" s="46" t="s">
        <v>502</v>
      </c>
      <c r="FP49" s="49" t="s">
        <v>502</v>
      </c>
      <c r="FQ49" s="46" t="s">
        <v>502</v>
      </c>
      <c r="FR49" s="46" t="s">
        <v>502</v>
      </c>
      <c r="FS49" s="49" t="s">
        <v>502</v>
      </c>
      <c r="FT49" s="46" t="s">
        <v>502</v>
      </c>
      <c r="FU49" s="46" t="s">
        <v>502</v>
      </c>
      <c r="FV49" s="49" t="s">
        <v>502</v>
      </c>
      <c r="FW49" s="50">
        <f t="shared" si="7"/>
        <v>2</v>
      </c>
      <c r="FX49" s="51">
        <f t="shared" si="8"/>
        <v>825</v>
      </c>
      <c r="FY49" s="46">
        <f t="shared" si="6"/>
        <v>850</v>
      </c>
      <c r="FZ49" s="52" t="s">
        <v>504</v>
      </c>
    </row>
    <row r="50" spans="1:183" ht="108.75" customHeight="1" x14ac:dyDescent="0.2">
      <c r="A50" s="39">
        <v>47</v>
      </c>
      <c r="B50" s="40" t="s">
        <v>12</v>
      </c>
      <c r="C50" s="41" t="s">
        <v>351</v>
      </c>
      <c r="D50" s="42">
        <v>44122003</v>
      </c>
      <c r="E50" s="43" t="s">
        <v>353</v>
      </c>
      <c r="F50" s="44" t="s">
        <v>86</v>
      </c>
      <c r="G50" s="66"/>
      <c r="H50" s="46" t="s">
        <v>502</v>
      </c>
      <c r="I50" s="46" t="s">
        <v>502</v>
      </c>
      <c r="J50" s="46" t="s">
        <v>502</v>
      </c>
      <c r="K50" s="46" t="s">
        <v>502</v>
      </c>
      <c r="L50" s="46" t="s">
        <v>502</v>
      </c>
      <c r="M50" s="46" t="s">
        <v>502</v>
      </c>
      <c r="N50" s="46" t="s">
        <v>502</v>
      </c>
      <c r="O50" s="46" t="s">
        <v>502</v>
      </c>
      <c r="P50" s="46" t="s">
        <v>502</v>
      </c>
      <c r="Q50" s="46" t="s">
        <v>502</v>
      </c>
      <c r="R50" s="46" t="s">
        <v>502</v>
      </c>
      <c r="S50" s="46" t="s">
        <v>502</v>
      </c>
      <c r="T50" s="46" t="s">
        <v>502</v>
      </c>
      <c r="U50" s="46" t="s">
        <v>502</v>
      </c>
      <c r="V50" s="46" t="s">
        <v>502</v>
      </c>
      <c r="W50" s="46" t="s">
        <v>502</v>
      </c>
      <c r="X50" s="46" t="s">
        <v>502</v>
      </c>
      <c r="Y50" s="46" t="s">
        <v>502</v>
      </c>
      <c r="Z50" s="46" t="s">
        <v>502</v>
      </c>
      <c r="AA50" s="46" t="s">
        <v>502</v>
      </c>
      <c r="AB50" s="46" t="s">
        <v>502</v>
      </c>
      <c r="AC50" s="46" t="s">
        <v>502</v>
      </c>
      <c r="AD50" s="46" t="s">
        <v>502</v>
      </c>
      <c r="AE50" s="46" t="s">
        <v>502</v>
      </c>
      <c r="AF50" s="46" t="s">
        <v>502</v>
      </c>
      <c r="AG50" s="46" t="s">
        <v>502</v>
      </c>
      <c r="AH50" s="46" t="s">
        <v>502</v>
      </c>
      <c r="AI50" s="46" t="s">
        <v>502</v>
      </c>
      <c r="AJ50" s="46" t="s">
        <v>502</v>
      </c>
      <c r="AK50" s="46" t="s">
        <v>502</v>
      </c>
      <c r="AL50" s="46" t="s">
        <v>502</v>
      </c>
      <c r="AM50" s="46" t="s">
        <v>502</v>
      </c>
      <c r="AN50" s="49" t="s">
        <v>502</v>
      </c>
      <c r="AO50" s="46" t="s">
        <v>502</v>
      </c>
      <c r="AP50" s="46" t="s">
        <v>502</v>
      </c>
      <c r="AQ50" s="49" t="s">
        <v>502</v>
      </c>
      <c r="AR50" s="46" t="s">
        <v>502</v>
      </c>
      <c r="AS50" s="46" t="s">
        <v>502</v>
      </c>
      <c r="AT50" s="49" t="s">
        <v>502</v>
      </c>
      <c r="AU50" s="46" t="s">
        <v>502</v>
      </c>
      <c r="AV50" s="46" t="s">
        <v>502</v>
      </c>
      <c r="AW50" s="49" t="s">
        <v>502</v>
      </c>
      <c r="AX50" s="46" t="s">
        <v>502</v>
      </c>
      <c r="AY50" s="46" t="s">
        <v>502</v>
      </c>
      <c r="AZ50" s="49" t="s">
        <v>502</v>
      </c>
      <c r="BA50" s="46" t="s">
        <v>502</v>
      </c>
      <c r="BB50" s="46" t="s">
        <v>502</v>
      </c>
      <c r="BC50" s="49" t="s">
        <v>502</v>
      </c>
      <c r="BD50" s="46" t="s">
        <v>502</v>
      </c>
      <c r="BE50" s="46" t="s">
        <v>502</v>
      </c>
      <c r="BF50" s="49" t="s">
        <v>502</v>
      </c>
      <c r="BG50" s="46" t="s">
        <v>502</v>
      </c>
      <c r="BH50" s="46" t="s">
        <v>502</v>
      </c>
      <c r="BI50" s="49" t="s">
        <v>502</v>
      </c>
      <c r="BJ50" s="46" t="s">
        <v>502</v>
      </c>
      <c r="BK50" s="46" t="s">
        <v>502</v>
      </c>
      <c r="BL50" s="49" t="s">
        <v>502</v>
      </c>
      <c r="BM50" s="46" t="s">
        <v>502</v>
      </c>
      <c r="BN50" s="46" t="s">
        <v>502</v>
      </c>
      <c r="BO50" s="49" t="s">
        <v>502</v>
      </c>
      <c r="BP50" s="46" t="s">
        <v>502</v>
      </c>
      <c r="BQ50" s="46" t="s">
        <v>502</v>
      </c>
      <c r="BR50" s="49" t="s">
        <v>502</v>
      </c>
      <c r="BS50" s="46" t="s">
        <v>502</v>
      </c>
      <c r="BT50" s="46" t="s">
        <v>502</v>
      </c>
      <c r="BU50" s="49" t="s">
        <v>502</v>
      </c>
      <c r="BV50" s="46" t="s">
        <v>502</v>
      </c>
      <c r="BW50" s="46" t="s">
        <v>502</v>
      </c>
      <c r="BX50" s="49" t="s">
        <v>502</v>
      </c>
      <c r="BY50" s="46" t="s">
        <v>502</v>
      </c>
      <c r="BZ50" s="46" t="s">
        <v>502</v>
      </c>
      <c r="CA50" s="49" t="s">
        <v>502</v>
      </c>
      <c r="CB50" s="46">
        <f>800/1.19</f>
        <v>672.26890756302521</v>
      </c>
      <c r="CC50" s="46">
        <f>+CB50*19%</f>
        <v>127.73109243697479</v>
      </c>
      <c r="CD50" s="49">
        <f>+CB50+CC50</f>
        <v>800</v>
      </c>
      <c r="CE50" s="46" t="s">
        <v>502</v>
      </c>
      <c r="CF50" s="46" t="s">
        <v>502</v>
      </c>
      <c r="CG50" s="49" t="s">
        <v>502</v>
      </c>
      <c r="CH50" s="46" t="s">
        <v>502</v>
      </c>
      <c r="CI50" s="46" t="s">
        <v>502</v>
      </c>
      <c r="CJ50" s="49" t="s">
        <v>502</v>
      </c>
      <c r="CK50" s="46" t="s">
        <v>502</v>
      </c>
      <c r="CL50" s="46" t="s">
        <v>502</v>
      </c>
      <c r="CM50" s="49" t="s">
        <v>502</v>
      </c>
      <c r="CN50" s="46" t="s">
        <v>502</v>
      </c>
      <c r="CO50" s="46" t="s">
        <v>502</v>
      </c>
      <c r="CP50" s="49" t="s">
        <v>502</v>
      </c>
      <c r="CQ50" s="46" t="s">
        <v>502</v>
      </c>
      <c r="CR50" s="46" t="s">
        <v>502</v>
      </c>
      <c r="CS50" s="49" t="s">
        <v>502</v>
      </c>
      <c r="CT50" s="46" t="s">
        <v>502</v>
      </c>
      <c r="CU50" s="46" t="s">
        <v>502</v>
      </c>
      <c r="CV50" s="49" t="s">
        <v>502</v>
      </c>
      <c r="CW50" s="46" t="s">
        <v>502</v>
      </c>
      <c r="CX50" s="46" t="s">
        <v>502</v>
      </c>
      <c r="CY50" s="49" t="s">
        <v>502</v>
      </c>
      <c r="CZ50" s="46" t="s">
        <v>502</v>
      </c>
      <c r="DA50" s="46" t="s">
        <v>502</v>
      </c>
      <c r="DB50" s="49" t="s">
        <v>502</v>
      </c>
      <c r="DC50" s="46" t="s">
        <v>502</v>
      </c>
      <c r="DD50" s="46" t="s">
        <v>502</v>
      </c>
      <c r="DE50" s="49" t="s">
        <v>502</v>
      </c>
      <c r="DF50" s="46" t="s">
        <v>502</v>
      </c>
      <c r="DG50" s="46" t="s">
        <v>502</v>
      </c>
      <c r="DH50" s="49" t="s">
        <v>502</v>
      </c>
      <c r="DI50" s="46" t="s">
        <v>502</v>
      </c>
      <c r="DJ50" s="46" t="s">
        <v>502</v>
      </c>
      <c r="DK50" s="49" t="s">
        <v>502</v>
      </c>
      <c r="DL50" s="46" t="s">
        <v>502</v>
      </c>
      <c r="DM50" s="46" t="s">
        <v>502</v>
      </c>
      <c r="DN50" s="49" t="s">
        <v>502</v>
      </c>
      <c r="DO50" s="46" t="s">
        <v>502</v>
      </c>
      <c r="DP50" s="46" t="s">
        <v>502</v>
      </c>
      <c r="DQ50" s="49" t="s">
        <v>502</v>
      </c>
      <c r="DR50" s="46" t="s">
        <v>502</v>
      </c>
      <c r="DS50" s="46" t="s">
        <v>502</v>
      </c>
      <c r="DT50" s="49" t="s">
        <v>502</v>
      </c>
      <c r="DU50" s="46" t="s">
        <v>502</v>
      </c>
      <c r="DV50" s="46" t="s">
        <v>502</v>
      </c>
      <c r="DW50" s="49" t="s">
        <v>502</v>
      </c>
      <c r="DX50" s="46" t="s">
        <v>502</v>
      </c>
      <c r="DY50" s="46" t="s">
        <v>502</v>
      </c>
      <c r="DZ50" s="49" t="s">
        <v>502</v>
      </c>
      <c r="EA50" s="46" t="s">
        <v>502</v>
      </c>
      <c r="EB50" s="46" t="s">
        <v>502</v>
      </c>
      <c r="EC50" s="49" t="s">
        <v>502</v>
      </c>
      <c r="ED50" s="46" t="s">
        <v>502</v>
      </c>
      <c r="EE50" s="46" t="s">
        <v>502</v>
      </c>
      <c r="EF50" s="49" t="s">
        <v>502</v>
      </c>
      <c r="EG50" s="46" t="s">
        <v>502</v>
      </c>
      <c r="EH50" s="46" t="s">
        <v>502</v>
      </c>
      <c r="EI50" s="49" t="s">
        <v>502</v>
      </c>
      <c r="EJ50" s="46" t="s">
        <v>502</v>
      </c>
      <c r="EK50" s="46" t="s">
        <v>502</v>
      </c>
      <c r="EL50" s="49" t="s">
        <v>502</v>
      </c>
      <c r="EM50" s="46" t="s">
        <v>502</v>
      </c>
      <c r="EN50" s="46" t="s">
        <v>502</v>
      </c>
      <c r="EO50" s="49" t="s">
        <v>502</v>
      </c>
      <c r="EP50" s="46" t="s">
        <v>502</v>
      </c>
      <c r="EQ50" s="46" t="s">
        <v>502</v>
      </c>
      <c r="ER50" s="49" t="s">
        <v>502</v>
      </c>
      <c r="ES50" s="46" t="s">
        <v>503</v>
      </c>
      <c r="ET50" s="46" t="s">
        <v>503</v>
      </c>
      <c r="EU50" s="46" t="s">
        <v>503</v>
      </c>
      <c r="EV50" s="46" t="s">
        <v>502</v>
      </c>
      <c r="EW50" s="46" t="s">
        <v>502</v>
      </c>
      <c r="EX50" s="49" t="s">
        <v>502</v>
      </c>
      <c r="EY50" s="46" t="s">
        <v>502</v>
      </c>
      <c r="EZ50" s="46" t="s">
        <v>502</v>
      </c>
      <c r="FA50" s="49" t="s">
        <v>502</v>
      </c>
      <c r="FB50" s="46">
        <f>870/1.19</f>
        <v>731.09243697478996</v>
      </c>
      <c r="FC50" s="46">
        <f>+FB50*19%</f>
        <v>138.9075630252101</v>
      </c>
      <c r="FD50" s="49">
        <f>+FB50+FC50</f>
        <v>870</v>
      </c>
      <c r="FE50" s="46" t="s">
        <v>502</v>
      </c>
      <c r="FF50" s="46" t="s">
        <v>502</v>
      </c>
      <c r="FG50" s="49" t="s">
        <v>502</v>
      </c>
      <c r="FH50" s="46" t="s">
        <v>502</v>
      </c>
      <c r="FI50" s="46" t="s">
        <v>502</v>
      </c>
      <c r="FJ50" s="49" t="s">
        <v>502</v>
      </c>
      <c r="FK50" s="46" t="s">
        <v>502</v>
      </c>
      <c r="FL50" s="46" t="s">
        <v>502</v>
      </c>
      <c r="FM50" s="49" t="s">
        <v>502</v>
      </c>
      <c r="FN50" s="46" t="s">
        <v>502</v>
      </c>
      <c r="FO50" s="46" t="s">
        <v>502</v>
      </c>
      <c r="FP50" s="49" t="s">
        <v>502</v>
      </c>
      <c r="FQ50" s="46" t="s">
        <v>502</v>
      </c>
      <c r="FR50" s="46" t="s">
        <v>502</v>
      </c>
      <c r="FS50" s="49" t="s">
        <v>502</v>
      </c>
      <c r="FT50" s="46" t="s">
        <v>502</v>
      </c>
      <c r="FU50" s="46" t="s">
        <v>502</v>
      </c>
      <c r="FV50" s="49" t="s">
        <v>502</v>
      </c>
      <c r="FW50" s="50">
        <f t="shared" si="7"/>
        <v>2</v>
      </c>
      <c r="FX50" s="51">
        <f t="shared" si="8"/>
        <v>835</v>
      </c>
      <c r="FY50" s="46">
        <f t="shared" si="6"/>
        <v>850</v>
      </c>
      <c r="FZ50" s="52" t="s">
        <v>504</v>
      </c>
    </row>
    <row r="51" spans="1:183" ht="131.25" customHeight="1" x14ac:dyDescent="0.2">
      <c r="A51" s="53">
        <v>48</v>
      </c>
      <c r="B51" s="40" t="s">
        <v>12</v>
      </c>
      <c r="C51" s="41" t="s">
        <v>522</v>
      </c>
      <c r="D51" s="42">
        <v>31201502</v>
      </c>
      <c r="E51" s="43" t="s">
        <v>523</v>
      </c>
      <c r="F51" s="44" t="s">
        <v>118</v>
      </c>
      <c r="G51" s="66"/>
      <c r="H51" s="46" t="s">
        <v>502</v>
      </c>
      <c r="I51" s="46" t="s">
        <v>502</v>
      </c>
      <c r="J51" s="46" t="s">
        <v>502</v>
      </c>
      <c r="K51" s="46" t="s">
        <v>502</v>
      </c>
      <c r="L51" s="46" t="s">
        <v>502</v>
      </c>
      <c r="M51" s="46" t="s">
        <v>502</v>
      </c>
      <c r="N51" s="46" t="s">
        <v>502</v>
      </c>
      <c r="O51" s="46" t="s">
        <v>502</v>
      </c>
      <c r="P51" s="46" t="s">
        <v>502</v>
      </c>
      <c r="Q51" s="46" t="s">
        <v>502</v>
      </c>
      <c r="R51" s="46" t="s">
        <v>502</v>
      </c>
      <c r="S51" s="46" t="s">
        <v>502</v>
      </c>
      <c r="T51" s="46" t="s">
        <v>502</v>
      </c>
      <c r="U51" s="46" t="s">
        <v>502</v>
      </c>
      <c r="V51" s="46" t="s">
        <v>502</v>
      </c>
      <c r="W51" s="46" t="s">
        <v>502</v>
      </c>
      <c r="X51" s="46" t="s">
        <v>502</v>
      </c>
      <c r="Y51" s="46" t="s">
        <v>502</v>
      </c>
      <c r="Z51" s="46" t="s">
        <v>502</v>
      </c>
      <c r="AA51" s="46" t="s">
        <v>502</v>
      </c>
      <c r="AB51" s="46" t="s">
        <v>502</v>
      </c>
      <c r="AC51" s="46" t="s">
        <v>502</v>
      </c>
      <c r="AD51" s="46" t="s">
        <v>502</v>
      </c>
      <c r="AE51" s="46" t="s">
        <v>502</v>
      </c>
      <c r="AF51" s="46" t="s">
        <v>502</v>
      </c>
      <c r="AG51" s="46" t="s">
        <v>502</v>
      </c>
      <c r="AH51" s="46" t="s">
        <v>502</v>
      </c>
      <c r="AI51" s="46" t="s">
        <v>502</v>
      </c>
      <c r="AJ51" s="46" t="s">
        <v>502</v>
      </c>
      <c r="AK51" s="46" t="s">
        <v>502</v>
      </c>
      <c r="AL51" s="46" t="s">
        <v>502</v>
      </c>
      <c r="AM51" s="46" t="s">
        <v>502</v>
      </c>
      <c r="AN51" s="49" t="s">
        <v>502</v>
      </c>
      <c r="AO51" s="46" t="s">
        <v>502</v>
      </c>
      <c r="AP51" s="46" t="s">
        <v>502</v>
      </c>
      <c r="AQ51" s="49" t="s">
        <v>502</v>
      </c>
      <c r="AR51" s="46" t="s">
        <v>502</v>
      </c>
      <c r="AS51" s="46" t="s">
        <v>502</v>
      </c>
      <c r="AT51" s="49" t="s">
        <v>502</v>
      </c>
      <c r="AU51" s="46" t="s">
        <v>502</v>
      </c>
      <c r="AV51" s="46" t="s">
        <v>502</v>
      </c>
      <c r="AW51" s="49" t="s">
        <v>502</v>
      </c>
      <c r="AX51" s="46" t="s">
        <v>502</v>
      </c>
      <c r="AY51" s="46" t="s">
        <v>502</v>
      </c>
      <c r="AZ51" s="49" t="s">
        <v>502</v>
      </c>
      <c r="BA51" s="46" t="s">
        <v>502</v>
      </c>
      <c r="BB51" s="46" t="s">
        <v>502</v>
      </c>
      <c r="BC51" s="49" t="s">
        <v>502</v>
      </c>
      <c r="BD51" s="46" t="s">
        <v>502</v>
      </c>
      <c r="BE51" s="46" t="s">
        <v>502</v>
      </c>
      <c r="BF51" s="49" t="s">
        <v>502</v>
      </c>
      <c r="BG51" s="46" t="s">
        <v>502</v>
      </c>
      <c r="BH51" s="46" t="s">
        <v>502</v>
      </c>
      <c r="BI51" s="49" t="s">
        <v>502</v>
      </c>
      <c r="BJ51" s="46" t="s">
        <v>502</v>
      </c>
      <c r="BK51" s="46" t="s">
        <v>502</v>
      </c>
      <c r="BL51" s="49" t="s">
        <v>502</v>
      </c>
      <c r="BM51" s="46" t="s">
        <v>502</v>
      </c>
      <c r="BN51" s="46" t="s">
        <v>502</v>
      </c>
      <c r="BO51" s="49" t="s">
        <v>502</v>
      </c>
      <c r="BP51" s="46" t="s">
        <v>502</v>
      </c>
      <c r="BQ51" s="46" t="s">
        <v>502</v>
      </c>
      <c r="BR51" s="49" t="s">
        <v>502</v>
      </c>
      <c r="BS51" s="46" t="s">
        <v>502</v>
      </c>
      <c r="BT51" s="46" t="s">
        <v>502</v>
      </c>
      <c r="BU51" s="49" t="s">
        <v>502</v>
      </c>
      <c r="BV51" s="46" t="s">
        <v>502</v>
      </c>
      <c r="BW51" s="46" t="s">
        <v>502</v>
      </c>
      <c r="BX51" s="49" t="s">
        <v>502</v>
      </c>
      <c r="BY51" s="46" t="s">
        <v>502</v>
      </c>
      <c r="BZ51" s="46" t="s">
        <v>502</v>
      </c>
      <c r="CA51" s="49" t="s">
        <v>502</v>
      </c>
      <c r="CB51" s="46" t="s">
        <v>502</v>
      </c>
      <c r="CC51" s="46" t="s">
        <v>502</v>
      </c>
      <c r="CD51" s="49" t="s">
        <v>502</v>
      </c>
      <c r="CE51" s="46" t="s">
        <v>502</v>
      </c>
      <c r="CF51" s="46" t="s">
        <v>502</v>
      </c>
      <c r="CG51" s="49" t="s">
        <v>502</v>
      </c>
      <c r="CH51" s="46" t="s">
        <v>502</v>
      </c>
      <c r="CI51" s="46" t="s">
        <v>502</v>
      </c>
      <c r="CJ51" s="49" t="s">
        <v>502</v>
      </c>
      <c r="CK51" s="46" t="s">
        <v>502</v>
      </c>
      <c r="CL51" s="46" t="s">
        <v>502</v>
      </c>
      <c r="CM51" s="49" t="s">
        <v>502</v>
      </c>
      <c r="CN51" s="46" t="s">
        <v>502</v>
      </c>
      <c r="CO51" s="46" t="s">
        <v>502</v>
      </c>
      <c r="CP51" s="49" t="s">
        <v>502</v>
      </c>
      <c r="CQ51" s="46" t="s">
        <v>502</v>
      </c>
      <c r="CR51" s="46" t="s">
        <v>502</v>
      </c>
      <c r="CS51" s="49" t="s">
        <v>502</v>
      </c>
      <c r="CT51" s="46" t="s">
        <v>502</v>
      </c>
      <c r="CU51" s="46" t="s">
        <v>502</v>
      </c>
      <c r="CV51" s="49" t="s">
        <v>502</v>
      </c>
      <c r="CW51" s="46" t="s">
        <v>502</v>
      </c>
      <c r="CX51" s="46" t="s">
        <v>502</v>
      </c>
      <c r="CY51" s="49" t="s">
        <v>502</v>
      </c>
      <c r="CZ51" s="46" t="s">
        <v>502</v>
      </c>
      <c r="DA51" s="46" t="s">
        <v>502</v>
      </c>
      <c r="DB51" s="49" t="s">
        <v>502</v>
      </c>
      <c r="DC51" s="46" t="s">
        <v>502</v>
      </c>
      <c r="DD51" s="46" t="s">
        <v>502</v>
      </c>
      <c r="DE51" s="49" t="s">
        <v>502</v>
      </c>
      <c r="DF51" s="46" t="s">
        <v>502</v>
      </c>
      <c r="DG51" s="46" t="s">
        <v>502</v>
      </c>
      <c r="DH51" s="49" t="s">
        <v>502</v>
      </c>
      <c r="DI51" s="46" t="s">
        <v>502</v>
      </c>
      <c r="DJ51" s="46" t="s">
        <v>502</v>
      </c>
      <c r="DK51" s="49" t="s">
        <v>502</v>
      </c>
      <c r="DL51" s="46" t="s">
        <v>502</v>
      </c>
      <c r="DM51" s="46" t="s">
        <v>502</v>
      </c>
      <c r="DN51" s="49" t="s">
        <v>502</v>
      </c>
      <c r="DO51" s="46" t="s">
        <v>502</v>
      </c>
      <c r="DP51" s="46" t="s">
        <v>502</v>
      </c>
      <c r="DQ51" s="49" t="s">
        <v>502</v>
      </c>
      <c r="DR51" s="46" t="s">
        <v>502</v>
      </c>
      <c r="DS51" s="46" t="s">
        <v>502</v>
      </c>
      <c r="DT51" s="49" t="s">
        <v>502</v>
      </c>
      <c r="DU51" s="46">
        <f>2643/1.19</f>
        <v>2221.0084033613448</v>
      </c>
      <c r="DV51" s="46">
        <f>+DU51*19%</f>
        <v>421.99159663865549</v>
      </c>
      <c r="DW51" s="46">
        <f>+DU51+DV51</f>
        <v>2643.0000000000005</v>
      </c>
      <c r="DX51" s="46" t="s">
        <v>502</v>
      </c>
      <c r="DY51" s="46" t="s">
        <v>502</v>
      </c>
      <c r="DZ51" s="49" t="s">
        <v>502</v>
      </c>
      <c r="EA51" s="46" t="s">
        <v>502</v>
      </c>
      <c r="EB51" s="46" t="s">
        <v>502</v>
      </c>
      <c r="EC51" s="49" t="s">
        <v>502</v>
      </c>
      <c r="ED51" s="46" t="s">
        <v>502</v>
      </c>
      <c r="EE51" s="46" t="s">
        <v>502</v>
      </c>
      <c r="EF51" s="49" t="s">
        <v>502</v>
      </c>
      <c r="EG51" s="46" t="s">
        <v>502</v>
      </c>
      <c r="EH51" s="46" t="s">
        <v>502</v>
      </c>
      <c r="EI51" s="49" t="s">
        <v>502</v>
      </c>
      <c r="EJ51" s="46" t="s">
        <v>502</v>
      </c>
      <c r="EK51" s="46" t="s">
        <v>502</v>
      </c>
      <c r="EL51" s="49" t="s">
        <v>502</v>
      </c>
      <c r="EM51" s="46" t="s">
        <v>502</v>
      </c>
      <c r="EN51" s="46" t="s">
        <v>502</v>
      </c>
      <c r="EO51" s="49" t="s">
        <v>502</v>
      </c>
      <c r="EP51" s="46">
        <f>2500/1.19</f>
        <v>2100.840336134454</v>
      </c>
      <c r="EQ51" s="46">
        <f>+EP51*19%</f>
        <v>399.15966386554624</v>
      </c>
      <c r="ER51" s="46">
        <f>+EP51+EQ51</f>
        <v>2500</v>
      </c>
      <c r="ES51" s="46">
        <f>2850/1.19</f>
        <v>2394.9579831932774</v>
      </c>
      <c r="ET51" s="46">
        <f>+ES51*19%</f>
        <v>455.0420168067227</v>
      </c>
      <c r="EU51" s="46">
        <f>+ES51+ET51</f>
        <v>2850</v>
      </c>
      <c r="EV51" s="46" t="s">
        <v>502</v>
      </c>
      <c r="EW51" s="46" t="s">
        <v>502</v>
      </c>
      <c r="EX51" s="49" t="s">
        <v>502</v>
      </c>
      <c r="EY51" s="46" t="s">
        <v>502</v>
      </c>
      <c r="EZ51" s="46" t="s">
        <v>502</v>
      </c>
      <c r="FA51" s="49" t="s">
        <v>502</v>
      </c>
      <c r="FB51" s="46" t="s">
        <v>502</v>
      </c>
      <c r="FC51" s="46" t="s">
        <v>502</v>
      </c>
      <c r="FD51" s="49" t="s">
        <v>502</v>
      </c>
      <c r="FE51" s="46" t="s">
        <v>502</v>
      </c>
      <c r="FF51" s="46" t="s">
        <v>502</v>
      </c>
      <c r="FG51" s="49" t="s">
        <v>502</v>
      </c>
      <c r="FH51" s="46" t="s">
        <v>502</v>
      </c>
      <c r="FI51" s="46" t="s">
        <v>502</v>
      </c>
      <c r="FJ51" s="49" t="s">
        <v>502</v>
      </c>
      <c r="FK51" s="46" t="s">
        <v>502</v>
      </c>
      <c r="FL51" s="46" t="s">
        <v>502</v>
      </c>
      <c r="FM51" s="49" t="s">
        <v>502</v>
      </c>
      <c r="FN51" s="46" t="s">
        <v>502</v>
      </c>
      <c r="FO51" s="46" t="s">
        <v>502</v>
      </c>
      <c r="FP51" s="49" t="s">
        <v>502</v>
      </c>
      <c r="FQ51" s="46" t="s">
        <v>502</v>
      </c>
      <c r="FR51" s="46" t="s">
        <v>502</v>
      </c>
      <c r="FS51" s="49" t="s">
        <v>502</v>
      </c>
      <c r="FT51" s="46" t="s">
        <v>502</v>
      </c>
      <c r="FU51" s="46" t="s">
        <v>502</v>
      </c>
      <c r="FV51" s="49" t="s">
        <v>502</v>
      </c>
      <c r="FW51" s="50">
        <f t="shared" si="7"/>
        <v>3</v>
      </c>
      <c r="FX51" s="51">
        <f t="shared" si="8"/>
        <v>2664.3333333333335</v>
      </c>
      <c r="FY51" s="46">
        <f t="shared" si="6"/>
        <v>2700</v>
      </c>
      <c r="FZ51" s="52" t="s">
        <v>504</v>
      </c>
    </row>
    <row r="52" spans="1:183" ht="135" customHeight="1" x14ac:dyDescent="0.2">
      <c r="A52" s="39">
        <v>49</v>
      </c>
      <c r="B52" s="40" t="s">
        <v>12</v>
      </c>
      <c r="C52" s="41" t="s">
        <v>299</v>
      </c>
      <c r="D52" s="42">
        <v>31201503</v>
      </c>
      <c r="E52" s="43" t="s">
        <v>524</v>
      </c>
      <c r="F52" s="41" t="s">
        <v>118</v>
      </c>
      <c r="G52" s="66"/>
      <c r="H52" s="46" t="s">
        <v>502</v>
      </c>
      <c r="I52" s="46" t="s">
        <v>502</v>
      </c>
      <c r="J52" s="46" t="s">
        <v>502</v>
      </c>
      <c r="K52" s="46" t="s">
        <v>502</v>
      </c>
      <c r="L52" s="46" t="s">
        <v>502</v>
      </c>
      <c r="M52" s="46" t="s">
        <v>502</v>
      </c>
      <c r="N52" s="46" t="s">
        <v>502</v>
      </c>
      <c r="O52" s="46" t="s">
        <v>502</v>
      </c>
      <c r="P52" s="46" t="s">
        <v>502</v>
      </c>
      <c r="Q52" s="46" t="s">
        <v>502</v>
      </c>
      <c r="R52" s="46" t="s">
        <v>502</v>
      </c>
      <c r="S52" s="46" t="s">
        <v>502</v>
      </c>
      <c r="T52" s="46" t="s">
        <v>502</v>
      </c>
      <c r="U52" s="46" t="s">
        <v>502</v>
      </c>
      <c r="V52" s="46" t="s">
        <v>502</v>
      </c>
      <c r="W52" s="46" t="s">
        <v>502</v>
      </c>
      <c r="X52" s="46" t="s">
        <v>502</v>
      </c>
      <c r="Y52" s="46" t="s">
        <v>502</v>
      </c>
      <c r="Z52" s="46">
        <f>10800/1.19</f>
        <v>9075.6302521008402</v>
      </c>
      <c r="AA52" s="47">
        <f t="shared" ref="AA52" si="72">+Z52*19%</f>
        <v>1724.3697478991596</v>
      </c>
      <c r="AB52" s="48">
        <f t="shared" ref="AB52" si="73">+Z52+AA52</f>
        <v>10800</v>
      </c>
      <c r="AC52" s="46" t="s">
        <v>502</v>
      </c>
      <c r="AD52" s="46" t="s">
        <v>502</v>
      </c>
      <c r="AE52" s="46" t="s">
        <v>502</v>
      </c>
      <c r="AF52" s="46" t="s">
        <v>502</v>
      </c>
      <c r="AG52" s="46" t="s">
        <v>502</v>
      </c>
      <c r="AH52" s="46" t="s">
        <v>502</v>
      </c>
      <c r="AI52" s="46" t="s">
        <v>502</v>
      </c>
      <c r="AJ52" s="46" t="s">
        <v>502</v>
      </c>
      <c r="AK52" s="46" t="s">
        <v>502</v>
      </c>
      <c r="AL52" s="46" t="s">
        <v>503</v>
      </c>
      <c r="AM52" s="46" t="s">
        <v>503</v>
      </c>
      <c r="AN52" s="46" t="s">
        <v>503</v>
      </c>
      <c r="AO52" s="46" t="s">
        <v>502</v>
      </c>
      <c r="AP52" s="46" t="s">
        <v>502</v>
      </c>
      <c r="AQ52" s="49" t="s">
        <v>502</v>
      </c>
      <c r="AR52" s="46" t="s">
        <v>502</v>
      </c>
      <c r="AS52" s="46" t="s">
        <v>502</v>
      </c>
      <c r="AT52" s="49" t="s">
        <v>502</v>
      </c>
      <c r="AU52" s="46" t="s">
        <v>502</v>
      </c>
      <c r="AV52" s="46" t="s">
        <v>502</v>
      </c>
      <c r="AW52" s="49" t="s">
        <v>502</v>
      </c>
      <c r="AX52" s="46" t="s">
        <v>502</v>
      </c>
      <c r="AY52" s="46" t="s">
        <v>502</v>
      </c>
      <c r="AZ52" s="49" t="s">
        <v>502</v>
      </c>
      <c r="BA52" s="46" t="s">
        <v>502</v>
      </c>
      <c r="BB52" s="46" t="s">
        <v>502</v>
      </c>
      <c r="BC52" s="49" t="s">
        <v>502</v>
      </c>
      <c r="BD52" s="46" t="s">
        <v>502</v>
      </c>
      <c r="BE52" s="46" t="s">
        <v>502</v>
      </c>
      <c r="BF52" s="49" t="s">
        <v>502</v>
      </c>
      <c r="BG52" s="46" t="s">
        <v>502</v>
      </c>
      <c r="BH52" s="46" t="s">
        <v>502</v>
      </c>
      <c r="BI52" s="49" t="s">
        <v>502</v>
      </c>
      <c r="BJ52" s="46" t="s">
        <v>502</v>
      </c>
      <c r="BK52" s="46" t="s">
        <v>502</v>
      </c>
      <c r="BL52" s="49" t="s">
        <v>502</v>
      </c>
      <c r="BM52" s="46" t="s">
        <v>502</v>
      </c>
      <c r="BN52" s="46" t="s">
        <v>502</v>
      </c>
      <c r="BO52" s="49" t="s">
        <v>502</v>
      </c>
      <c r="BP52" s="46" t="s">
        <v>502</v>
      </c>
      <c r="BQ52" s="46" t="s">
        <v>502</v>
      </c>
      <c r="BR52" s="49" t="s">
        <v>502</v>
      </c>
      <c r="BS52" s="46" t="s">
        <v>502</v>
      </c>
      <c r="BT52" s="46" t="s">
        <v>502</v>
      </c>
      <c r="BU52" s="49" t="s">
        <v>502</v>
      </c>
      <c r="BV52" s="46" t="s">
        <v>502</v>
      </c>
      <c r="BW52" s="46" t="s">
        <v>502</v>
      </c>
      <c r="BX52" s="49" t="s">
        <v>502</v>
      </c>
      <c r="BY52" s="46" t="s">
        <v>502</v>
      </c>
      <c r="BZ52" s="46" t="s">
        <v>502</v>
      </c>
      <c r="CA52" s="49" t="s">
        <v>502</v>
      </c>
      <c r="CB52" s="46" t="s">
        <v>502</v>
      </c>
      <c r="CC52" s="46" t="s">
        <v>502</v>
      </c>
      <c r="CD52" s="49" t="s">
        <v>502</v>
      </c>
      <c r="CE52" s="46" t="s">
        <v>502</v>
      </c>
      <c r="CF52" s="46" t="s">
        <v>502</v>
      </c>
      <c r="CG52" s="49" t="s">
        <v>502</v>
      </c>
      <c r="CH52" s="46" t="s">
        <v>502</v>
      </c>
      <c r="CI52" s="46" t="s">
        <v>502</v>
      </c>
      <c r="CJ52" s="49" t="s">
        <v>502</v>
      </c>
      <c r="CK52" s="46" t="s">
        <v>502</v>
      </c>
      <c r="CL52" s="46" t="s">
        <v>502</v>
      </c>
      <c r="CM52" s="49" t="s">
        <v>502</v>
      </c>
      <c r="CN52" s="46" t="s">
        <v>502</v>
      </c>
      <c r="CO52" s="46" t="s">
        <v>502</v>
      </c>
      <c r="CP52" s="49" t="s">
        <v>502</v>
      </c>
      <c r="CQ52" s="46" t="s">
        <v>502</v>
      </c>
      <c r="CR52" s="46" t="s">
        <v>502</v>
      </c>
      <c r="CS52" s="49" t="s">
        <v>502</v>
      </c>
      <c r="CT52" s="46" t="s">
        <v>502</v>
      </c>
      <c r="CU52" s="46" t="s">
        <v>502</v>
      </c>
      <c r="CV52" s="49" t="s">
        <v>502</v>
      </c>
      <c r="CW52" s="46" t="s">
        <v>502</v>
      </c>
      <c r="CX52" s="46" t="s">
        <v>502</v>
      </c>
      <c r="CY52" s="49" t="s">
        <v>502</v>
      </c>
      <c r="CZ52" s="46">
        <f>9900/1.19</f>
        <v>8319.3277310924368</v>
      </c>
      <c r="DA52" s="47">
        <f t="shared" ref="DA52" si="74">+CZ52*19%</f>
        <v>1580.672268907563</v>
      </c>
      <c r="DB52" s="48">
        <f t="shared" ref="DB52" si="75">+CZ52+DA52</f>
        <v>9900</v>
      </c>
      <c r="DC52" s="46">
        <f>9400/1.19</f>
        <v>7899.1596638655465</v>
      </c>
      <c r="DD52" s="47">
        <f t="shared" ref="DD52" si="76">+DC52*19%</f>
        <v>1500.8403361344538</v>
      </c>
      <c r="DE52" s="48">
        <f t="shared" ref="DE52" si="77">+DC52+DD52</f>
        <v>9400</v>
      </c>
      <c r="DF52" s="46" t="s">
        <v>502</v>
      </c>
      <c r="DG52" s="46" t="s">
        <v>502</v>
      </c>
      <c r="DH52" s="49" t="s">
        <v>502</v>
      </c>
      <c r="DI52" s="46" t="s">
        <v>502</v>
      </c>
      <c r="DJ52" s="46" t="s">
        <v>502</v>
      </c>
      <c r="DK52" s="49" t="s">
        <v>502</v>
      </c>
      <c r="DL52" s="46" t="s">
        <v>502</v>
      </c>
      <c r="DM52" s="46" t="s">
        <v>502</v>
      </c>
      <c r="DN52" s="49" t="s">
        <v>502</v>
      </c>
      <c r="DO52" s="46" t="s">
        <v>502</v>
      </c>
      <c r="DP52" s="46" t="s">
        <v>502</v>
      </c>
      <c r="DQ52" s="49" t="s">
        <v>502</v>
      </c>
      <c r="DR52" s="46" t="s">
        <v>502</v>
      </c>
      <c r="DS52" s="46" t="s">
        <v>502</v>
      </c>
      <c r="DT52" s="49" t="s">
        <v>502</v>
      </c>
      <c r="DU52" s="46">
        <f>8705/1.19</f>
        <v>7315.1260504201682</v>
      </c>
      <c r="DV52" s="46">
        <f>+DU52*19%</f>
        <v>1389.873949579832</v>
      </c>
      <c r="DW52" s="46">
        <f>+DU52+DV52</f>
        <v>8705</v>
      </c>
      <c r="DX52" s="46" t="s">
        <v>502</v>
      </c>
      <c r="DY52" s="46" t="s">
        <v>502</v>
      </c>
      <c r="DZ52" s="49" t="s">
        <v>502</v>
      </c>
      <c r="EA52" s="46" t="s">
        <v>502</v>
      </c>
      <c r="EB52" s="46" t="s">
        <v>502</v>
      </c>
      <c r="EC52" s="49" t="s">
        <v>502</v>
      </c>
      <c r="ED52" s="46" t="s">
        <v>502</v>
      </c>
      <c r="EE52" s="46" t="s">
        <v>502</v>
      </c>
      <c r="EF52" s="49" t="s">
        <v>502</v>
      </c>
      <c r="EG52" s="46" t="s">
        <v>502</v>
      </c>
      <c r="EH52" s="46" t="s">
        <v>502</v>
      </c>
      <c r="EI52" s="49" t="s">
        <v>502</v>
      </c>
      <c r="EJ52" s="46" t="s">
        <v>502</v>
      </c>
      <c r="EK52" s="46" t="s">
        <v>502</v>
      </c>
      <c r="EL52" s="49" t="s">
        <v>502</v>
      </c>
      <c r="EM52" s="46" t="s">
        <v>502</v>
      </c>
      <c r="EN52" s="46" t="s">
        <v>502</v>
      </c>
      <c r="EO52" s="49" t="s">
        <v>502</v>
      </c>
      <c r="EP52" s="46" t="s">
        <v>502</v>
      </c>
      <c r="EQ52" s="46" t="s">
        <v>502</v>
      </c>
      <c r="ER52" s="49" t="s">
        <v>502</v>
      </c>
      <c r="ES52" s="46" t="s">
        <v>502</v>
      </c>
      <c r="ET52" s="46" t="s">
        <v>502</v>
      </c>
      <c r="EU52" s="49" t="s">
        <v>502</v>
      </c>
      <c r="EV52" s="46" t="s">
        <v>502</v>
      </c>
      <c r="EW52" s="46" t="s">
        <v>502</v>
      </c>
      <c r="EX52" s="49" t="s">
        <v>502</v>
      </c>
      <c r="EY52" s="46" t="s">
        <v>502</v>
      </c>
      <c r="EZ52" s="46" t="s">
        <v>502</v>
      </c>
      <c r="FA52" s="49" t="s">
        <v>502</v>
      </c>
      <c r="FB52" s="46" t="s">
        <v>502</v>
      </c>
      <c r="FC52" s="46" t="s">
        <v>502</v>
      </c>
      <c r="FD52" s="49" t="s">
        <v>502</v>
      </c>
      <c r="FE52" s="46" t="s">
        <v>502</v>
      </c>
      <c r="FF52" s="46" t="s">
        <v>502</v>
      </c>
      <c r="FG52" s="49" t="s">
        <v>502</v>
      </c>
      <c r="FH52" s="46" t="s">
        <v>502</v>
      </c>
      <c r="FI52" s="46" t="s">
        <v>502</v>
      </c>
      <c r="FJ52" s="49" t="s">
        <v>502</v>
      </c>
      <c r="FK52" s="46" t="s">
        <v>502</v>
      </c>
      <c r="FL52" s="46" t="s">
        <v>502</v>
      </c>
      <c r="FM52" s="49" t="s">
        <v>502</v>
      </c>
      <c r="FN52" s="46" t="s">
        <v>502</v>
      </c>
      <c r="FO52" s="46" t="s">
        <v>502</v>
      </c>
      <c r="FP52" s="49" t="s">
        <v>502</v>
      </c>
      <c r="FQ52" s="46" t="s">
        <v>502</v>
      </c>
      <c r="FR52" s="46" t="s">
        <v>502</v>
      </c>
      <c r="FS52" s="49" t="s">
        <v>502</v>
      </c>
      <c r="FT52" s="46" t="s">
        <v>502</v>
      </c>
      <c r="FU52" s="46" t="s">
        <v>502</v>
      </c>
      <c r="FV52" s="49" t="s">
        <v>502</v>
      </c>
      <c r="FW52" s="50">
        <f t="shared" si="7"/>
        <v>4</v>
      </c>
      <c r="FX52" s="51">
        <f t="shared" si="8"/>
        <v>9701.25</v>
      </c>
      <c r="FY52" s="46">
        <f t="shared" si="6"/>
        <v>9750</v>
      </c>
      <c r="FZ52" s="52" t="s">
        <v>504</v>
      </c>
    </row>
    <row r="53" spans="1:183" ht="126" customHeight="1" x14ac:dyDescent="0.2">
      <c r="A53" s="53">
        <v>50</v>
      </c>
      <c r="B53" s="60" t="s">
        <v>12</v>
      </c>
      <c r="C53" s="41" t="s">
        <v>318</v>
      </c>
      <c r="D53" s="42">
        <v>93141701</v>
      </c>
      <c r="E53" s="43" t="s">
        <v>334</v>
      </c>
      <c r="F53" s="41" t="s">
        <v>54</v>
      </c>
      <c r="G53" s="66"/>
      <c r="H53" s="46" t="s">
        <v>502</v>
      </c>
      <c r="I53" s="46" t="s">
        <v>502</v>
      </c>
      <c r="J53" s="46" t="s">
        <v>502</v>
      </c>
      <c r="K53" s="46" t="s">
        <v>502</v>
      </c>
      <c r="L53" s="46" t="s">
        <v>502</v>
      </c>
      <c r="M53" s="46" t="s">
        <v>502</v>
      </c>
      <c r="N53" s="46" t="s">
        <v>502</v>
      </c>
      <c r="O53" s="46" t="s">
        <v>502</v>
      </c>
      <c r="P53" s="46" t="s">
        <v>502</v>
      </c>
      <c r="Q53" s="46" t="s">
        <v>502</v>
      </c>
      <c r="R53" s="46" t="s">
        <v>502</v>
      </c>
      <c r="S53" s="46" t="s">
        <v>502</v>
      </c>
      <c r="T53" s="46" t="s">
        <v>502</v>
      </c>
      <c r="U53" s="46" t="s">
        <v>502</v>
      </c>
      <c r="V53" s="46" t="s">
        <v>502</v>
      </c>
      <c r="W53" s="46" t="s">
        <v>502</v>
      </c>
      <c r="X53" s="46" t="s">
        <v>502</v>
      </c>
      <c r="Y53" s="46" t="s">
        <v>502</v>
      </c>
      <c r="Z53" s="46" t="s">
        <v>502</v>
      </c>
      <c r="AA53" s="46" t="s">
        <v>502</v>
      </c>
      <c r="AB53" s="46" t="s">
        <v>502</v>
      </c>
      <c r="AC53" s="46" t="s">
        <v>502</v>
      </c>
      <c r="AD53" s="46" t="s">
        <v>502</v>
      </c>
      <c r="AE53" s="46" t="s">
        <v>502</v>
      </c>
      <c r="AF53" s="46" t="s">
        <v>502</v>
      </c>
      <c r="AG53" s="46" t="s">
        <v>502</v>
      </c>
      <c r="AH53" s="46" t="s">
        <v>502</v>
      </c>
      <c r="AI53" s="46" t="s">
        <v>502</v>
      </c>
      <c r="AJ53" s="46" t="s">
        <v>502</v>
      </c>
      <c r="AK53" s="46" t="s">
        <v>502</v>
      </c>
      <c r="AL53" s="46" t="s">
        <v>502</v>
      </c>
      <c r="AM53" s="46" t="s">
        <v>502</v>
      </c>
      <c r="AN53" s="49" t="s">
        <v>502</v>
      </c>
      <c r="AO53" s="46" t="s">
        <v>502</v>
      </c>
      <c r="AP53" s="46" t="s">
        <v>502</v>
      </c>
      <c r="AQ53" s="49" t="s">
        <v>502</v>
      </c>
      <c r="AR53" s="46" t="s">
        <v>502</v>
      </c>
      <c r="AS53" s="46" t="s">
        <v>502</v>
      </c>
      <c r="AT53" s="49" t="s">
        <v>502</v>
      </c>
      <c r="AU53" s="46">
        <f>235000+199000+389000+320000</f>
        <v>1143000</v>
      </c>
      <c r="AV53" s="46">
        <f>+AU53*19%</f>
        <v>217170</v>
      </c>
      <c r="AW53" s="46">
        <f>+AU53+AV53</f>
        <v>1360170</v>
      </c>
      <c r="AX53" s="46" t="s">
        <v>502</v>
      </c>
      <c r="AY53" s="46" t="s">
        <v>502</v>
      </c>
      <c r="AZ53" s="49" t="s">
        <v>502</v>
      </c>
      <c r="BA53" s="46" t="s">
        <v>502</v>
      </c>
      <c r="BB53" s="46" t="s">
        <v>502</v>
      </c>
      <c r="BC53" s="49" t="s">
        <v>502</v>
      </c>
      <c r="BD53" s="46" t="s">
        <v>502</v>
      </c>
      <c r="BE53" s="46" t="s">
        <v>502</v>
      </c>
      <c r="BF53" s="49" t="s">
        <v>502</v>
      </c>
      <c r="BG53" s="46" t="s">
        <v>502</v>
      </c>
      <c r="BH53" s="46" t="s">
        <v>502</v>
      </c>
      <c r="BI53" s="49" t="s">
        <v>502</v>
      </c>
      <c r="BJ53" s="46" t="s">
        <v>502</v>
      </c>
      <c r="BK53" s="46" t="s">
        <v>502</v>
      </c>
      <c r="BL53" s="49" t="s">
        <v>502</v>
      </c>
      <c r="BM53" s="46" t="s">
        <v>502</v>
      </c>
      <c r="BN53" s="46" t="s">
        <v>502</v>
      </c>
      <c r="BO53" s="49" t="s">
        <v>502</v>
      </c>
      <c r="BP53" s="46">
        <v>2400000</v>
      </c>
      <c r="BQ53" s="46">
        <f>+BP53*19%</f>
        <v>456000</v>
      </c>
      <c r="BR53" s="49">
        <f>+BP53+BQ53</f>
        <v>2856000</v>
      </c>
      <c r="BS53" s="46" t="s">
        <v>502</v>
      </c>
      <c r="BT53" s="46" t="s">
        <v>502</v>
      </c>
      <c r="BU53" s="49" t="s">
        <v>502</v>
      </c>
      <c r="BV53" s="46" t="s">
        <v>502</v>
      </c>
      <c r="BW53" s="46" t="s">
        <v>502</v>
      </c>
      <c r="BX53" s="49" t="s">
        <v>502</v>
      </c>
      <c r="BY53" s="46" t="s">
        <v>502</v>
      </c>
      <c r="BZ53" s="46" t="s">
        <v>502</v>
      </c>
      <c r="CA53" s="49" t="s">
        <v>502</v>
      </c>
      <c r="CB53" s="46" t="s">
        <v>502</v>
      </c>
      <c r="CC53" s="46" t="s">
        <v>502</v>
      </c>
      <c r="CD53" s="49" t="s">
        <v>502</v>
      </c>
      <c r="CE53" s="46" t="s">
        <v>502</v>
      </c>
      <c r="CF53" s="46" t="s">
        <v>502</v>
      </c>
      <c r="CG53" s="49" t="s">
        <v>502</v>
      </c>
      <c r="CH53" s="46" t="s">
        <v>502</v>
      </c>
      <c r="CI53" s="46" t="s">
        <v>502</v>
      </c>
      <c r="CJ53" s="49" t="s">
        <v>502</v>
      </c>
      <c r="CK53" s="46" t="s">
        <v>502</v>
      </c>
      <c r="CL53" s="46" t="s">
        <v>502</v>
      </c>
      <c r="CM53" s="49" t="s">
        <v>502</v>
      </c>
      <c r="CN53" s="46" t="s">
        <v>502</v>
      </c>
      <c r="CO53" s="46" t="s">
        <v>502</v>
      </c>
      <c r="CP53" s="49" t="s">
        <v>502</v>
      </c>
      <c r="CQ53" s="46" t="s">
        <v>502</v>
      </c>
      <c r="CR53" s="46" t="s">
        <v>502</v>
      </c>
      <c r="CS53" s="49" t="s">
        <v>502</v>
      </c>
      <c r="CT53" s="46" t="s">
        <v>502</v>
      </c>
      <c r="CU53" s="46" t="s">
        <v>502</v>
      </c>
      <c r="CV53" s="49" t="s">
        <v>502</v>
      </c>
      <c r="CW53" s="46" t="s">
        <v>502</v>
      </c>
      <c r="CX53" s="46" t="s">
        <v>502</v>
      </c>
      <c r="CY53" s="49" t="s">
        <v>502</v>
      </c>
      <c r="CZ53" s="46" t="s">
        <v>502</v>
      </c>
      <c r="DA53" s="46" t="s">
        <v>502</v>
      </c>
      <c r="DB53" s="49" t="s">
        <v>502</v>
      </c>
      <c r="DC53" s="46" t="s">
        <v>502</v>
      </c>
      <c r="DD53" s="46" t="s">
        <v>502</v>
      </c>
      <c r="DE53" s="49" t="s">
        <v>502</v>
      </c>
      <c r="DF53" s="46" t="s">
        <v>502</v>
      </c>
      <c r="DG53" s="46" t="s">
        <v>502</v>
      </c>
      <c r="DH53" s="49" t="s">
        <v>502</v>
      </c>
      <c r="DI53" s="46" t="s">
        <v>502</v>
      </c>
      <c r="DJ53" s="46" t="s">
        <v>502</v>
      </c>
      <c r="DK53" s="49" t="s">
        <v>502</v>
      </c>
      <c r="DL53" s="46" t="s">
        <v>502</v>
      </c>
      <c r="DM53" s="46" t="s">
        <v>502</v>
      </c>
      <c r="DN53" s="49" t="s">
        <v>502</v>
      </c>
      <c r="DO53" s="46" t="s">
        <v>502</v>
      </c>
      <c r="DP53" s="46" t="s">
        <v>502</v>
      </c>
      <c r="DQ53" s="49" t="s">
        <v>502</v>
      </c>
      <c r="DR53" s="46" t="s">
        <v>502</v>
      </c>
      <c r="DS53" s="46" t="s">
        <v>502</v>
      </c>
      <c r="DT53" s="49" t="s">
        <v>502</v>
      </c>
      <c r="DU53" s="46" t="s">
        <v>502</v>
      </c>
      <c r="DV53" s="46" t="s">
        <v>502</v>
      </c>
      <c r="DW53" s="49" t="s">
        <v>502</v>
      </c>
      <c r="DX53" s="46" t="s">
        <v>502</v>
      </c>
      <c r="DY53" s="46" t="s">
        <v>502</v>
      </c>
      <c r="DZ53" s="49" t="s">
        <v>502</v>
      </c>
      <c r="EA53" s="46" t="s">
        <v>502</v>
      </c>
      <c r="EB53" s="46" t="s">
        <v>502</v>
      </c>
      <c r="EC53" s="49" t="s">
        <v>502</v>
      </c>
      <c r="ED53" s="46" t="s">
        <v>502</v>
      </c>
      <c r="EE53" s="46" t="s">
        <v>502</v>
      </c>
      <c r="EF53" s="49" t="s">
        <v>502</v>
      </c>
      <c r="EG53" s="46" t="s">
        <v>502</v>
      </c>
      <c r="EH53" s="46" t="s">
        <v>502</v>
      </c>
      <c r="EI53" s="49" t="s">
        <v>502</v>
      </c>
      <c r="EJ53" s="46" t="s">
        <v>502</v>
      </c>
      <c r="EK53" s="46" t="s">
        <v>502</v>
      </c>
      <c r="EL53" s="49" t="s">
        <v>502</v>
      </c>
      <c r="EM53" s="46" t="s">
        <v>502</v>
      </c>
      <c r="EN53" s="46" t="s">
        <v>502</v>
      </c>
      <c r="EO53" s="49" t="s">
        <v>502</v>
      </c>
      <c r="EP53" s="46" t="s">
        <v>502</v>
      </c>
      <c r="EQ53" s="46" t="s">
        <v>502</v>
      </c>
      <c r="ER53" s="49" t="s">
        <v>502</v>
      </c>
      <c r="ES53" s="46" t="s">
        <v>502</v>
      </c>
      <c r="ET53" s="46" t="s">
        <v>502</v>
      </c>
      <c r="EU53" s="49" t="s">
        <v>502</v>
      </c>
      <c r="EV53" s="46" t="s">
        <v>502</v>
      </c>
      <c r="EW53" s="46" t="s">
        <v>502</v>
      </c>
      <c r="EX53" s="49" t="s">
        <v>502</v>
      </c>
      <c r="EY53" s="46" t="s">
        <v>502</v>
      </c>
      <c r="EZ53" s="46" t="s">
        <v>502</v>
      </c>
      <c r="FA53" s="49" t="s">
        <v>502</v>
      </c>
      <c r="FB53" s="46" t="s">
        <v>502</v>
      </c>
      <c r="FC53" s="46" t="s">
        <v>502</v>
      </c>
      <c r="FD53" s="49" t="s">
        <v>502</v>
      </c>
      <c r="FE53" s="46" t="s">
        <v>502</v>
      </c>
      <c r="FF53" s="46" t="s">
        <v>502</v>
      </c>
      <c r="FG53" s="49" t="s">
        <v>502</v>
      </c>
      <c r="FH53" s="46" t="s">
        <v>502</v>
      </c>
      <c r="FI53" s="46" t="s">
        <v>502</v>
      </c>
      <c r="FJ53" s="49" t="s">
        <v>502</v>
      </c>
      <c r="FK53" s="46" t="s">
        <v>502</v>
      </c>
      <c r="FL53" s="46" t="s">
        <v>502</v>
      </c>
      <c r="FM53" s="49" t="s">
        <v>502</v>
      </c>
      <c r="FN53" s="46" t="s">
        <v>502</v>
      </c>
      <c r="FO53" s="46" t="s">
        <v>502</v>
      </c>
      <c r="FP53" s="49" t="s">
        <v>502</v>
      </c>
      <c r="FQ53" s="46" t="s">
        <v>502</v>
      </c>
      <c r="FR53" s="46" t="s">
        <v>502</v>
      </c>
      <c r="FS53" s="49" t="s">
        <v>502</v>
      </c>
      <c r="FT53" s="46" t="s">
        <v>502</v>
      </c>
      <c r="FU53" s="46" t="s">
        <v>502</v>
      </c>
      <c r="FV53" s="49" t="s">
        <v>502</v>
      </c>
      <c r="FW53" s="50">
        <f t="shared" si="7"/>
        <v>2</v>
      </c>
      <c r="FX53" s="51">
        <f t="shared" si="8"/>
        <v>2108085</v>
      </c>
      <c r="FY53" s="46">
        <f t="shared" si="6"/>
        <v>2108100</v>
      </c>
      <c r="FZ53" s="52" t="s">
        <v>504</v>
      </c>
      <c r="GA53" s="79">
        <v>2108100</v>
      </c>
    </row>
    <row r="54" spans="1:183" ht="126" customHeight="1" x14ac:dyDescent="0.2">
      <c r="A54" s="39">
        <v>51</v>
      </c>
      <c r="B54" s="40" t="s">
        <v>12</v>
      </c>
      <c r="C54" s="41" t="s">
        <v>355</v>
      </c>
      <c r="D54" s="42">
        <v>45111500</v>
      </c>
      <c r="E54" s="43" t="s">
        <v>356</v>
      </c>
      <c r="F54" s="41" t="s">
        <v>229</v>
      </c>
      <c r="G54" s="66"/>
      <c r="H54" s="46" t="s">
        <v>502</v>
      </c>
      <c r="I54" s="46" t="s">
        <v>502</v>
      </c>
      <c r="J54" s="46" t="s">
        <v>502</v>
      </c>
      <c r="K54" s="46" t="s">
        <v>502</v>
      </c>
      <c r="L54" s="46" t="s">
        <v>502</v>
      </c>
      <c r="M54" s="46" t="s">
        <v>502</v>
      </c>
      <c r="N54" s="46" t="s">
        <v>502</v>
      </c>
      <c r="O54" s="46" t="s">
        <v>502</v>
      </c>
      <c r="P54" s="46" t="s">
        <v>502</v>
      </c>
      <c r="Q54" s="46" t="s">
        <v>502</v>
      </c>
      <c r="R54" s="46" t="s">
        <v>502</v>
      </c>
      <c r="S54" s="46" t="s">
        <v>502</v>
      </c>
      <c r="T54" s="46" t="s">
        <v>502</v>
      </c>
      <c r="U54" s="46" t="s">
        <v>502</v>
      </c>
      <c r="V54" s="46" t="s">
        <v>502</v>
      </c>
      <c r="W54" s="46" t="s">
        <v>502</v>
      </c>
      <c r="X54" s="46" t="s">
        <v>502</v>
      </c>
      <c r="Y54" s="46" t="s">
        <v>502</v>
      </c>
      <c r="Z54" s="46" t="s">
        <v>502</v>
      </c>
      <c r="AA54" s="46" t="s">
        <v>502</v>
      </c>
      <c r="AB54" s="46" t="s">
        <v>502</v>
      </c>
      <c r="AC54" s="46" t="s">
        <v>502</v>
      </c>
      <c r="AD54" s="46" t="s">
        <v>502</v>
      </c>
      <c r="AE54" s="46" t="s">
        <v>502</v>
      </c>
      <c r="AF54" s="46" t="s">
        <v>502</v>
      </c>
      <c r="AG54" s="46" t="s">
        <v>502</v>
      </c>
      <c r="AH54" s="46" t="s">
        <v>502</v>
      </c>
      <c r="AI54" s="46" t="s">
        <v>502</v>
      </c>
      <c r="AJ54" s="46" t="s">
        <v>502</v>
      </c>
      <c r="AK54" s="46" t="s">
        <v>502</v>
      </c>
      <c r="AL54" s="46" t="s">
        <v>502</v>
      </c>
      <c r="AM54" s="46" t="s">
        <v>502</v>
      </c>
      <c r="AN54" s="49" t="s">
        <v>502</v>
      </c>
      <c r="AO54" s="46" t="s">
        <v>502</v>
      </c>
      <c r="AP54" s="46" t="s">
        <v>502</v>
      </c>
      <c r="AQ54" s="49" t="s">
        <v>502</v>
      </c>
      <c r="AR54" s="46" t="s">
        <v>503</v>
      </c>
      <c r="AS54" s="46" t="s">
        <v>503</v>
      </c>
      <c r="AT54" s="46" t="s">
        <v>503</v>
      </c>
      <c r="AU54" s="46" t="s">
        <v>502</v>
      </c>
      <c r="AV54" s="46" t="s">
        <v>502</v>
      </c>
      <c r="AW54" s="49" t="s">
        <v>502</v>
      </c>
      <c r="AX54" s="46">
        <f>1200000/1.19</f>
        <v>1008403.3613445378</v>
      </c>
      <c r="AY54" s="46">
        <f>+AX54*19%</f>
        <v>191596.63865546219</v>
      </c>
      <c r="AZ54" s="46">
        <f>+AX54+AY54</f>
        <v>1200000</v>
      </c>
      <c r="BA54" s="46">
        <f>1300000/1.19</f>
        <v>1092436.9747899161</v>
      </c>
      <c r="BB54" s="46">
        <f>+BA54*19%</f>
        <v>207563.02521008404</v>
      </c>
      <c r="BC54" s="46">
        <f>+BA54+BB54</f>
        <v>1300000</v>
      </c>
      <c r="BD54" s="46">
        <f>1200000/1.19</f>
        <v>1008403.3613445378</v>
      </c>
      <c r="BE54" s="46">
        <f>+BD54*19%</f>
        <v>191596.63865546219</v>
      </c>
      <c r="BF54" s="46">
        <f>+BD54+BE54</f>
        <v>1200000</v>
      </c>
      <c r="BG54" s="46" t="s">
        <v>502</v>
      </c>
      <c r="BH54" s="46" t="s">
        <v>502</v>
      </c>
      <c r="BI54" s="49" t="s">
        <v>502</v>
      </c>
      <c r="BJ54" s="46" t="s">
        <v>502</v>
      </c>
      <c r="BK54" s="46" t="s">
        <v>502</v>
      </c>
      <c r="BL54" s="49" t="s">
        <v>502</v>
      </c>
      <c r="BM54" s="46" t="s">
        <v>502</v>
      </c>
      <c r="BN54" s="46" t="s">
        <v>502</v>
      </c>
      <c r="BO54" s="49" t="s">
        <v>502</v>
      </c>
      <c r="BP54" s="46" t="s">
        <v>502</v>
      </c>
      <c r="BQ54" s="46" t="s">
        <v>502</v>
      </c>
      <c r="BR54" s="49" t="s">
        <v>502</v>
      </c>
      <c r="BS54" s="46" t="s">
        <v>502</v>
      </c>
      <c r="BT54" s="46" t="s">
        <v>502</v>
      </c>
      <c r="BU54" s="49" t="s">
        <v>502</v>
      </c>
      <c r="BV54" s="46" t="s">
        <v>502</v>
      </c>
      <c r="BW54" s="46" t="s">
        <v>502</v>
      </c>
      <c r="BX54" s="49" t="s">
        <v>502</v>
      </c>
      <c r="BY54" s="46" t="s">
        <v>502</v>
      </c>
      <c r="BZ54" s="46" t="s">
        <v>502</v>
      </c>
      <c r="CA54" s="49" t="s">
        <v>502</v>
      </c>
      <c r="CB54" s="46" t="s">
        <v>502</v>
      </c>
      <c r="CC54" s="46" t="s">
        <v>502</v>
      </c>
      <c r="CD54" s="49" t="s">
        <v>502</v>
      </c>
      <c r="CE54" s="46" t="s">
        <v>502</v>
      </c>
      <c r="CF54" s="46" t="s">
        <v>502</v>
      </c>
      <c r="CG54" s="49" t="s">
        <v>502</v>
      </c>
      <c r="CH54" s="46" t="s">
        <v>502</v>
      </c>
      <c r="CI54" s="46" t="s">
        <v>502</v>
      </c>
      <c r="CJ54" s="49" t="s">
        <v>502</v>
      </c>
      <c r="CK54" s="46" t="s">
        <v>502</v>
      </c>
      <c r="CL54" s="46" t="s">
        <v>502</v>
      </c>
      <c r="CM54" s="49" t="s">
        <v>502</v>
      </c>
      <c r="CN54" s="46" t="s">
        <v>502</v>
      </c>
      <c r="CO54" s="46" t="s">
        <v>502</v>
      </c>
      <c r="CP54" s="49" t="s">
        <v>502</v>
      </c>
      <c r="CQ54" s="46" t="s">
        <v>502</v>
      </c>
      <c r="CR54" s="46" t="s">
        <v>502</v>
      </c>
      <c r="CS54" s="49" t="s">
        <v>502</v>
      </c>
      <c r="CT54" s="46" t="s">
        <v>502</v>
      </c>
      <c r="CU54" s="46" t="s">
        <v>502</v>
      </c>
      <c r="CV54" s="49" t="s">
        <v>502</v>
      </c>
      <c r="CW54" s="46" t="s">
        <v>502</v>
      </c>
      <c r="CX54" s="46" t="s">
        <v>502</v>
      </c>
      <c r="CY54" s="49" t="s">
        <v>502</v>
      </c>
      <c r="CZ54" s="46" t="s">
        <v>502</v>
      </c>
      <c r="DA54" s="46" t="s">
        <v>502</v>
      </c>
      <c r="DB54" s="49" t="s">
        <v>502</v>
      </c>
      <c r="DC54" s="46" t="s">
        <v>502</v>
      </c>
      <c r="DD54" s="46" t="s">
        <v>502</v>
      </c>
      <c r="DE54" s="49" t="s">
        <v>502</v>
      </c>
      <c r="DF54" s="46" t="s">
        <v>502</v>
      </c>
      <c r="DG54" s="46" t="s">
        <v>502</v>
      </c>
      <c r="DH54" s="49" t="s">
        <v>502</v>
      </c>
      <c r="DI54" s="46" t="s">
        <v>502</v>
      </c>
      <c r="DJ54" s="46" t="s">
        <v>502</v>
      </c>
      <c r="DK54" s="49" t="s">
        <v>502</v>
      </c>
      <c r="DL54" s="46" t="s">
        <v>502</v>
      </c>
      <c r="DM54" s="46" t="s">
        <v>502</v>
      </c>
      <c r="DN54" s="49" t="s">
        <v>502</v>
      </c>
      <c r="DO54" s="46" t="s">
        <v>502</v>
      </c>
      <c r="DP54" s="46" t="s">
        <v>502</v>
      </c>
      <c r="DQ54" s="49" t="s">
        <v>502</v>
      </c>
      <c r="DR54" s="46" t="s">
        <v>502</v>
      </c>
      <c r="DS54" s="46" t="s">
        <v>502</v>
      </c>
      <c r="DT54" s="49" t="s">
        <v>502</v>
      </c>
      <c r="DU54" s="46" t="s">
        <v>502</v>
      </c>
      <c r="DV54" s="46" t="s">
        <v>502</v>
      </c>
      <c r="DW54" s="49" t="s">
        <v>502</v>
      </c>
      <c r="DX54" s="46" t="s">
        <v>502</v>
      </c>
      <c r="DY54" s="46" t="s">
        <v>502</v>
      </c>
      <c r="DZ54" s="49" t="s">
        <v>502</v>
      </c>
      <c r="EA54" s="46" t="s">
        <v>502</v>
      </c>
      <c r="EB54" s="46" t="s">
        <v>502</v>
      </c>
      <c r="EC54" s="49" t="s">
        <v>502</v>
      </c>
      <c r="ED54" s="46" t="s">
        <v>502</v>
      </c>
      <c r="EE54" s="46" t="s">
        <v>502</v>
      </c>
      <c r="EF54" s="49" t="s">
        <v>502</v>
      </c>
      <c r="EG54" s="46" t="s">
        <v>502</v>
      </c>
      <c r="EH54" s="46" t="s">
        <v>502</v>
      </c>
      <c r="EI54" s="49" t="s">
        <v>502</v>
      </c>
      <c r="EJ54" s="46" t="s">
        <v>502</v>
      </c>
      <c r="EK54" s="46" t="s">
        <v>502</v>
      </c>
      <c r="EL54" s="49" t="s">
        <v>502</v>
      </c>
      <c r="EM54" s="46" t="s">
        <v>502</v>
      </c>
      <c r="EN54" s="46" t="s">
        <v>502</v>
      </c>
      <c r="EO54" s="49" t="s">
        <v>502</v>
      </c>
      <c r="EP54" s="46" t="s">
        <v>502</v>
      </c>
      <c r="EQ54" s="46" t="s">
        <v>502</v>
      </c>
      <c r="ER54" s="49" t="s">
        <v>502</v>
      </c>
      <c r="ES54" s="46" t="s">
        <v>502</v>
      </c>
      <c r="ET54" s="46" t="s">
        <v>502</v>
      </c>
      <c r="EU54" s="49" t="s">
        <v>502</v>
      </c>
      <c r="EV54" s="46" t="s">
        <v>502</v>
      </c>
      <c r="EW54" s="46" t="s">
        <v>502</v>
      </c>
      <c r="EX54" s="49" t="s">
        <v>502</v>
      </c>
      <c r="EY54" s="46" t="s">
        <v>502</v>
      </c>
      <c r="EZ54" s="46" t="s">
        <v>502</v>
      </c>
      <c r="FA54" s="49" t="s">
        <v>502</v>
      </c>
      <c r="FB54" s="46" t="s">
        <v>502</v>
      </c>
      <c r="FC54" s="46" t="s">
        <v>502</v>
      </c>
      <c r="FD54" s="49" t="s">
        <v>502</v>
      </c>
      <c r="FE54" s="46" t="s">
        <v>502</v>
      </c>
      <c r="FF54" s="46" t="s">
        <v>502</v>
      </c>
      <c r="FG54" s="49" t="s">
        <v>502</v>
      </c>
      <c r="FH54" s="46" t="s">
        <v>502</v>
      </c>
      <c r="FI54" s="46" t="s">
        <v>502</v>
      </c>
      <c r="FJ54" s="49" t="s">
        <v>502</v>
      </c>
      <c r="FK54" s="46" t="s">
        <v>502</v>
      </c>
      <c r="FL54" s="46" t="s">
        <v>502</v>
      </c>
      <c r="FM54" s="49" t="s">
        <v>502</v>
      </c>
      <c r="FN54" s="46" t="s">
        <v>502</v>
      </c>
      <c r="FO54" s="46" t="s">
        <v>502</v>
      </c>
      <c r="FP54" s="49" t="s">
        <v>502</v>
      </c>
      <c r="FQ54" s="46" t="s">
        <v>502</v>
      </c>
      <c r="FR54" s="46" t="s">
        <v>502</v>
      </c>
      <c r="FS54" s="49" t="s">
        <v>502</v>
      </c>
      <c r="FT54" s="46" t="s">
        <v>502</v>
      </c>
      <c r="FU54" s="46" t="s">
        <v>502</v>
      </c>
      <c r="FV54" s="49" t="s">
        <v>502</v>
      </c>
      <c r="FW54" s="50">
        <f t="shared" si="7"/>
        <v>3</v>
      </c>
      <c r="FX54" s="51">
        <f t="shared" si="8"/>
        <v>1233333.3333333333</v>
      </c>
      <c r="FY54" s="46">
        <f t="shared" si="6"/>
        <v>1233350</v>
      </c>
      <c r="FZ54" s="52" t="s">
        <v>504</v>
      </c>
    </row>
    <row r="55" spans="1:183" ht="126" customHeight="1" x14ac:dyDescent="0.2">
      <c r="A55" s="53">
        <v>52</v>
      </c>
      <c r="B55" s="40" t="s">
        <v>12</v>
      </c>
      <c r="C55" s="41" t="s">
        <v>357</v>
      </c>
      <c r="D55" s="42">
        <v>45111500</v>
      </c>
      <c r="E55" s="43" t="s">
        <v>358</v>
      </c>
      <c r="F55" s="41" t="s">
        <v>229</v>
      </c>
      <c r="G55" s="66"/>
      <c r="H55" s="46" t="s">
        <v>502</v>
      </c>
      <c r="I55" s="46" t="s">
        <v>502</v>
      </c>
      <c r="J55" s="46" t="s">
        <v>502</v>
      </c>
      <c r="K55" s="46" t="s">
        <v>502</v>
      </c>
      <c r="L55" s="46" t="s">
        <v>502</v>
      </c>
      <c r="M55" s="46" t="s">
        <v>502</v>
      </c>
      <c r="N55" s="46" t="s">
        <v>502</v>
      </c>
      <c r="O55" s="46" t="s">
        <v>502</v>
      </c>
      <c r="P55" s="46" t="s">
        <v>502</v>
      </c>
      <c r="Q55" s="46" t="s">
        <v>502</v>
      </c>
      <c r="R55" s="46" t="s">
        <v>502</v>
      </c>
      <c r="S55" s="46" t="s">
        <v>502</v>
      </c>
      <c r="T55" s="46" t="s">
        <v>502</v>
      </c>
      <c r="U55" s="46" t="s">
        <v>502</v>
      </c>
      <c r="V55" s="46" t="s">
        <v>502</v>
      </c>
      <c r="W55" s="46" t="s">
        <v>502</v>
      </c>
      <c r="X55" s="46" t="s">
        <v>502</v>
      </c>
      <c r="Y55" s="46" t="s">
        <v>502</v>
      </c>
      <c r="Z55" s="46" t="s">
        <v>502</v>
      </c>
      <c r="AA55" s="46" t="s">
        <v>502</v>
      </c>
      <c r="AB55" s="46" t="s">
        <v>502</v>
      </c>
      <c r="AC55" s="46" t="s">
        <v>502</v>
      </c>
      <c r="AD55" s="46" t="s">
        <v>502</v>
      </c>
      <c r="AE55" s="46" t="s">
        <v>502</v>
      </c>
      <c r="AF55" s="46" t="s">
        <v>502</v>
      </c>
      <c r="AG55" s="46" t="s">
        <v>502</v>
      </c>
      <c r="AH55" s="46" t="s">
        <v>502</v>
      </c>
      <c r="AI55" s="46" t="s">
        <v>502</v>
      </c>
      <c r="AJ55" s="46" t="s">
        <v>502</v>
      </c>
      <c r="AK55" s="46" t="s">
        <v>502</v>
      </c>
      <c r="AL55" s="46" t="s">
        <v>502</v>
      </c>
      <c r="AM55" s="46" t="s">
        <v>502</v>
      </c>
      <c r="AN55" s="49" t="s">
        <v>502</v>
      </c>
      <c r="AO55" s="46" t="s">
        <v>502</v>
      </c>
      <c r="AP55" s="46" t="s">
        <v>502</v>
      </c>
      <c r="AQ55" s="49" t="s">
        <v>502</v>
      </c>
      <c r="AR55" s="46">
        <f>100000/1.19</f>
        <v>84033.613445378156</v>
      </c>
      <c r="AS55" s="46">
        <f>+AR55*19%</f>
        <v>15966.386554621849</v>
      </c>
      <c r="AT55" s="49">
        <f>+AR55+AS55</f>
        <v>100000</v>
      </c>
      <c r="AU55" s="46" t="s">
        <v>502</v>
      </c>
      <c r="AV55" s="46" t="s">
        <v>502</v>
      </c>
      <c r="AW55" s="49" t="s">
        <v>502</v>
      </c>
      <c r="AX55" s="46">
        <f>110000/1.19</f>
        <v>92436.97478991597</v>
      </c>
      <c r="AY55" s="46">
        <f>+AX55*19%</f>
        <v>17563.025210084033</v>
      </c>
      <c r="AZ55" s="46">
        <f>+AX55+AY55</f>
        <v>110000</v>
      </c>
      <c r="BA55" s="46">
        <f>100000/1.19</f>
        <v>84033.613445378156</v>
      </c>
      <c r="BB55" s="46">
        <f>+BA55*19%</f>
        <v>15966.386554621849</v>
      </c>
      <c r="BC55" s="46">
        <f>+BA55+BB55</f>
        <v>100000</v>
      </c>
      <c r="BD55" s="46" t="s">
        <v>503</v>
      </c>
      <c r="BE55" s="46" t="s">
        <v>503</v>
      </c>
      <c r="BF55" s="46" t="s">
        <v>503</v>
      </c>
      <c r="BG55" s="46" t="s">
        <v>502</v>
      </c>
      <c r="BH55" s="46" t="s">
        <v>502</v>
      </c>
      <c r="BI55" s="49" t="s">
        <v>502</v>
      </c>
      <c r="BJ55" s="46" t="s">
        <v>502</v>
      </c>
      <c r="BK55" s="46" t="s">
        <v>502</v>
      </c>
      <c r="BL55" s="49" t="s">
        <v>502</v>
      </c>
      <c r="BM55" s="46" t="s">
        <v>502</v>
      </c>
      <c r="BN55" s="46" t="s">
        <v>502</v>
      </c>
      <c r="BO55" s="49" t="s">
        <v>502</v>
      </c>
      <c r="BP55" s="46" t="s">
        <v>502</v>
      </c>
      <c r="BQ55" s="46" t="s">
        <v>502</v>
      </c>
      <c r="BR55" s="49" t="s">
        <v>502</v>
      </c>
      <c r="BS55" s="46" t="s">
        <v>502</v>
      </c>
      <c r="BT55" s="46" t="s">
        <v>502</v>
      </c>
      <c r="BU55" s="49" t="s">
        <v>502</v>
      </c>
      <c r="BV55" s="46" t="s">
        <v>502</v>
      </c>
      <c r="BW55" s="46" t="s">
        <v>502</v>
      </c>
      <c r="BX55" s="49" t="s">
        <v>502</v>
      </c>
      <c r="BY55" s="46" t="s">
        <v>502</v>
      </c>
      <c r="BZ55" s="46" t="s">
        <v>502</v>
      </c>
      <c r="CA55" s="49" t="s">
        <v>502</v>
      </c>
      <c r="CB55" s="46" t="s">
        <v>502</v>
      </c>
      <c r="CC55" s="46" t="s">
        <v>502</v>
      </c>
      <c r="CD55" s="49" t="s">
        <v>502</v>
      </c>
      <c r="CE55" s="46" t="s">
        <v>502</v>
      </c>
      <c r="CF55" s="46" t="s">
        <v>502</v>
      </c>
      <c r="CG55" s="49" t="s">
        <v>502</v>
      </c>
      <c r="CH55" s="46" t="s">
        <v>502</v>
      </c>
      <c r="CI55" s="46" t="s">
        <v>502</v>
      </c>
      <c r="CJ55" s="49" t="s">
        <v>502</v>
      </c>
      <c r="CK55" s="46" t="s">
        <v>502</v>
      </c>
      <c r="CL55" s="46" t="s">
        <v>502</v>
      </c>
      <c r="CM55" s="49" t="s">
        <v>502</v>
      </c>
      <c r="CN55" s="46" t="s">
        <v>502</v>
      </c>
      <c r="CO55" s="46" t="s">
        <v>502</v>
      </c>
      <c r="CP55" s="49" t="s">
        <v>502</v>
      </c>
      <c r="CQ55" s="46" t="s">
        <v>502</v>
      </c>
      <c r="CR55" s="46" t="s">
        <v>502</v>
      </c>
      <c r="CS55" s="49" t="s">
        <v>502</v>
      </c>
      <c r="CT55" s="46" t="s">
        <v>502</v>
      </c>
      <c r="CU55" s="46" t="s">
        <v>502</v>
      </c>
      <c r="CV55" s="49" t="s">
        <v>502</v>
      </c>
      <c r="CW55" s="46" t="s">
        <v>502</v>
      </c>
      <c r="CX55" s="46" t="s">
        <v>502</v>
      </c>
      <c r="CY55" s="49" t="s">
        <v>502</v>
      </c>
      <c r="CZ55" s="46" t="s">
        <v>502</v>
      </c>
      <c r="DA55" s="46" t="s">
        <v>502</v>
      </c>
      <c r="DB55" s="49" t="s">
        <v>502</v>
      </c>
      <c r="DC55" s="46" t="s">
        <v>502</v>
      </c>
      <c r="DD55" s="46" t="s">
        <v>502</v>
      </c>
      <c r="DE55" s="49" t="s">
        <v>502</v>
      </c>
      <c r="DF55" s="46" t="s">
        <v>502</v>
      </c>
      <c r="DG55" s="46" t="s">
        <v>502</v>
      </c>
      <c r="DH55" s="49" t="s">
        <v>502</v>
      </c>
      <c r="DI55" s="46" t="s">
        <v>502</v>
      </c>
      <c r="DJ55" s="46" t="s">
        <v>502</v>
      </c>
      <c r="DK55" s="49" t="s">
        <v>502</v>
      </c>
      <c r="DL55" s="46" t="s">
        <v>502</v>
      </c>
      <c r="DM55" s="46" t="s">
        <v>502</v>
      </c>
      <c r="DN55" s="49" t="s">
        <v>502</v>
      </c>
      <c r="DO55" s="46" t="s">
        <v>502</v>
      </c>
      <c r="DP55" s="46" t="s">
        <v>502</v>
      </c>
      <c r="DQ55" s="49" t="s">
        <v>502</v>
      </c>
      <c r="DR55" s="46" t="s">
        <v>502</v>
      </c>
      <c r="DS55" s="46" t="s">
        <v>502</v>
      </c>
      <c r="DT55" s="49" t="s">
        <v>502</v>
      </c>
      <c r="DU55" s="46" t="s">
        <v>502</v>
      </c>
      <c r="DV55" s="46" t="s">
        <v>502</v>
      </c>
      <c r="DW55" s="49" t="s">
        <v>502</v>
      </c>
      <c r="DX55" s="46" t="s">
        <v>502</v>
      </c>
      <c r="DY55" s="46" t="s">
        <v>502</v>
      </c>
      <c r="DZ55" s="49" t="s">
        <v>502</v>
      </c>
      <c r="EA55" s="46" t="s">
        <v>502</v>
      </c>
      <c r="EB55" s="46" t="s">
        <v>502</v>
      </c>
      <c r="EC55" s="49" t="s">
        <v>502</v>
      </c>
      <c r="ED55" s="46" t="s">
        <v>502</v>
      </c>
      <c r="EE55" s="46" t="s">
        <v>502</v>
      </c>
      <c r="EF55" s="49" t="s">
        <v>502</v>
      </c>
      <c r="EG55" s="46" t="s">
        <v>502</v>
      </c>
      <c r="EH55" s="46" t="s">
        <v>502</v>
      </c>
      <c r="EI55" s="49" t="s">
        <v>502</v>
      </c>
      <c r="EJ55" s="46" t="s">
        <v>502</v>
      </c>
      <c r="EK55" s="46" t="s">
        <v>502</v>
      </c>
      <c r="EL55" s="49" t="s">
        <v>502</v>
      </c>
      <c r="EM55" s="46" t="s">
        <v>502</v>
      </c>
      <c r="EN55" s="46" t="s">
        <v>502</v>
      </c>
      <c r="EO55" s="49" t="s">
        <v>502</v>
      </c>
      <c r="EP55" s="46" t="s">
        <v>502</v>
      </c>
      <c r="EQ55" s="46" t="s">
        <v>502</v>
      </c>
      <c r="ER55" s="49" t="s">
        <v>502</v>
      </c>
      <c r="ES55" s="46" t="s">
        <v>502</v>
      </c>
      <c r="ET55" s="46" t="s">
        <v>502</v>
      </c>
      <c r="EU55" s="49" t="s">
        <v>502</v>
      </c>
      <c r="EV55" s="46" t="s">
        <v>502</v>
      </c>
      <c r="EW55" s="46" t="s">
        <v>502</v>
      </c>
      <c r="EX55" s="49" t="s">
        <v>502</v>
      </c>
      <c r="EY55" s="46" t="s">
        <v>502</v>
      </c>
      <c r="EZ55" s="46" t="s">
        <v>502</v>
      </c>
      <c r="FA55" s="49" t="s">
        <v>502</v>
      </c>
      <c r="FB55" s="46" t="s">
        <v>502</v>
      </c>
      <c r="FC55" s="46" t="s">
        <v>502</v>
      </c>
      <c r="FD55" s="49" t="s">
        <v>502</v>
      </c>
      <c r="FE55" s="46" t="s">
        <v>502</v>
      </c>
      <c r="FF55" s="46" t="s">
        <v>502</v>
      </c>
      <c r="FG55" s="49" t="s">
        <v>502</v>
      </c>
      <c r="FH55" s="46" t="s">
        <v>502</v>
      </c>
      <c r="FI55" s="46" t="s">
        <v>502</v>
      </c>
      <c r="FJ55" s="49" t="s">
        <v>502</v>
      </c>
      <c r="FK55" s="46" t="s">
        <v>502</v>
      </c>
      <c r="FL55" s="46" t="s">
        <v>502</v>
      </c>
      <c r="FM55" s="49" t="s">
        <v>502</v>
      </c>
      <c r="FN55" s="46" t="s">
        <v>502</v>
      </c>
      <c r="FO55" s="46" t="s">
        <v>502</v>
      </c>
      <c r="FP55" s="49" t="s">
        <v>502</v>
      </c>
      <c r="FQ55" s="46" t="s">
        <v>502</v>
      </c>
      <c r="FR55" s="46" t="s">
        <v>502</v>
      </c>
      <c r="FS55" s="49" t="s">
        <v>502</v>
      </c>
      <c r="FT55" s="46" t="s">
        <v>502</v>
      </c>
      <c r="FU55" s="46" t="s">
        <v>502</v>
      </c>
      <c r="FV55" s="49" t="s">
        <v>502</v>
      </c>
      <c r="FW55" s="50">
        <f t="shared" si="7"/>
        <v>3</v>
      </c>
      <c r="FX55" s="51">
        <f t="shared" si="8"/>
        <v>103333.33333333333</v>
      </c>
      <c r="FY55" s="46">
        <f t="shared" si="6"/>
        <v>103350</v>
      </c>
      <c r="FZ55" s="52" t="s">
        <v>504</v>
      </c>
    </row>
    <row r="56" spans="1:183" ht="126" customHeight="1" x14ac:dyDescent="0.2">
      <c r="A56" s="39">
        <v>53</v>
      </c>
      <c r="B56" s="40" t="s">
        <v>12</v>
      </c>
      <c r="C56" s="41" t="s">
        <v>359</v>
      </c>
      <c r="D56" s="42">
        <v>52161505</v>
      </c>
      <c r="E56" s="43" t="s">
        <v>360</v>
      </c>
      <c r="F56" s="41" t="s">
        <v>54</v>
      </c>
      <c r="G56" s="66"/>
      <c r="H56" s="46" t="s">
        <v>502</v>
      </c>
      <c r="I56" s="46" t="s">
        <v>502</v>
      </c>
      <c r="J56" s="46" t="s">
        <v>502</v>
      </c>
      <c r="K56" s="46" t="s">
        <v>502</v>
      </c>
      <c r="L56" s="46" t="s">
        <v>502</v>
      </c>
      <c r="M56" s="46" t="s">
        <v>502</v>
      </c>
      <c r="N56" s="46" t="s">
        <v>502</v>
      </c>
      <c r="O56" s="46" t="s">
        <v>502</v>
      </c>
      <c r="P56" s="46" t="s">
        <v>502</v>
      </c>
      <c r="Q56" s="46" t="s">
        <v>502</v>
      </c>
      <c r="R56" s="46" t="s">
        <v>502</v>
      </c>
      <c r="S56" s="46" t="s">
        <v>502</v>
      </c>
      <c r="T56" s="46" t="s">
        <v>502</v>
      </c>
      <c r="U56" s="46" t="s">
        <v>502</v>
      </c>
      <c r="V56" s="46" t="s">
        <v>502</v>
      </c>
      <c r="W56" s="46" t="s">
        <v>502</v>
      </c>
      <c r="X56" s="46" t="s">
        <v>502</v>
      </c>
      <c r="Y56" s="46" t="s">
        <v>502</v>
      </c>
      <c r="Z56" s="46" t="s">
        <v>502</v>
      </c>
      <c r="AA56" s="46" t="s">
        <v>502</v>
      </c>
      <c r="AB56" s="46" t="s">
        <v>502</v>
      </c>
      <c r="AC56" s="46" t="s">
        <v>502</v>
      </c>
      <c r="AD56" s="46" t="s">
        <v>502</v>
      </c>
      <c r="AE56" s="46" t="s">
        <v>502</v>
      </c>
      <c r="AF56" s="46" t="s">
        <v>502</v>
      </c>
      <c r="AG56" s="46" t="s">
        <v>502</v>
      </c>
      <c r="AH56" s="46" t="s">
        <v>502</v>
      </c>
      <c r="AI56" s="46" t="s">
        <v>502</v>
      </c>
      <c r="AJ56" s="46" t="s">
        <v>502</v>
      </c>
      <c r="AK56" s="46" t="s">
        <v>502</v>
      </c>
      <c r="AL56" s="46" t="s">
        <v>502</v>
      </c>
      <c r="AM56" s="46" t="s">
        <v>502</v>
      </c>
      <c r="AN56" s="49" t="s">
        <v>502</v>
      </c>
      <c r="AO56" s="46" t="s">
        <v>502</v>
      </c>
      <c r="AP56" s="46" t="s">
        <v>502</v>
      </c>
      <c r="AQ56" s="49" t="s">
        <v>502</v>
      </c>
      <c r="AR56" s="46" t="s">
        <v>502</v>
      </c>
      <c r="AS56" s="46" t="s">
        <v>502</v>
      </c>
      <c r="AT56" s="49" t="s">
        <v>502</v>
      </c>
      <c r="AU56" s="46" t="s">
        <v>502</v>
      </c>
      <c r="AV56" s="46" t="s">
        <v>502</v>
      </c>
      <c r="AW56" s="49" t="s">
        <v>502</v>
      </c>
      <c r="AX56" s="46" t="s">
        <v>502</v>
      </c>
      <c r="AY56" s="46" t="s">
        <v>502</v>
      </c>
      <c r="AZ56" s="49" t="s">
        <v>502</v>
      </c>
      <c r="BA56" s="46" t="s">
        <v>502</v>
      </c>
      <c r="BB56" s="46" t="s">
        <v>502</v>
      </c>
      <c r="BC56" s="49" t="s">
        <v>502</v>
      </c>
      <c r="BD56" s="46" t="s">
        <v>502</v>
      </c>
      <c r="BE56" s="46" t="s">
        <v>502</v>
      </c>
      <c r="BF56" s="49" t="s">
        <v>502</v>
      </c>
      <c r="BG56" s="46" t="s">
        <v>502</v>
      </c>
      <c r="BH56" s="46" t="s">
        <v>502</v>
      </c>
      <c r="BI56" s="49" t="s">
        <v>502</v>
      </c>
      <c r="BJ56" s="46" t="s">
        <v>502</v>
      </c>
      <c r="BK56" s="46" t="s">
        <v>502</v>
      </c>
      <c r="BL56" s="49" t="s">
        <v>502</v>
      </c>
      <c r="BM56" s="46" t="s">
        <v>503</v>
      </c>
      <c r="BN56" s="46" t="s">
        <v>503</v>
      </c>
      <c r="BO56" s="46" t="s">
        <v>503</v>
      </c>
      <c r="BP56" s="46" t="s">
        <v>502</v>
      </c>
      <c r="BQ56" s="46" t="s">
        <v>502</v>
      </c>
      <c r="BR56" s="49" t="s">
        <v>502</v>
      </c>
      <c r="BS56" s="46">
        <f>2799900/1.19</f>
        <v>2352857.1428571432</v>
      </c>
      <c r="BT56" s="46">
        <f>+BS56*19%</f>
        <v>447042.85714285722</v>
      </c>
      <c r="BU56" s="46">
        <f>+BS56+BT56</f>
        <v>2799900.0000000005</v>
      </c>
      <c r="BV56" s="46" t="s">
        <v>503</v>
      </c>
      <c r="BW56" s="46" t="s">
        <v>503</v>
      </c>
      <c r="BX56" s="46" t="s">
        <v>503</v>
      </c>
      <c r="BY56" s="46">
        <f>3200000/1.19</f>
        <v>2689075.630252101</v>
      </c>
      <c r="BZ56" s="46">
        <f>+BY56*19%</f>
        <v>510924.36974789918</v>
      </c>
      <c r="CA56" s="46">
        <f>+BY56+BZ56</f>
        <v>3200000</v>
      </c>
      <c r="CB56" s="46" t="s">
        <v>502</v>
      </c>
      <c r="CC56" s="46" t="s">
        <v>502</v>
      </c>
      <c r="CD56" s="49" t="s">
        <v>502</v>
      </c>
      <c r="CE56" s="46" t="s">
        <v>502</v>
      </c>
      <c r="CF56" s="46" t="s">
        <v>502</v>
      </c>
      <c r="CG56" s="49" t="s">
        <v>502</v>
      </c>
      <c r="CH56" s="46" t="s">
        <v>502</v>
      </c>
      <c r="CI56" s="46" t="s">
        <v>502</v>
      </c>
      <c r="CJ56" s="49" t="s">
        <v>502</v>
      </c>
      <c r="CK56" s="46" t="s">
        <v>502</v>
      </c>
      <c r="CL56" s="46" t="s">
        <v>502</v>
      </c>
      <c r="CM56" s="49" t="s">
        <v>502</v>
      </c>
      <c r="CN56" s="46" t="s">
        <v>502</v>
      </c>
      <c r="CO56" s="46" t="s">
        <v>502</v>
      </c>
      <c r="CP56" s="49" t="s">
        <v>502</v>
      </c>
      <c r="CQ56" s="46" t="s">
        <v>502</v>
      </c>
      <c r="CR56" s="46" t="s">
        <v>502</v>
      </c>
      <c r="CS56" s="49" t="s">
        <v>502</v>
      </c>
      <c r="CT56" s="46" t="s">
        <v>502</v>
      </c>
      <c r="CU56" s="46" t="s">
        <v>502</v>
      </c>
      <c r="CV56" s="49" t="s">
        <v>502</v>
      </c>
      <c r="CW56" s="46" t="s">
        <v>502</v>
      </c>
      <c r="CX56" s="46" t="s">
        <v>502</v>
      </c>
      <c r="CY56" s="49" t="s">
        <v>502</v>
      </c>
      <c r="CZ56" s="46" t="s">
        <v>502</v>
      </c>
      <c r="DA56" s="46" t="s">
        <v>502</v>
      </c>
      <c r="DB56" s="49" t="s">
        <v>502</v>
      </c>
      <c r="DC56" s="46" t="s">
        <v>502</v>
      </c>
      <c r="DD56" s="46" t="s">
        <v>502</v>
      </c>
      <c r="DE56" s="49" t="s">
        <v>502</v>
      </c>
      <c r="DF56" s="46" t="s">
        <v>502</v>
      </c>
      <c r="DG56" s="46" t="s">
        <v>502</v>
      </c>
      <c r="DH56" s="49" t="s">
        <v>502</v>
      </c>
      <c r="DI56" s="46" t="s">
        <v>502</v>
      </c>
      <c r="DJ56" s="46" t="s">
        <v>502</v>
      </c>
      <c r="DK56" s="49" t="s">
        <v>502</v>
      </c>
      <c r="DL56" s="46" t="s">
        <v>502</v>
      </c>
      <c r="DM56" s="46" t="s">
        <v>502</v>
      </c>
      <c r="DN56" s="49" t="s">
        <v>502</v>
      </c>
      <c r="DO56" s="46" t="s">
        <v>502</v>
      </c>
      <c r="DP56" s="46" t="s">
        <v>502</v>
      </c>
      <c r="DQ56" s="49" t="s">
        <v>502</v>
      </c>
      <c r="DR56" s="46" t="s">
        <v>502</v>
      </c>
      <c r="DS56" s="46" t="s">
        <v>502</v>
      </c>
      <c r="DT56" s="49" t="s">
        <v>502</v>
      </c>
      <c r="DU56" s="46" t="s">
        <v>502</v>
      </c>
      <c r="DV56" s="46" t="s">
        <v>502</v>
      </c>
      <c r="DW56" s="49" t="s">
        <v>502</v>
      </c>
      <c r="DX56" s="46" t="s">
        <v>502</v>
      </c>
      <c r="DY56" s="46" t="s">
        <v>502</v>
      </c>
      <c r="DZ56" s="49" t="s">
        <v>502</v>
      </c>
      <c r="EA56" s="46" t="s">
        <v>502</v>
      </c>
      <c r="EB56" s="46" t="s">
        <v>502</v>
      </c>
      <c r="EC56" s="49" t="s">
        <v>502</v>
      </c>
      <c r="ED56" s="46" t="s">
        <v>502</v>
      </c>
      <c r="EE56" s="46" t="s">
        <v>502</v>
      </c>
      <c r="EF56" s="49" t="s">
        <v>502</v>
      </c>
      <c r="EG56" s="46" t="s">
        <v>502</v>
      </c>
      <c r="EH56" s="46" t="s">
        <v>502</v>
      </c>
      <c r="EI56" s="49" t="s">
        <v>502</v>
      </c>
      <c r="EJ56" s="46" t="s">
        <v>502</v>
      </c>
      <c r="EK56" s="46" t="s">
        <v>502</v>
      </c>
      <c r="EL56" s="49" t="s">
        <v>502</v>
      </c>
      <c r="EM56" s="46" t="s">
        <v>502</v>
      </c>
      <c r="EN56" s="46" t="s">
        <v>502</v>
      </c>
      <c r="EO56" s="49" t="s">
        <v>502</v>
      </c>
      <c r="EP56" s="46" t="s">
        <v>502</v>
      </c>
      <c r="EQ56" s="46" t="s">
        <v>502</v>
      </c>
      <c r="ER56" s="49" t="s">
        <v>502</v>
      </c>
      <c r="ES56" s="46" t="s">
        <v>502</v>
      </c>
      <c r="ET56" s="46" t="s">
        <v>502</v>
      </c>
      <c r="EU56" s="49" t="s">
        <v>502</v>
      </c>
      <c r="EV56" s="46" t="s">
        <v>502</v>
      </c>
      <c r="EW56" s="46" t="s">
        <v>502</v>
      </c>
      <c r="EX56" s="49" t="s">
        <v>502</v>
      </c>
      <c r="EY56" s="46" t="s">
        <v>502</v>
      </c>
      <c r="EZ56" s="46" t="s">
        <v>502</v>
      </c>
      <c r="FA56" s="49" t="s">
        <v>502</v>
      </c>
      <c r="FB56" s="46" t="s">
        <v>502</v>
      </c>
      <c r="FC56" s="46" t="s">
        <v>502</v>
      </c>
      <c r="FD56" s="49" t="s">
        <v>502</v>
      </c>
      <c r="FE56" s="46" t="s">
        <v>502</v>
      </c>
      <c r="FF56" s="46" t="s">
        <v>502</v>
      </c>
      <c r="FG56" s="49" t="s">
        <v>502</v>
      </c>
      <c r="FH56" s="46" t="s">
        <v>502</v>
      </c>
      <c r="FI56" s="46" t="s">
        <v>502</v>
      </c>
      <c r="FJ56" s="49" t="s">
        <v>502</v>
      </c>
      <c r="FK56" s="46" t="s">
        <v>502</v>
      </c>
      <c r="FL56" s="46" t="s">
        <v>502</v>
      </c>
      <c r="FM56" s="49" t="s">
        <v>502</v>
      </c>
      <c r="FN56" s="46" t="s">
        <v>502</v>
      </c>
      <c r="FO56" s="46" t="s">
        <v>502</v>
      </c>
      <c r="FP56" s="49" t="s">
        <v>502</v>
      </c>
      <c r="FQ56" s="46" t="s">
        <v>502</v>
      </c>
      <c r="FR56" s="46" t="s">
        <v>502</v>
      </c>
      <c r="FS56" s="49" t="s">
        <v>502</v>
      </c>
      <c r="FT56" s="46" t="s">
        <v>502</v>
      </c>
      <c r="FU56" s="46" t="s">
        <v>502</v>
      </c>
      <c r="FV56" s="49" t="s">
        <v>502</v>
      </c>
      <c r="FW56" s="50">
        <f t="shared" si="7"/>
        <v>2</v>
      </c>
      <c r="FX56" s="51">
        <f t="shared" si="8"/>
        <v>2999950</v>
      </c>
      <c r="FY56" s="46">
        <f t="shared" si="6"/>
        <v>2999950</v>
      </c>
      <c r="FZ56" s="52" t="s">
        <v>504</v>
      </c>
    </row>
    <row r="57" spans="1:183" ht="114.75" customHeight="1" x14ac:dyDescent="0.2">
      <c r="A57" s="53">
        <v>54</v>
      </c>
      <c r="B57" s="40" t="s">
        <v>12</v>
      </c>
      <c r="C57" s="72" t="s">
        <v>361</v>
      </c>
      <c r="D57" s="59">
        <v>31162506</v>
      </c>
      <c r="E57" s="73" t="s">
        <v>525</v>
      </c>
      <c r="F57" s="41" t="s">
        <v>54</v>
      </c>
      <c r="G57" s="66"/>
      <c r="H57" s="46" t="s">
        <v>502</v>
      </c>
      <c r="I57" s="46" t="s">
        <v>502</v>
      </c>
      <c r="J57" s="46" t="s">
        <v>502</v>
      </c>
      <c r="K57" s="46" t="s">
        <v>502</v>
      </c>
      <c r="L57" s="46" t="s">
        <v>502</v>
      </c>
      <c r="M57" s="46" t="s">
        <v>502</v>
      </c>
      <c r="N57" s="46" t="s">
        <v>502</v>
      </c>
      <c r="O57" s="46" t="s">
        <v>502</v>
      </c>
      <c r="P57" s="46" t="s">
        <v>502</v>
      </c>
      <c r="Q57" s="46" t="s">
        <v>502</v>
      </c>
      <c r="R57" s="46" t="s">
        <v>502</v>
      </c>
      <c r="S57" s="46" t="s">
        <v>502</v>
      </c>
      <c r="T57" s="46" t="s">
        <v>502</v>
      </c>
      <c r="U57" s="46" t="s">
        <v>502</v>
      </c>
      <c r="V57" s="46" t="s">
        <v>502</v>
      </c>
      <c r="W57" s="46" t="s">
        <v>502</v>
      </c>
      <c r="X57" s="46" t="s">
        <v>502</v>
      </c>
      <c r="Y57" s="46" t="s">
        <v>502</v>
      </c>
      <c r="Z57" s="46" t="s">
        <v>502</v>
      </c>
      <c r="AA57" s="46" t="s">
        <v>502</v>
      </c>
      <c r="AB57" s="46" t="s">
        <v>502</v>
      </c>
      <c r="AC57" s="46" t="s">
        <v>502</v>
      </c>
      <c r="AD57" s="46" t="s">
        <v>502</v>
      </c>
      <c r="AE57" s="46" t="s">
        <v>502</v>
      </c>
      <c r="AF57" s="46" t="s">
        <v>502</v>
      </c>
      <c r="AG57" s="46" t="s">
        <v>502</v>
      </c>
      <c r="AH57" s="46" t="s">
        <v>502</v>
      </c>
      <c r="AI57" s="46" t="s">
        <v>502</v>
      </c>
      <c r="AJ57" s="46" t="s">
        <v>502</v>
      </c>
      <c r="AK57" s="46" t="s">
        <v>502</v>
      </c>
      <c r="AL57" s="46" t="s">
        <v>502</v>
      </c>
      <c r="AM57" s="46" t="s">
        <v>502</v>
      </c>
      <c r="AN57" s="49" t="s">
        <v>502</v>
      </c>
      <c r="AO57" s="46" t="s">
        <v>502</v>
      </c>
      <c r="AP57" s="46" t="s">
        <v>502</v>
      </c>
      <c r="AQ57" s="49" t="s">
        <v>502</v>
      </c>
      <c r="AR57" s="46" t="s">
        <v>502</v>
      </c>
      <c r="AS57" s="46" t="s">
        <v>502</v>
      </c>
      <c r="AT57" s="49" t="s">
        <v>502</v>
      </c>
      <c r="AU57" s="46" t="s">
        <v>502</v>
      </c>
      <c r="AV57" s="46" t="s">
        <v>502</v>
      </c>
      <c r="AW57" s="49" t="s">
        <v>502</v>
      </c>
      <c r="AX57" s="46" t="s">
        <v>502</v>
      </c>
      <c r="AY57" s="46" t="s">
        <v>502</v>
      </c>
      <c r="AZ57" s="49" t="s">
        <v>502</v>
      </c>
      <c r="BA57" s="46" t="s">
        <v>502</v>
      </c>
      <c r="BB57" s="46" t="s">
        <v>502</v>
      </c>
      <c r="BC57" s="49" t="s">
        <v>502</v>
      </c>
      <c r="BD57" s="46" t="s">
        <v>502</v>
      </c>
      <c r="BE57" s="46" t="s">
        <v>502</v>
      </c>
      <c r="BF57" s="49" t="s">
        <v>502</v>
      </c>
      <c r="BG57" s="46" t="s">
        <v>502</v>
      </c>
      <c r="BH57" s="46" t="s">
        <v>502</v>
      </c>
      <c r="BI57" s="49" t="s">
        <v>502</v>
      </c>
      <c r="BJ57" s="46" t="s">
        <v>502</v>
      </c>
      <c r="BK57" s="46" t="s">
        <v>502</v>
      </c>
      <c r="BL57" s="49" t="s">
        <v>502</v>
      </c>
      <c r="BM57" s="46" t="s">
        <v>503</v>
      </c>
      <c r="BN57" s="46" t="s">
        <v>503</v>
      </c>
      <c r="BO57" s="46" t="s">
        <v>503</v>
      </c>
      <c r="BP57" s="46" t="s">
        <v>502</v>
      </c>
      <c r="BQ57" s="46" t="s">
        <v>502</v>
      </c>
      <c r="BR57" s="49" t="s">
        <v>502</v>
      </c>
      <c r="BS57" s="46" t="s">
        <v>502</v>
      </c>
      <c r="BT57" s="46" t="s">
        <v>502</v>
      </c>
      <c r="BU57" s="49" t="s">
        <v>502</v>
      </c>
      <c r="BV57" s="46">
        <f>59900/1.19</f>
        <v>50336.134453781517</v>
      </c>
      <c r="BW57" s="46">
        <f>+BV57*19%</f>
        <v>9563.8655462184888</v>
      </c>
      <c r="BX57" s="46">
        <f>+BV57+BW57</f>
        <v>59900.000000000007</v>
      </c>
      <c r="BY57" s="46" t="s">
        <v>502</v>
      </c>
      <c r="BZ57" s="46" t="s">
        <v>502</v>
      </c>
      <c r="CA57" s="49" t="s">
        <v>502</v>
      </c>
      <c r="CB57" s="46" t="s">
        <v>502</v>
      </c>
      <c r="CC57" s="46" t="s">
        <v>502</v>
      </c>
      <c r="CD57" s="49" t="s">
        <v>502</v>
      </c>
      <c r="CE57" s="46" t="s">
        <v>502</v>
      </c>
      <c r="CF57" s="46" t="s">
        <v>502</v>
      </c>
      <c r="CG57" s="49" t="s">
        <v>502</v>
      </c>
      <c r="CH57" s="46" t="s">
        <v>503</v>
      </c>
      <c r="CI57" s="46" t="s">
        <v>503</v>
      </c>
      <c r="CJ57" s="46" t="s">
        <v>503</v>
      </c>
      <c r="CK57" s="46" t="s">
        <v>502</v>
      </c>
      <c r="CL57" s="46" t="s">
        <v>502</v>
      </c>
      <c r="CM57" s="49" t="s">
        <v>502</v>
      </c>
      <c r="CN57" s="46" t="s">
        <v>502</v>
      </c>
      <c r="CO57" s="46" t="s">
        <v>502</v>
      </c>
      <c r="CP57" s="49" t="s">
        <v>502</v>
      </c>
      <c r="CQ57" s="46" t="s">
        <v>502</v>
      </c>
      <c r="CR57" s="46" t="s">
        <v>502</v>
      </c>
      <c r="CS57" s="49" t="s">
        <v>502</v>
      </c>
      <c r="CT57" s="46" t="s">
        <v>502</v>
      </c>
      <c r="CU57" s="46" t="s">
        <v>502</v>
      </c>
      <c r="CV57" s="49" t="s">
        <v>502</v>
      </c>
      <c r="CW57" s="46" t="s">
        <v>502</v>
      </c>
      <c r="CX57" s="46" t="s">
        <v>502</v>
      </c>
      <c r="CY57" s="49" t="s">
        <v>502</v>
      </c>
      <c r="CZ57" s="46" t="s">
        <v>502</v>
      </c>
      <c r="DA57" s="46" t="s">
        <v>502</v>
      </c>
      <c r="DB57" s="49" t="s">
        <v>502</v>
      </c>
      <c r="DC57" s="46" t="s">
        <v>502</v>
      </c>
      <c r="DD57" s="46" t="s">
        <v>502</v>
      </c>
      <c r="DE57" s="49" t="s">
        <v>502</v>
      </c>
      <c r="DF57" s="46" t="s">
        <v>502</v>
      </c>
      <c r="DG57" s="46" t="s">
        <v>502</v>
      </c>
      <c r="DH57" s="49" t="s">
        <v>502</v>
      </c>
      <c r="DI57" s="46" t="s">
        <v>502</v>
      </c>
      <c r="DJ57" s="46" t="s">
        <v>502</v>
      </c>
      <c r="DK57" s="49" t="s">
        <v>502</v>
      </c>
      <c r="DL57" s="46" t="s">
        <v>502</v>
      </c>
      <c r="DM57" s="46" t="s">
        <v>502</v>
      </c>
      <c r="DN57" s="49" t="s">
        <v>502</v>
      </c>
      <c r="DO57" s="46" t="s">
        <v>502</v>
      </c>
      <c r="DP57" s="46" t="s">
        <v>502</v>
      </c>
      <c r="DQ57" s="49" t="s">
        <v>502</v>
      </c>
      <c r="DR57" s="46" t="s">
        <v>502</v>
      </c>
      <c r="DS57" s="46" t="s">
        <v>502</v>
      </c>
      <c r="DT57" s="49" t="s">
        <v>502</v>
      </c>
      <c r="DU57" s="46" t="s">
        <v>502</v>
      </c>
      <c r="DV57" s="46" t="s">
        <v>502</v>
      </c>
      <c r="DW57" s="49" t="s">
        <v>502</v>
      </c>
      <c r="DX57" s="46" t="s">
        <v>502</v>
      </c>
      <c r="DY57" s="46" t="s">
        <v>502</v>
      </c>
      <c r="DZ57" s="49" t="s">
        <v>502</v>
      </c>
      <c r="EA57" s="46" t="s">
        <v>502</v>
      </c>
      <c r="EB57" s="46" t="s">
        <v>502</v>
      </c>
      <c r="EC57" s="49" t="s">
        <v>502</v>
      </c>
      <c r="ED57" s="46" t="s">
        <v>502</v>
      </c>
      <c r="EE57" s="46" t="s">
        <v>502</v>
      </c>
      <c r="EF57" s="49" t="s">
        <v>502</v>
      </c>
      <c r="EG57" s="46" t="s">
        <v>502</v>
      </c>
      <c r="EH57" s="46" t="s">
        <v>502</v>
      </c>
      <c r="EI57" s="49" t="s">
        <v>502</v>
      </c>
      <c r="EJ57" s="46" t="s">
        <v>502</v>
      </c>
      <c r="EK57" s="46" t="s">
        <v>502</v>
      </c>
      <c r="EL57" s="49" t="s">
        <v>502</v>
      </c>
      <c r="EM57" s="46" t="s">
        <v>502</v>
      </c>
      <c r="EN57" s="46" t="s">
        <v>502</v>
      </c>
      <c r="EO57" s="49" t="s">
        <v>502</v>
      </c>
      <c r="EP57" s="46" t="s">
        <v>502</v>
      </c>
      <c r="EQ57" s="46" t="s">
        <v>502</v>
      </c>
      <c r="ER57" s="49" t="s">
        <v>502</v>
      </c>
      <c r="ES57" s="46" t="s">
        <v>502</v>
      </c>
      <c r="ET57" s="46" t="s">
        <v>502</v>
      </c>
      <c r="EU57" s="49" t="s">
        <v>502</v>
      </c>
      <c r="EV57" s="46" t="s">
        <v>502</v>
      </c>
      <c r="EW57" s="46" t="s">
        <v>502</v>
      </c>
      <c r="EX57" s="49" t="s">
        <v>502</v>
      </c>
      <c r="EY57" s="46" t="s">
        <v>502</v>
      </c>
      <c r="EZ57" s="46" t="s">
        <v>502</v>
      </c>
      <c r="FA57" s="49" t="s">
        <v>502</v>
      </c>
      <c r="FB57" s="46" t="s">
        <v>502</v>
      </c>
      <c r="FC57" s="46" t="s">
        <v>502</v>
      </c>
      <c r="FD57" s="49" t="s">
        <v>502</v>
      </c>
      <c r="FE57" s="46" t="s">
        <v>502</v>
      </c>
      <c r="FF57" s="46" t="s">
        <v>502</v>
      </c>
      <c r="FG57" s="49" t="s">
        <v>502</v>
      </c>
      <c r="FH57" s="46" t="s">
        <v>502</v>
      </c>
      <c r="FI57" s="46" t="s">
        <v>502</v>
      </c>
      <c r="FJ57" s="49" t="s">
        <v>502</v>
      </c>
      <c r="FK57" s="46" t="s">
        <v>502</v>
      </c>
      <c r="FL57" s="46" t="s">
        <v>502</v>
      </c>
      <c r="FM57" s="49" t="s">
        <v>502</v>
      </c>
      <c r="FN57" s="46" t="s">
        <v>502</v>
      </c>
      <c r="FO57" s="46" t="s">
        <v>502</v>
      </c>
      <c r="FP57" s="49" t="s">
        <v>502</v>
      </c>
      <c r="FQ57" s="46" t="s">
        <v>502</v>
      </c>
      <c r="FR57" s="46" t="s">
        <v>502</v>
      </c>
      <c r="FS57" s="49" t="s">
        <v>502</v>
      </c>
      <c r="FT57" s="46">
        <f>59900/1.19</f>
        <v>50336.134453781517</v>
      </c>
      <c r="FU57" s="46">
        <f>+FT57*19%</f>
        <v>9563.8655462184888</v>
      </c>
      <c r="FV57" s="49">
        <f>+FT57+FU57</f>
        <v>59900.000000000007</v>
      </c>
      <c r="FW57" s="50">
        <f t="shared" si="7"/>
        <v>2</v>
      </c>
      <c r="FX57" s="51">
        <f t="shared" si="8"/>
        <v>59900.000000000007</v>
      </c>
      <c r="FY57" s="46">
        <f t="shared" si="6"/>
        <v>59900</v>
      </c>
      <c r="FZ57" s="52" t="s">
        <v>504</v>
      </c>
    </row>
    <row r="58" spans="1:183" ht="114.75" customHeight="1" x14ac:dyDescent="0.2">
      <c r="A58" s="39">
        <v>55</v>
      </c>
      <c r="B58" s="40" t="s">
        <v>12</v>
      </c>
      <c r="C58" s="72" t="s">
        <v>363</v>
      </c>
      <c r="D58" s="42">
        <v>52161520</v>
      </c>
      <c r="E58" s="73" t="s">
        <v>364</v>
      </c>
      <c r="F58" s="41" t="s">
        <v>54</v>
      </c>
      <c r="G58" s="66"/>
      <c r="H58" s="46" t="s">
        <v>502</v>
      </c>
      <c r="I58" s="46" t="s">
        <v>502</v>
      </c>
      <c r="J58" s="46" t="s">
        <v>502</v>
      </c>
      <c r="K58" s="46" t="s">
        <v>502</v>
      </c>
      <c r="L58" s="46" t="s">
        <v>502</v>
      </c>
      <c r="M58" s="46" t="s">
        <v>502</v>
      </c>
      <c r="N58" s="46" t="s">
        <v>502</v>
      </c>
      <c r="O58" s="46" t="s">
        <v>502</v>
      </c>
      <c r="P58" s="46" t="s">
        <v>502</v>
      </c>
      <c r="Q58" s="46" t="s">
        <v>502</v>
      </c>
      <c r="R58" s="46" t="s">
        <v>502</v>
      </c>
      <c r="S58" s="46" t="s">
        <v>502</v>
      </c>
      <c r="T58" s="46" t="s">
        <v>502</v>
      </c>
      <c r="U58" s="46" t="s">
        <v>502</v>
      </c>
      <c r="V58" s="46" t="s">
        <v>502</v>
      </c>
      <c r="W58" s="46" t="s">
        <v>502</v>
      </c>
      <c r="X58" s="46" t="s">
        <v>502</v>
      </c>
      <c r="Y58" s="46" t="s">
        <v>502</v>
      </c>
      <c r="Z58" s="46" t="s">
        <v>502</v>
      </c>
      <c r="AA58" s="46" t="s">
        <v>502</v>
      </c>
      <c r="AB58" s="46" t="s">
        <v>502</v>
      </c>
      <c r="AC58" s="46" t="s">
        <v>502</v>
      </c>
      <c r="AD58" s="46" t="s">
        <v>502</v>
      </c>
      <c r="AE58" s="46" t="s">
        <v>502</v>
      </c>
      <c r="AF58" s="46" t="s">
        <v>502</v>
      </c>
      <c r="AG58" s="46" t="s">
        <v>502</v>
      </c>
      <c r="AH58" s="46" t="s">
        <v>502</v>
      </c>
      <c r="AI58" s="46" t="s">
        <v>502</v>
      </c>
      <c r="AJ58" s="46" t="s">
        <v>502</v>
      </c>
      <c r="AK58" s="46" t="s">
        <v>502</v>
      </c>
      <c r="AL58" s="46" t="s">
        <v>502</v>
      </c>
      <c r="AM58" s="46" t="s">
        <v>502</v>
      </c>
      <c r="AN58" s="49" t="s">
        <v>502</v>
      </c>
      <c r="AO58" s="46" t="s">
        <v>502</v>
      </c>
      <c r="AP58" s="46" t="s">
        <v>502</v>
      </c>
      <c r="AQ58" s="49" t="s">
        <v>502</v>
      </c>
      <c r="AR58" s="46">
        <f>320000/1.19</f>
        <v>268907.56302521011</v>
      </c>
      <c r="AS58" s="46">
        <f>+AR58*19%</f>
        <v>51092.436974789918</v>
      </c>
      <c r="AT58" s="49">
        <f>+AR58+AS58</f>
        <v>320000</v>
      </c>
      <c r="AU58" s="46" t="s">
        <v>502</v>
      </c>
      <c r="AV58" s="46" t="s">
        <v>502</v>
      </c>
      <c r="AW58" s="49" t="s">
        <v>502</v>
      </c>
      <c r="AX58" s="46" t="s">
        <v>503</v>
      </c>
      <c r="AY58" s="46" t="s">
        <v>503</v>
      </c>
      <c r="AZ58" s="46" t="s">
        <v>503</v>
      </c>
      <c r="BA58" s="46">
        <f>370000/1.19</f>
        <v>310924.36974789918</v>
      </c>
      <c r="BB58" s="46">
        <f>+BA58*19%</f>
        <v>59075.630252100847</v>
      </c>
      <c r="BC58" s="46">
        <f>+BA58+BB58</f>
        <v>370000</v>
      </c>
      <c r="BD58" s="46">
        <f>360000/1.19</f>
        <v>302521.00840336137</v>
      </c>
      <c r="BE58" s="46">
        <f>+BD58*19%</f>
        <v>57478.991596638662</v>
      </c>
      <c r="BF58" s="46">
        <f>+BD58+BE58</f>
        <v>360000</v>
      </c>
      <c r="BG58" s="46" t="s">
        <v>502</v>
      </c>
      <c r="BH58" s="46" t="s">
        <v>502</v>
      </c>
      <c r="BI58" s="49" t="s">
        <v>502</v>
      </c>
      <c r="BJ58" s="46" t="s">
        <v>502</v>
      </c>
      <c r="BK58" s="46" t="s">
        <v>502</v>
      </c>
      <c r="BL58" s="49" t="s">
        <v>502</v>
      </c>
      <c r="BM58" s="46" t="s">
        <v>502</v>
      </c>
      <c r="BN58" s="46" t="s">
        <v>502</v>
      </c>
      <c r="BO58" s="49" t="s">
        <v>502</v>
      </c>
      <c r="BP58" s="46" t="s">
        <v>502</v>
      </c>
      <c r="BQ58" s="46" t="s">
        <v>502</v>
      </c>
      <c r="BR58" s="49" t="s">
        <v>502</v>
      </c>
      <c r="BS58" s="46" t="s">
        <v>502</v>
      </c>
      <c r="BT58" s="46" t="s">
        <v>502</v>
      </c>
      <c r="BU58" s="49" t="s">
        <v>502</v>
      </c>
      <c r="BV58" s="46" t="s">
        <v>502</v>
      </c>
      <c r="BW58" s="46" t="s">
        <v>502</v>
      </c>
      <c r="BX58" s="49" t="s">
        <v>502</v>
      </c>
      <c r="BY58" s="46" t="s">
        <v>502</v>
      </c>
      <c r="BZ58" s="46" t="s">
        <v>502</v>
      </c>
      <c r="CA58" s="49" t="s">
        <v>502</v>
      </c>
      <c r="CB58" s="46" t="s">
        <v>502</v>
      </c>
      <c r="CC58" s="46" t="s">
        <v>502</v>
      </c>
      <c r="CD58" s="49" t="s">
        <v>502</v>
      </c>
      <c r="CE58" s="46" t="s">
        <v>502</v>
      </c>
      <c r="CF58" s="46" t="s">
        <v>502</v>
      </c>
      <c r="CG58" s="49" t="s">
        <v>502</v>
      </c>
      <c r="CH58" s="46" t="s">
        <v>502</v>
      </c>
      <c r="CI58" s="46" t="s">
        <v>502</v>
      </c>
      <c r="CJ58" s="49" t="s">
        <v>502</v>
      </c>
      <c r="CK58" s="46" t="s">
        <v>502</v>
      </c>
      <c r="CL58" s="46" t="s">
        <v>502</v>
      </c>
      <c r="CM58" s="49" t="s">
        <v>502</v>
      </c>
      <c r="CN58" s="46" t="s">
        <v>502</v>
      </c>
      <c r="CO58" s="46" t="s">
        <v>502</v>
      </c>
      <c r="CP58" s="49" t="s">
        <v>502</v>
      </c>
      <c r="CQ58" s="46" t="s">
        <v>502</v>
      </c>
      <c r="CR58" s="46" t="s">
        <v>502</v>
      </c>
      <c r="CS58" s="49" t="s">
        <v>502</v>
      </c>
      <c r="CT58" s="46" t="s">
        <v>502</v>
      </c>
      <c r="CU58" s="46" t="s">
        <v>502</v>
      </c>
      <c r="CV58" s="49" t="s">
        <v>502</v>
      </c>
      <c r="CW58" s="46" t="s">
        <v>502</v>
      </c>
      <c r="CX58" s="46" t="s">
        <v>502</v>
      </c>
      <c r="CY58" s="49" t="s">
        <v>502</v>
      </c>
      <c r="CZ58" s="46" t="s">
        <v>502</v>
      </c>
      <c r="DA58" s="46" t="s">
        <v>502</v>
      </c>
      <c r="DB58" s="49" t="s">
        <v>502</v>
      </c>
      <c r="DC58" s="46" t="s">
        <v>502</v>
      </c>
      <c r="DD58" s="46" t="s">
        <v>502</v>
      </c>
      <c r="DE58" s="49" t="s">
        <v>502</v>
      </c>
      <c r="DF58" s="46" t="s">
        <v>502</v>
      </c>
      <c r="DG58" s="46" t="s">
        <v>502</v>
      </c>
      <c r="DH58" s="49" t="s">
        <v>502</v>
      </c>
      <c r="DI58" s="46" t="s">
        <v>502</v>
      </c>
      <c r="DJ58" s="46" t="s">
        <v>502</v>
      </c>
      <c r="DK58" s="49" t="s">
        <v>502</v>
      </c>
      <c r="DL58" s="46" t="s">
        <v>502</v>
      </c>
      <c r="DM58" s="46" t="s">
        <v>502</v>
      </c>
      <c r="DN58" s="49" t="s">
        <v>502</v>
      </c>
      <c r="DO58" s="46" t="s">
        <v>502</v>
      </c>
      <c r="DP58" s="46" t="s">
        <v>502</v>
      </c>
      <c r="DQ58" s="49" t="s">
        <v>502</v>
      </c>
      <c r="DR58" s="46" t="s">
        <v>503</v>
      </c>
      <c r="DS58" s="46" t="s">
        <v>503</v>
      </c>
      <c r="DT58" s="46" t="s">
        <v>503</v>
      </c>
      <c r="DU58" s="46" t="s">
        <v>502</v>
      </c>
      <c r="DV58" s="46" t="s">
        <v>502</v>
      </c>
      <c r="DW58" s="49" t="s">
        <v>502</v>
      </c>
      <c r="DX58" s="46" t="s">
        <v>502</v>
      </c>
      <c r="DY58" s="46" t="s">
        <v>502</v>
      </c>
      <c r="DZ58" s="49" t="s">
        <v>502</v>
      </c>
      <c r="EA58" s="46" t="s">
        <v>502</v>
      </c>
      <c r="EB58" s="46" t="s">
        <v>502</v>
      </c>
      <c r="EC58" s="49" t="s">
        <v>502</v>
      </c>
      <c r="ED58" s="46" t="s">
        <v>502</v>
      </c>
      <c r="EE58" s="46" t="s">
        <v>502</v>
      </c>
      <c r="EF58" s="49" t="s">
        <v>502</v>
      </c>
      <c r="EG58" s="46" t="s">
        <v>502</v>
      </c>
      <c r="EH58" s="46" t="s">
        <v>502</v>
      </c>
      <c r="EI58" s="49" t="s">
        <v>502</v>
      </c>
      <c r="EJ58" s="46" t="s">
        <v>502</v>
      </c>
      <c r="EK58" s="46" t="s">
        <v>502</v>
      </c>
      <c r="EL58" s="49" t="s">
        <v>502</v>
      </c>
      <c r="EM58" s="46" t="s">
        <v>502</v>
      </c>
      <c r="EN58" s="46" t="s">
        <v>502</v>
      </c>
      <c r="EO58" s="49" t="s">
        <v>502</v>
      </c>
      <c r="EP58" s="46" t="s">
        <v>502</v>
      </c>
      <c r="EQ58" s="46" t="s">
        <v>502</v>
      </c>
      <c r="ER58" s="49" t="s">
        <v>502</v>
      </c>
      <c r="ES58" s="46" t="s">
        <v>502</v>
      </c>
      <c r="ET58" s="46" t="s">
        <v>502</v>
      </c>
      <c r="EU58" s="49" t="s">
        <v>502</v>
      </c>
      <c r="EV58" s="46" t="s">
        <v>502</v>
      </c>
      <c r="EW58" s="46" t="s">
        <v>502</v>
      </c>
      <c r="EX58" s="49" t="s">
        <v>502</v>
      </c>
      <c r="EY58" s="46" t="s">
        <v>502</v>
      </c>
      <c r="EZ58" s="46" t="s">
        <v>502</v>
      </c>
      <c r="FA58" s="49" t="s">
        <v>502</v>
      </c>
      <c r="FB58" s="46" t="s">
        <v>502</v>
      </c>
      <c r="FC58" s="46" t="s">
        <v>502</v>
      </c>
      <c r="FD58" s="49" t="s">
        <v>502</v>
      </c>
      <c r="FE58" s="46" t="s">
        <v>502</v>
      </c>
      <c r="FF58" s="46" t="s">
        <v>502</v>
      </c>
      <c r="FG58" s="49" t="s">
        <v>502</v>
      </c>
      <c r="FH58" s="46" t="s">
        <v>502</v>
      </c>
      <c r="FI58" s="46" t="s">
        <v>502</v>
      </c>
      <c r="FJ58" s="49" t="s">
        <v>502</v>
      </c>
      <c r="FK58" s="46" t="s">
        <v>502</v>
      </c>
      <c r="FL58" s="46" t="s">
        <v>502</v>
      </c>
      <c r="FM58" s="49" t="s">
        <v>502</v>
      </c>
      <c r="FN58" s="46" t="s">
        <v>502</v>
      </c>
      <c r="FO58" s="46" t="s">
        <v>502</v>
      </c>
      <c r="FP58" s="49" t="s">
        <v>502</v>
      </c>
      <c r="FQ58" s="46" t="s">
        <v>502</v>
      </c>
      <c r="FR58" s="46" t="s">
        <v>502</v>
      </c>
      <c r="FS58" s="49" t="s">
        <v>502</v>
      </c>
      <c r="FT58" s="46" t="s">
        <v>502</v>
      </c>
      <c r="FU58" s="46" t="s">
        <v>502</v>
      </c>
      <c r="FV58" s="49" t="s">
        <v>502</v>
      </c>
      <c r="FW58" s="50">
        <f t="shared" si="7"/>
        <v>3</v>
      </c>
      <c r="FX58" s="51">
        <f t="shared" si="8"/>
        <v>350000</v>
      </c>
      <c r="FY58" s="46">
        <f t="shared" si="6"/>
        <v>350000</v>
      </c>
      <c r="FZ58" s="52" t="s">
        <v>504</v>
      </c>
    </row>
    <row r="59" spans="1:183" ht="156.75" customHeight="1" x14ac:dyDescent="0.2">
      <c r="A59" s="53">
        <v>56</v>
      </c>
      <c r="B59" s="40" t="s">
        <v>12</v>
      </c>
      <c r="C59" s="72" t="s">
        <v>365</v>
      </c>
      <c r="D59" s="42">
        <v>52161520</v>
      </c>
      <c r="E59" s="73" t="s">
        <v>366</v>
      </c>
      <c r="F59" s="41" t="s">
        <v>54</v>
      </c>
      <c r="G59" s="66"/>
      <c r="H59" s="46" t="s">
        <v>502</v>
      </c>
      <c r="I59" s="46" t="s">
        <v>502</v>
      </c>
      <c r="J59" s="46" t="s">
        <v>502</v>
      </c>
      <c r="K59" s="46" t="s">
        <v>502</v>
      </c>
      <c r="L59" s="46" t="s">
        <v>502</v>
      </c>
      <c r="M59" s="46" t="s">
        <v>502</v>
      </c>
      <c r="N59" s="46" t="s">
        <v>502</v>
      </c>
      <c r="O59" s="46" t="s">
        <v>502</v>
      </c>
      <c r="P59" s="46" t="s">
        <v>502</v>
      </c>
      <c r="Q59" s="46" t="s">
        <v>502</v>
      </c>
      <c r="R59" s="46" t="s">
        <v>502</v>
      </c>
      <c r="S59" s="46" t="s">
        <v>502</v>
      </c>
      <c r="T59" s="46" t="s">
        <v>502</v>
      </c>
      <c r="U59" s="46" t="s">
        <v>502</v>
      </c>
      <c r="V59" s="46" t="s">
        <v>502</v>
      </c>
      <c r="W59" s="46" t="s">
        <v>502</v>
      </c>
      <c r="X59" s="46" t="s">
        <v>502</v>
      </c>
      <c r="Y59" s="46" t="s">
        <v>502</v>
      </c>
      <c r="Z59" s="46" t="s">
        <v>502</v>
      </c>
      <c r="AA59" s="46" t="s">
        <v>502</v>
      </c>
      <c r="AB59" s="46" t="s">
        <v>502</v>
      </c>
      <c r="AC59" s="46" t="s">
        <v>502</v>
      </c>
      <c r="AD59" s="46" t="s">
        <v>502</v>
      </c>
      <c r="AE59" s="46" t="s">
        <v>502</v>
      </c>
      <c r="AF59" s="46" t="s">
        <v>502</v>
      </c>
      <c r="AG59" s="46" t="s">
        <v>502</v>
      </c>
      <c r="AH59" s="46" t="s">
        <v>502</v>
      </c>
      <c r="AI59" s="46" t="s">
        <v>502</v>
      </c>
      <c r="AJ59" s="46" t="s">
        <v>502</v>
      </c>
      <c r="AK59" s="46" t="s">
        <v>502</v>
      </c>
      <c r="AL59" s="46" t="s">
        <v>502</v>
      </c>
      <c r="AM59" s="46" t="s">
        <v>502</v>
      </c>
      <c r="AN59" s="49" t="s">
        <v>502</v>
      </c>
      <c r="AO59" s="46" t="s">
        <v>502</v>
      </c>
      <c r="AP59" s="46" t="s">
        <v>502</v>
      </c>
      <c r="AQ59" s="49" t="s">
        <v>502</v>
      </c>
      <c r="AR59" s="46">
        <f>150000+60000</f>
        <v>210000</v>
      </c>
      <c r="AS59" s="46">
        <f>+AR59*19%</f>
        <v>39900</v>
      </c>
      <c r="AT59" s="49">
        <f>+AR59+AS59</f>
        <v>249900</v>
      </c>
      <c r="AU59" s="46" t="s">
        <v>502</v>
      </c>
      <c r="AV59" s="46" t="s">
        <v>502</v>
      </c>
      <c r="AW59" s="49" t="s">
        <v>502</v>
      </c>
      <c r="AX59" s="46" t="s">
        <v>502</v>
      </c>
      <c r="AY59" s="46" t="s">
        <v>502</v>
      </c>
      <c r="AZ59" s="49" t="s">
        <v>502</v>
      </c>
      <c r="BA59" s="46" t="s">
        <v>503</v>
      </c>
      <c r="BB59" s="46" t="s">
        <v>503</v>
      </c>
      <c r="BC59" s="46" t="s">
        <v>503</v>
      </c>
      <c r="BD59" s="46">
        <f>SUM(120000+90000)/1.19</f>
        <v>176470.58823529413</v>
      </c>
      <c r="BE59" s="46">
        <f>+BD59*19%</f>
        <v>33529.411764705881</v>
      </c>
      <c r="BF59" s="46">
        <f>+BD59+BE59</f>
        <v>210000</v>
      </c>
      <c r="BG59" s="46" t="s">
        <v>502</v>
      </c>
      <c r="BH59" s="46" t="s">
        <v>502</v>
      </c>
      <c r="BI59" s="49" t="s">
        <v>502</v>
      </c>
      <c r="BJ59" s="46" t="s">
        <v>502</v>
      </c>
      <c r="BK59" s="46" t="s">
        <v>502</v>
      </c>
      <c r="BL59" s="49" t="s">
        <v>502</v>
      </c>
      <c r="BM59" s="46" t="s">
        <v>502</v>
      </c>
      <c r="BN59" s="46" t="s">
        <v>502</v>
      </c>
      <c r="BO59" s="49" t="s">
        <v>502</v>
      </c>
      <c r="BP59" s="46" t="s">
        <v>502</v>
      </c>
      <c r="BQ59" s="46" t="s">
        <v>502</v>
      </c>
      <c r="BR59" s="49" t="s">
        <v>502</v>
      </c>
      <c r="BS59" s="46" t="s">
        <v>502</v>
      </c>
      <c r="BT59" s="46" t="s">
        <v>502</v>
      </c>
      <c r="BU59" s="49" t="s">
        <v>502</v>
      </c>
      <c r="BV59" s="46" t="s">
        <v>502</v>
      </c>
      <c r="BW59" s="46" t="s">
        <v>502</v>
      </c>
      <c r="BX59" s="49" t="s">
        <v>502</v>
      </c>
      <c r="BY59" s="46" t="s">
        <v>502</v>
      </c>
      <c r="BZ59" s="46" t="s">
        <v>502</v>
      </c>
      <c r="CA59" s="49" t="s">
        <v>502</v>
      </c>
      <c r="CB59" s="46" t="s">
        <v>502</v>
      </c>
      <c r="CC59" s="46" t="s">
        <v>502</v>
      </c>
      <c r="CD59" s="49" t="s">
        <v>502</v>
      </c>
      <c r="CE59" s="46" t="s">
        <v>502</v>
      </c>
      <c r="CF59" s="46" t="s">
        <v>502</v>
      </c>
      <c r="CG59" s="49" t="s">
        <v>502</v>
      </c>
      <c r="CH59" s="46" t="s">
        <v>502</v>
      </c>
      <c r="CI59" s="46" t="s">
        <v>502</v>
      </c>
      <c r="CJ59" s="49" t="s">
        <v>502</v>
      </c>
      <c r="CK59" s="46" t="s">
        <v>502</v>
      </c>
      <c r="CL59" s="46" t="s">
        <v>502</v>
      </c>
      <c r="CM59" s="49" t="s">
        <v>502</v>
      </c>
      <c r="CN59" s="46" t="s">
        <v>502</v>
      </c>
      <c r="CO59" s="46" t="s">
        <v>502</v>
      </c>
      <c r="CP59" s="49" t="s">
        <v>502</v>
      </c>
      <c r="CQ59" s="46" t="s">
        <v>502</v>
      </c>
      <c r="CR59" s="46" t="s">
        <v>502</v>
      </c>
      <c r="CS59" s="49" t="s">
        <v>502</v>
      </c>
      <c r="CT59" s="46" t="s">
        <v>502</v>
      </c>
      <c r="CU59" s="46" t="s">
        <v>502</v>
      </c>
      <c r="CV59" s="49" t="s">
        <v>502</v>
      </c>
      <c r="CW59" s="46" t="s">
        <v>502</v>
      </c>
      <c r="CX59" s="46" t="s">
        <v>502</v>
      </c>
      <c r="CY59" s="49" t="s">
        <v>502</v>
      </c>
      <c r="CZ59" s="46" t="s">
        <v>502</v>
      </c>
      <c r="DA59" s="46" t="s">
        <v>502</v>
      </c>
      <c r="DB59" s="49" t="s">
        <v>502</v>
      </c>
      <c r="DC59" s="46" t="s">
        <v>502</v>
      </c>
      <c r="DD59" s="46" t="s">
        <v>502</v>
      </c>
      <c r="DE59" s="49" t="s">
        <v>502</v>
      </c>
      <c r="DF59" s="46" t="s">
        <v>502</v>
      </c>
      <c r="DG59" s="46" t="s">
        <v>502</v>
      </c>
      <c r="DH59" s="49" t="s">
        <v>502</v>
      </c>
      <c r="DI59" s="46" t="s">
        <v>502</v>
      </c>
      <c r="DJ59" s="46" t="s">
        <v>502</v>
      </c>
      <c r="DK59" s="49" t="s">
        <v>502</v>
      </c>
      <c r="DL59" s="46" t="s">
        <v>502</v>
      </c>
      <c r="DM59" s="46" t="s">
        <v>502</v>
      </c>
      <c r="DN59" s="49" t="s">
        <v>502</v>
      </c>
      <c r="DO59" s="46" t="s">
        <v>502</v>
      </c>
      <c r="DP59" s="46" t="s">
        <v>502</v>
      </c>
      <c r="DQ59" s="49" t="s">
        <v>502</v>
      </c>
      <c r="DR59" s="46" t="s">
        <v>502</v>
      </c>
      <c r="DS59" s="46" t="s">
        <v>502</v>
      </c>
      <c r="DT59" s="49" t="s">
        <v>502</v>
      </c>
      <c r="DU59" s="46" t="s">
        <v>502</v>
      </c>
      <c r="DV59" s="46" t="s">
        <v>502</v>
      </c>
      <c r="DW59" s="49" t="s">
        <v>502</v>
      </c>
      <c r="DX59" s="46" t="s">
        <v>502</v>
      </c>
      <c r="DY59" s="46" t="s">
        <v>502</v>
      </c>
      <c r="DZ59" s="49" t="s">
        <v>502</v>
      </c>
      <c r="EA59" s="46" t="s">
        <v>502</v>
      </c>
      <c r="EB59" s="46" t="s">
        <v>502</v>
      </c>
      <c r="EC59" s="49" t="s">
        <v>502</v>
      </c>
      <c r="ED59" s="46" t="s">
        <v>502</v>
      </c>
      <c r="EE59" s="46" t="s">
        <v>502</v>
      </c>
      <c r="EF59" s="49" t="s">
        <v>502</v>
      </c>
      <c r="EG59" s="46" t="s">
        <v>502</v>
      </c>
      <c r="EH59" s="46" t="s">
        <v>502</v>
      </c>
      <c r="EI59" s="49" t="s">
        <v>502</v>
      </c>
      <c r="EJ59" s="46" t="s">
        <v>502</v>
      </c>
      <c r="EK59" s="46" t="s">
        <v>502</v>
      </c>
      <c r="EL59" s="49" t="s">
        <v>502</v>
      </c>
      <c r="EM59" s="46" t="s">
        <v>502</v>
      </c>
      <c r="EN59" s="46" t="s">
        <v>502</v>
      </c>
      <c r="EO59" s="49" t="s">
        <v>502</v>
      </c>
      <c r="EP59" s="46" t="s">
        <v>502</v>
      </c>
      <c r="EQ59" s="46" t="s">
        <v>502</v>
      </c>
      <c r="ER59" s="49" t="s">
        <v>502</v>
      </c>
      <c r="ES59" s="46" t="s">
        <v>502</v>
      </c>
      <c r="ET59" s="46" t="s">
        <v>502</v>
      </c>
      <c r="EU59" s="49" t="s">
        <v>502</v>
      </c>
      <c r="EV59" s="46" t="s">
        <v>502</v>
      </c>
      <c r="EW59" s="46" t="s">
        <v>502</v>
      </c>
      <c r="EX59" s="49" t="s">
        <v>502</v>
      </c>
      <c r="EY59" s="46" t="s">
        <v>502</v>
      </c>
      <c r="EZ59" s="46" t="s">
        <v>502</v>
      </c>
      <c r="FA59" s="49" t="s">
        <v>502</v>
      </c>
      <c r="FB59" s="46" t="s">
        <v>502</v>
      </c>
      <c r="FC59" s="46" t="s">
        <v>502</v>
      </c>
      <c r="FD59" s="49" t="s">
        <v>502</v>
      </c>
      <c r="FE59" s="46" t="s">
        <v>502</v>
      </c>
      <c r="FF59" s="46" t="s">
        <v>502</v>
      </c>
      <c r="FG59" s="49" t="s">
        <v>502</v>
      </c>
      <c r="FH59" s="46" t="s">
        <v>502</v>
      </c>
      <c r="FI59" s="46" t="s">
        <v>502</v>
      </c>
      <c r="FJ59" s="49" t="s">
        <v>502</v>
      </c>
      <c r="FK59" s="46" t="s">
        <v>502</v>
      </c>
      <c r="FL59" s="46" t="s">
        <v>502</v>
      </c>
      <c r="FM59" s="49" t="s">
        <v>502</v>
      </c>
      <c r="FN59" s="46" t="s">
        <v>502</v>
      </c>
      <c r="FO59" s="46" t="s">
        <v>502</v>
      </c>
      <c r="FP59" s="49" t="s">
        <v>502</v>
      </c>
      <c r="FQ59" s="46" t="s">
        <v>502</v>
      </c>
      <c r="FR59" s="46" t="s">
        <v>502</v>
      </c>
      <c r="FS59" s="49" t="s">
        <v>502</v>
      </c>
      <c r="FT59" s="46" t="s">
        <v>502</v>
      </c>
      <c r="FU59" s="46" t="s">
        <v>502</v>
      </c>
      <c r="FV59" s="49" t="s">
        <v>502</v>
      </c>
      <c r="FW59" s="50">
        <f t="shared" si="7"/>
        <v>2</v>
      </c>
      <c r="FX59" s="51">
        <f t="shared" si="8"/>
        <v>229950</v>
      </c>
      <c r="FY59" s="46">
        <f t="shared" si="6"/>
        <v>229950</v>
      </c>
      <c r="FZ59" s="52" t="s">
        <v>504</v>
      </c>
    </row>
    <row r="60" spans="1:183" ht="114.75" customHeight="1" x14ac:dyDescent="0.2">
      <c r="A60" s="39">
        <v>57</v>
      </c>
      <c r="B60" s="40" t="s">
        <v>12</v>
      </c>
      <c r="C60" s="72" t="s">
        <v>367</v>
      </c>
      <c r="D60" s="42">
        <v>45111616</v>
      </c>
      <c r="E60" s="73" t="s">
        <v>368</v>
      </c>
      <c r="F60" s="41" t="s">
        <v>54</v>
      </c>
      <c r="G60" s="66"/>
      <c r="H60" s="46" t="s">
        <v>502</v>
      </c>
      <c r="I60" s="46" t="s">
        <v>502</v>
      </c>
      <c r="J60" s="46" t="s">
        <v>502</v>
      </c>
      <c r="K60" s="46" t="s">
        <v>502</v>
      </c>
      <c r="L60" s="46" t="s">
        <v>502</v>
      </c>
      <c r="M60" s="46" t="s">
        <v>502</v>
      </c>
      <c r="N60" s="46" t="s">
        <v>502</v>
      </c>
      <c r="O60" s="46" t="s">
        <v>502</v>
      </c>
      <c r="P60" s="46" t="s">
        <v>502</v>
      </c>
      <c r="Q60" s="46" t="s">
        <v>502</v>
      </c>
      <c r="R60" s="46" t="s">
        <v>502</v>
      </c>
      <c r="S60" s="46" t="s">
        <v>502</v>
      </c>
      <c r="T60" s="46" t="s">
        <v>502</v>
      </c>
      <c r="U60" s="46" t="s">
        <v>502</v>
      </c>
      <c r="V60" s="46" t="s">
        <v>502</v>
      </c>
      <c r="W60" s="46" t="s">
        <v>502</v>
      </c>
      <c r="X60" s="46" t="s">
        <v>502</v>
      </c>
      <c r="Y60" s="46" t="s">
        <v>502</v>
      </c>
      <c r="Z60" s="46" t="s">
        <v>502</v>
      </c>
      <c r="AA60" s="46" t="s">
        <v>502</v>
      </c>
      <c r="AB60" s="46" t="s">
        <v>502</v>
      </c>
      <c r="AC60" s="46" t="s">
        <v>502</v>
      </c>
      <c r="AD60" s="46" t="s">
        <v>502</v>
      </c>
      <c r="AE60" s="46" t="s">
        <v>502</v>
      </c>
      <c r="AF60" s="46" t="s">
        <v>502</v>
      </c>
      <c r="AG60" s="46" t="s">
        <v>502</v>
      </c>
      <c r="AH60" s="46" t="s">
        <v>502</v>
      </c>
      <c r="AI60" s="46" t="s">
        <v>502</v>
      </c>
      <c r="AJ60" s="46" t="s">
        <v>502</v>
      </c>
      <c r="AK60" s="46" t="s">
        <v>502</v>
      </c>
      <c r="AL60" s="46" t="s">
        <v>502</v>
      </c>
      <c r="AM60" s="46" t="s">
        <v>502</v>
      </c>
      <c r="AN60" s="49" t="s">
        <v>502</v>
      </c>
      <c r="AO60" s="46" t="s">
        <v>502</v>
      </c>
      <c r="AP60" s="46" t="s">
        <v>502</v>
      </c>
      <c r="AQ60" s="49" t="s">
        <v>502</v>
      </c>
      <c r="AR60" s="46" t="s">
        <v>502</v>
      </c>
      <c r="AS60" s="46" t="s">
        <v>502</v>
      </c>
      <c r="AT60" s="49" t="s">
        <v>502</v>
      </c>
      <c r="AU60" s="46" t="s">
        <v>502</v>
      </c>
      <c r="AV60" s="46" t="s">
        <v>502</v>
      </c>
      <c r="AW60" s="49" t="s">
        <v>502</v>
      </c>
      <c r="AX60" s="46" t="s">
        <v>502</v>
      </c>
      <c r="AY60" s="46" t="s">
        <v>502</v>
      </c>
      <c r="AZ60" s="49" t="s">
        <v>502</v>
      </c>
      <c r="BA60" s="46" t="s">
        <v>502</v>
      </c>
      <c r="BB60" s="46" t="s">
        <v>502</v>
      </c>
      <c r="BC60" s="49" t="s">
        <v>502</v>
      </c>
      <c r="BD60" s="46" t="s">
        <v>502</v>
      </c>
      <c r="BE60" s="46" t="s">
        <v>502</v>
      </c>
      <c r="BF60" s="49" t="s">
        <v>502</v>
      </c>
      <c r="BG60" s="46" t="s">
        <v>503</v>
      </c>
      <c r="BH60" s="46" t="s">
        <v>503</v>
      </c>
      <c r="BI60" s="46" t="s">
        <v>503</v>
      </c>
      <c r="BJ60" s="46" t="s">
        <v>502</v>
      </c>
      <c r="BK60" s="46" t="s">
        <v>502</v>
      </c>
      <c r="BL60" s="49" t="s">
        <v>502</v>
      </c>
      <c r="BM60" s="46" t="s">
        <v>503</v>
      </c>
      <c r="BN60" s="46" t="s">
        <v>503</v>
      </c>
      <c r="BO60" s="46" t="s">
        <v>503</v>
      </c>
      <c r="BP60" s="46" t="s">
        <v>503</v>
      </c>
      <c r="BQ60" s="46" t="s">
        <v>503</v>
      </c>
      <c r="BR60" s="46" t="s">
        <v>503</v>
      </c>
      <c r="BS60" s="46">
        <f>3199000/1.19</f>
        <v>2688235.2941176472</v>
      </c>
      <c r="BT60" s="46">
        <f>+BS60*19%</f>
        <v>510764.70588235295</v>
      </c>
      <c r="BU60" s="46">
        <f>+BS60+BT60</f>
        <v>3199000</v>
      </c>
      <c r="BV60" s="46" t="s">
        <v>502</v>
      </c>
      <c r="BW60" s="46" t="s">
        <v>502</v>
      </c>
      <c r="BX60" s="49" t="s">
        <v>502</v>
      </c>
      <c r="BY60" s="46" t="s">
        <v>502</v>
      </c>
      <c r="BZ60" s="46" t="s">
        <v>502</v>
      </c>
      <c r="CA60" s="49" t="s">
        <v>502</v>
      </c>
      <c r="CB60" s="46" t="s">
        <v>502</v>
      </c>
      <c r="CC60" s="46" t="s">
        <v>502</v>
      </c>
      <c r="CD60" s="49" t="s">
        <v>502</v>
      </c>
      <c r="CE60" s="46">
        <f>3272976/1.19</f>
        <v>2750400</v>
      </c>
      <c r="CF60" s="46">
        <f>+CE60*19%</f>
        <v>522576</v>
      </c>
      <c r="CG60" s="46">
        <f>+CE60+CF60</f>
        <v>3272976</v>
      </c>
      <c r="CH60" s="46" t="s">
        <v>502</v>
      </c>
      <c r="CI60" s="46" t="s">
        <v>502</v>
      </c>
      <c r="CJ60" s="49" t="s">
        <v>502</v>
      </c>
      <c r="CK60" s="46" t="s">
        <v>502</v>
      </c>
      <c r="CL60" s="46" t="s">
        <v>502</v>
      </c>
      <c r="CM60" s="49" t="s">
        <v>502</v>
      </c>
      <c r="CN60" s="46" t="s">
        <v>502</v>
      </c>
      <c r="CO60" s="46" t="s">
        <v>502</v>
      </c>
      <c r="CP60" s="49" t="s">
        <v>502</v>
      </c>
      <c r="CQ60" s="46" t="s">
        <v>502</v>
      </c>
      <c r="CR60" s="46" t="s">
        <v>502</v>
      </c>
      <c r="CS60" s="49" t="s">
        <v>502</v>
      </c>
      <c r="CT60" s="46" t="s">
        <v>502</v>
      </c>
      <c r="CU60" s="46" t="s">
        <v>502</v>
      </c>
      <c r="CV60" s="49" t="s">
        <v>502</v>
      </c>
      <c r="CW60" s="46" t="s">
        <v>502</v>
      </c>
      <c r="CX60" s="46" t="s">
        <v>502</v>
      </c>
      <c r="CY60" s="49" t="s">
        <v>502</v>
      </c>
      <c r="CZ60" s="46" t="s">
        <v>502</v>
      </c>
      <c r="DA60" s="46" t="s">
        <v>502</v>
      </c>
      <c r="DB60" s="49" t="s">
        <v>502</v>
      </c>
      <c r="DC60" s="46" t="s">
        <v>502</v>
      </c>
      <c r="DD60" s="46" t="s">
        <v>502</v>
      </c>
      <c r="DE60" s="49" t="s">
        <v>502</v>
      </c>
      <c r="DF60" s="46" t="s">
        <v>502</v>
      </c>
      <c r="DG60" s="46" t="s">
        <v>502</v>
      </c>
      <c r="DH60" s="49" t="s">
        <v>502</v>
      </c>
      <c r="DI60" s="46" t="s">
        <v>502</v>
      </c>
      <c r="DJ60" s="46" t="s">
        <v>502</v>
      </c>
      <c r="DK60" s="49" t="s">
        <v>502</v>
      </c>
      <c r="DL60" s="46">
        <v>2522000</v>
      </c>
      <c r="DM60" s="46">
        <f>+DL60*19%</f>
        <v>479180</v>
      </c>
      <c r="DN60" s="46">
        <f>+DL60+DM60</f>
        <v>3001180</v>
      </c>
      <c r="DO60" s="46" t="s">
        <v>502</v>
      </c>
      <c r="DP60" s="46" t="s">
        <v>502</v>
      </c>
      <c r="DQ60" s="49" t="s">
        <v>502</v>
      </c>
      <c r="DR60" s="46" t="s">
        <v>503</v>
      </c>
      <c r="DS60" s="46" t="s">
        <v>503</v>
      </c>
      <c r="DT60" s="46" t="s">
        <v>503</v>
      </c>
      <c r="DU60" s="46" t="s">
        <v>502</v>
      </c>
      <c r="DV60" s="46" t="s">
        <v>502</v>
      </c>
      <c r="DW60" s="49" t="s">
        <v>502</v>
      </c>
      <c r="DX60" s="46" t="s">
        <v>502</v>
      </c>
      <c r="DY60" s="46" t="s">
        <v>502</v>
      </c>
      <c r="DZ60" s="49" t="s">
        <v>502</v>
      </c>
      <c r="EA60" s="46" t="s">
        <v>502</v>
      </c>
      <c r="EB60" s="46" t="s">
        <v>502</v>
      </c>
      <c r="EC60" s="49" t="s">
        <v>502</v>
      </c>
      <c r="ED60" s="46" t="s">
        <v>502</v>
      </c>
      <c r="EE60" s="46" t="s">
        <v>502</v>
      </c>
      <c r="EF60" s="49" t="s">
        <v>502</v>
      </c>
      <c r="EG60" s="46" t="s">
        <v>502</v>
      </c>
      <c r="EH60" s="46" t="s">
        <v>502</v>
      </c>
      <c r="EI60" s="49" t="s">
        <v>502</v>
      </c>
      <c r="EJ60" s="46" t="s">
        <v>502</v>
      </c>
      <c r="EK60" s="46" t="s">
        <v>502</v>
      </c>
      <c r="EL60" s="49" t="s">
        <v>502</v>
      </c>
      <c r="EM60" s="46" t="s">
        <v>502</v>
      </c>
      <c r="EN60" s="46" t="s">
        <v>502</v>
      </c>
      <c r="EO60" s="49" t="s">
        <v>502</v>
      </c>
      <c r="EP60" s="46" t="s">
        <v>502</v>
      </c>
      <c r="EQ60" s="46" t="s">
        <v>502</v>
      </c>
      <c r="ER60" s="49" t="s">
        <v>502</v>
      </c>
      <c r="ES60" s="46" t="s">
        <v>502</v>
      </c>
      <c r="ET60" s="46" t="s">
        <v>502</v>
      </c>
      <c r="EU60" s="49" t="s">
        <v>502</v>
      </c>
      <c r="EV60" s="46" t="s">
        <v>502</v>
      </c>
      <c r="EW60" s="46" t="s">
        <v>502</v>
      </c>
      <c r="EX60" s="49" t="s">
        <v>502</v>
      </c>
      <c r="EY60" s="46" t="s">
        <v>502</v>
      </c>
      <c r="EZ60" s="46" t="s">
        <v>502</v>
      </c>
      <c r="FA60" s="49" t="s">
        <v>502</v>
      </c>
      <c r="FB60" s="46" t="s">
        <v>502</v>
      </c>
      <c r="FC60" s="46" t="s">
        <v>502</v>
      </c>
      <c r="FD60" s="49" t="s">
        <v>502</v>
      </c>
      <c r="FE60" s="46" t="s">
        <v>502</v>
      </c>
      <c r="FF60" s="46" t="s">
        <v>502</v>
      </c>
      <c r="FG60" s="49" t="s">
        <v>502</v>
      </c>
      <c r="FH60" s="46" t="s">
        <v>502</v>
      </c>
      <c r="FI60" s="46" t="s">
        <v>502</v>
      </c>
      <c r="FJ60" s="49" t="s">
        <v>502</v>
      </c>
      <c r="FK60" s="46" t="s">
        <v>502</v>
      </c>
      <c r="FL60" s="46" t="s">
        <v>502</v>
      </c>
      <c r="FM60" s="49" t="s">
        <v>502</v>
      </c>
      <c r="FN60" s="46" t="s">
        <v>502</v>
      </c>
      <c r="FO60" s="46" t="s">
        <v>502</v>
      </c>
      <c r="FP60" s="49" t="s">
        <v>502</v>
      </c>
      <c r="FQ60" s="46" t="s">
        <v>502</v>
      </c>
      <c r="FR60" s="46" t="s">
        <v>502</v>
      </c>
      <c r="FS60" s="49" t="s">
        <v>502</v>
      </c>
      <c r="FT60" s="46" t="s">
        <v>502</v>
      </c>
      <c r="FU60" s="46" t="s">
        <v>502</v>
      </c>
      <c r="FV60" s="49" t="s">
        <v>502</v>
      </c>
      <c r="FW60" s="50">
        <f t="shared" si="7"/>
        <v>3</v>
      </c>
      <c r="FX60" s="51">
        <f t="shared" si="8"/>
        <v>3157718.6666666665</v>
      </c>
      <c r="FY60" s="46">
        <f t="shared" si="6"/>
        <v>3157750</v>
      </c>
      <c r="FZ60" s="52" t="s">
        <v>504</v>
      </c>
    </row>
    <row r="61" spans="1:183" ht="141.75" customHeight="1" x14ac:dyDescent="0.2">
      <c r="A61" s="53">
        <v>58</v>
      </c>
      <c r="B61" s="40" t="s">
        <v>12</v>
      </c>
      <c r="C61" s="41" t="s">
        <v>369</v>
      </c>
      <c r="D61" s="42">
        <v>32131023</v>
      </c>
      <c r="E61" s="43" t="s">
        <v>370</v>
      </c>
      <c r="F61" s="41" t="s">
        <v>54</v>
      </c>
      <c r="G61" s="45"/>
      <c r="H61" s="46" t="s">
        <v>502</v>
      </c>
      <c r="I61" s="46" t="s">
        <v>502</v>
      </c>
      <c r="J61" s="46" t="s">
        <v>502</v>
      </c>
      <c r="K61" s="46" t="s">
        <v>502</v>
      </c>
      <c r="L61" s="46" t="s">
        <v>502</v>
      </c>
      <c r="M61" s="46" t="s">
        <v>502</v>
      </c>
      <c r="N61" s="46" t="s">
        <v>502</v>
      </c>
      <c r="O61" s="46" t="s">
        <v>502</v>
      </c>
      <c r="P61" s="46" t="s">
        <v>502</v>
      </c>
      <c r="Q61" s="46" t="s">
        <v>502</v>
      </c>
      <c r="R61" s="46" t="s">
        <v>502</v>
      </c>
      <c r="S61" s="46" t="s">
        <v>502</v>
      </c>
      <c r="T61" s="46" t="s">
        <v>502</v>
      </c>
      <c r="U61" s="46" t="s">
        <v>502</v>
      </c>
      <c r="V61" s="46" t="s">
        <v>502</v>
      </c>
      <c r="W61" s="46" t="s">
        <v>502</v>
      </c>
      <c r="X61" s="46" t="s">
        <v>502</v>
      </c>
      <c r="Y61" s="46" t="s">
        <v>502</v>
      </c>
      <c r="Z61" s="46" t="s">
        <v>502</v>
      </c>
      <c r="AA61" s="46" t="s">
        <v>502</v>
      </c>
      <c r="AB61" s="46" t="s">
        <v>502</v>
      </c>
      <c r="AC61" s="46" t="s">
        <v>502</v>
      </c>
      <c r="AD61" s="46" t="s">
        <v>502</v>
      </c>
      <c r="AE61" s="46" t="s">
        <v>502</v>
      </c>
      <c r="AF61" s="46" t="s">
        <v>502</v>
      </c>
      <c r="AG61" s="46" t="s">
        <v>502</v>
      </c>
      <c r="AH61" s="46" t="s">
        <v>502</v>
      </c>
      <c r="AI61" s="46" t="s">
        <v>502</v>
      </c>
      <c r="AJ61" s="46" t="s">
        <v>502</v>
      </c>
      <c r="AK61" s="46" t="s">
        <v>502</v>
      </c>
      <c r="AL61" s="46" t="s">
        <v>502</v>
      </c>
      <c r="AM61" s="46" t="s">
        <v>502</v>
      </c>
      <c r="AN61" s="49" t="s">
        <v>502</v>
      </c>
      <c r="AO61" s="46" t="s">
        <v>502</v>
      </c>
      <c r="AP61" s="46" t="s">
        <v>502</v>
      </c>
      <c r="AQ61" s="49" t="s">
        <v>502</v>
      </c>
      <c r="AR61" s="46" t="s">
        <v>502</v>
      </c>
      <c r="AS61" s="46" t="s">
        <v>502</v>
      </c>
      <c r="AT61" s="49" t="s">
        <v>502</v>
      </c>
      <c r="AU61" s="46" t="s">
        <v>502</v>
      </c>
      <c r="AV61" s="46" t="s">
        <v>502</v>
      </c>
      <c r="AW61" s="49" t="s">
        <v>502</v>
      </c>
      <c r="AX61" s="46" t="s">
        <v>502</v>
      </c>
      <c r="AY61" s="46" t="s">
        <v>502</v>
      </c>
      <c r="AZ61" s="49" t="s">
        <v>502</v>
      </c>
      <c r="BA61" s="46" t="s">
        <v>502</v>
      </c>
      <c r="BB61" s="46" t="s">
        <v>502</v>
      </c>
      <c r="BC61" s="49" t="s">
        <v>502</v>
      </c>
      <c r="BD61" s="46" t="s">
        <v>502</v>
      </c>
      <c r="BE61" s="46" t="s">
        <v>502</v>
      </c>
      <c r="BF61" s="49" t="s">
        <v>502</v>
      </c>
      <c r="BG61" s="46" t="s">
        <v>503</v>
      </c>
      <c r="BH61" s="46" t="s">
        <v>503</v>
      </c>
      <c r="BI61" s="46" t="s">
        <v>503</v>
      </c>
      <c r="BJ61" s="46" t="s">
        <v>502</v>
      </c>
      <c r="BK61" s="46" t="s">
        <v>502</v>
      </c>
      <c r="BL61" s="49" t="s">
        <v>502</v>
      </c>
      <c r="BM61" s="46" t="s">
        <v>503</v>
      </c>
      <c r="BN61" s="46" t="s">
        <v>503</v>
      </c>
      <c r="BO61" s="46" t="s">
        <v>503</v>
      </c>
      <c r="BP61" s="46" t="s">
        <v>502</v>
      </c>
      <c r="BQ61" s="46" t="s">
        <v>502</v>
      </c>
      <c r="BR61" s="49" t="s">
        <v>502</v>
      </c>
      <c r="BS61" s="46" t="s">
        <v>502</v>
      </c>
      <c r="BT61" s="46" t="s">
        <v>502</v>
      </c>
      <c r="BU61" s="49" t="s">
        <v>502</v>
      </c>
      <c r="BV61" s="46" t="s">
        <v>502</v>
      </c>
      <c r="BW61" s="46" t="s">
        <v>502</v>
      </c>
      <c r="BX61" s="49" t="s">
        <v>502</v>
      </c>
      <c r="BY61" s="46">
        <f>99900/1.19</f>
        <v>83949.579831932773</v>
      </c>
      <c r="BZ61" s="46">
        <f>+BY61*19%</f>
        <v>15950.420168067227</v>
      </c>
      <c r="CA61" s="46">
        <f>+BY61+BZ61</f>
        <v>99900</v>
      </c>
      <c r="CB61" s="46" t="s">
        <v>503</v>
      </c>
      <c r="CC61" s="46" t="s">
        <v>503</v>
      </c>
      <c r="CD61" s="46" t="s">
        <v>503</v>
      </c>
      <c r="CE61" s="46" t="s">
        <v>502</v>
      </c>
      <c r="CF61" s="46" t="s">
        <v>502</v>
      </c>
      <c r="CG61" s="49" t="s">
        <v>502</v>
      </c>
      <c r="CH61" s="46">
        <f>96900/1.19</f>
        <v>81428.571428571435</v>
      </c>
      <c r="CI61" s="46">
        <f>+CH61*19%</f>
        <v>15471.428571428572</v>
      </c>
      <c r="CJ61" s="46">
        <f>+CH61+CI61</f>
        <v>96900</v>
      </c>
      <c r="CK61" s="46" t="s">
        <v>503</v>
      </c>
      <c r="CL61" s="46" t="s">
        <v>503</v>
      </c>
      <c r="CM61" s="46" t="s">
        <v>503</v>
      </c>
      <c r="CN61" s="46" t="s">
        <v>502</v>
      </c>
      <c r="CO61" s="46" t="s">
        <v>502</v>
      </c>
      <c r="CP61" s="49" t="s">
        <v>502</v>
      </c>
      <c r="CQ61" s="46" t="s">
        <v>502</v>
      </c>
      <c r="CR61" s="46" t="s">
        <v>502</v>
      </c>
      <c r="CS61" s="49" t="s">
        <v>502</v>
      </c>
      <c r="CT61" s="46" t="s">
        <v>502</v>
      </c>
      <c r="CU61" s="46" t="s">
        <v>502</v>
      </c>
      <c r="CV61" s="49" t="s">
        <v>502</v>
      </c>
      <c r="CW61" s="46" t="s">
        <v>502</v>
      </c>
      <c r="CX61" s="46" t="s">
        <v>502</v>
      </c>
      <c r="CY61" s="49" t="s">
        <v>502</v>
      </c>
      <c r="CZ61" s="46" t="s">
        <v>502</v>
      </c>
      <c r="DA61" s="46" t="s">
        <v>502</v>
      </c>
      <c r="DB61" s="49" t="s">
        <v>502</v>
      </c>
      <c r="DC61" s="46" t="s">
        <v>502</v>
      </c>
      <c r="DD61" s="46" t="s">
        <v>502</v>
      </c>
      <c r="DE61" s="49" t="s">
        <v>502</v>
      </c>
      <c r="DF61" s="46" t="s">
        <v>502</v>
      </c>
      <c r="DG61" s="46" t="s">
        <v>502</v>
      </c>
      <c r="DH61" s="49" t="s">
        <v>502</v>
      </c>
      <c r="DI61" s="46" t="s">
        <v>502</v>
      </c>
      <c r="DJ61" s="46" t="s">
        <v>502</v>
      </c>
      <c r="DK61" s="49" t="s">
        <v>502</v>
      </c>
      <c r="DL61" s="46" t="s">
        <v>503</v>
      </c>
      <c r="DM61" s="46" t="s">
        <v>503</v>
      </c>
      <c r="DN61" s="46" t="s">
        <v>503</v>
      </c>
      <c r="DO61" s="46" t="s">
        <v>502</v>
      </c>
      <c r="DP61" s="46" t="s">
        <v>502</v>
      </c>
      <c r="DQ61" s="49" t="s">
        <v>502</v>
      </c>
      <c r="DR61" s="46" t="s">
        <v>502</v>
      </c>
      <c r="DS61" s="46" t="s">
        <v>502</v>
      </c>
      <c r="DT61" s="49" t="s">
        <v>502</v>
      </c>
      <c r="DU61" s="46" t="s">
        <v>502</v>
      </c>
      <c r="DV61" s="46" t="s">
        <v>502</v>
      </c>
      <c r="DW61" s="49" t="s">
        <v>502</v>
      </c>
      <c r="DX61" s="46" t="s">
        <v>502</v>
      </c>
      <c r="DY61" s="46" t="s">
        <v>502</v>
      </c>
      <c r="DZ61" s="49" t="s">
        <v>502</v>
      </c>
      <c r="EA61" s="46" t="s">
        <v>502</v>
      </c>
      <c r="EB61" s="46" t="s">
        <v>502</v>
      </c>
      <c r="EC61" s="49" t="s">
        <v>502</v>
      </c>
      <c r="ED61" s="46" t="s">
        <v>502</v>
      </c>
      <c r="EE61" s="46" t="s">
        <v>502</v>
      </c>
      <c r="EF61" s="49" t="s">
        <v>502</v>
      </c>
      <c r="EG61" s="46" t="s">
        <v>502</v>
      </c>
      <c r="EH61" s="46" t="s">
        <v>502</v>
      </c>
      <c r="EI61" s="49" t="s">
        <v>502</v>
      </c>
      <c r="EJ61" s="46" t="s">
        <v>502</v>
      </c>
      <c r="EK61" s="46" t="s">
        <v>502</v>
      </c>
      <c r="EL61" s="49" t="s">
        <v>502</v>
      </c>
      <c r="EM61" s="46" t="s">
        <v>502</v>
      </c>
      <c r="EN61" s="46" t="s">
        <v>502</v>
      </c>
      <c r="EO61" s="49" t="s">
        <v>502</v>
      </c>
      <c r="EP61" s="46" t="s">
        <v>502</v>
      </c>
      <c r="EQ61" s="46" t="s">
        <v>502</v>
      </c>
      <c r="ER61" s="49" t="s">
        <v>502</v>
      </c>
      <c r="ES61" s="46" t="s">
        <v>502</v>
      </c>
      <c r="ET61" s="46" t="s">
        <v>502</v>
      </c>
      <c r="EU61" s="49" t="s">
        <v>502</v>
      </c>
      <c r="EV61" s="46" t="s">
        <v>502</v>
      </c>
      <c r="EW61" s="46" t="s">
        <v>502</v>
      </c>
      <c r="EX61" s="49" t="s">
        <v>502</v>
      </c>
      <c r="EY61" s="46" t="s">
        <v>502</v>
      </c>
      <c r="EZ61" s="46" t="s">
        <v>502</v>
      </c>
      <c r="FA61" s="49" t="s">
        <v>502</v>
      </c>
      <c r="FB61" s="46" t="s">
        <v>502</v>
      </c>
      <c r="FC61" s="46" t="s">
        <v>502</v>
      </c>
      <c r="FD61" s="49" t="s">
        <v>502</v>
      </c>
      <c r="FE61" s="46" t="s">
        <v>502</v>
      </c>
      <c r="FF61" s="46" t="s">
        <v>502</v>
      </c>
      <c r="FG61" s="49" t="s">
        <v>502</v>
      </c>
      <c r="FH61" s="46" t="s">
        <v>502</v>
      </c>
      <c r="FI61" s="46" t="s">
        <v>502</v>
      </c>
      <c r="FJ61" s="49" t="s">
        <v>502</v>
      </c>
      <c r="FK61" s="46" t="s">
        <v>502</v>
      </c>
      <c r="FL61" s="46" t="s">
        <v>502</v>
      </c>
      <c r="FM61" s="49" t="s">
        <v>502</v>
      </c>
      <c r="FN61" s="46" t="s">
        <v>502</v>
      </c>
      <c r="FO61" s="46" t="s">
        <v>502</v>
      </c>
      <c r="FP61" s="49" t="s">
        <v>502</v>
      </c>
      <c r="FQ61" s="46" t="s">
        <v>502</v>
      </c>
      <c r="FR61" s="46" t="s">
        <v>502</v>
      </c>
      <c r="FS61" s="49" t="s">
        <v>502</v>
      </c>
      <c r="FT61" s="46" t="s">
        <v>502</v>
      </c>
      <c r="FU61" s="46" t="s">
        <v>502</v>
      </c>
      <c r="FV61" s="49" t="s">
        <v>502</v>
      </c>
      <c r="FW61" s="50">
        <f t="shared" si="7"/>
        <v>2</v>
      </c>
      <c r="FX61" s="51">
        <f t="shared" si="8"/>
        <v>98400</v>
      </c>
      <c r="FY61" s="46">
        <f t="shared" si="6"/>
        <v>98400</v>
      </c>
      <c r="FZ61" s="52" t="s">
        <v>504</v>
      </c>
    </row>
    <row r="62" spans="1:183" ht="114.75" customHeight="1" x14ac:dyDescent="0.2">
      <c r="A62" s="39">
        <v>59</v>
      </c>
      <c r="B62" s="40" t="s">
        <v>12</v>
      </c>
      <c r="C62" s="41" t="s">
        <v>371</v>
      </c>
      <c r="D62" s="59">
        <v>52161500</v>
      </c>
      <c r="E62" s="43" t="s">
        <v>372</v>
      </c>
      <c r="F62" s="41" t="s">
        <v>54</v>
      </c>
      <c r="G62" s="45"/>
      <c r="H62" s="46" t="s">
        <v>502</v>
      </c>
      <c r="I62" s="46" t="s">
        <v>502</v>
      </c>
      <c r="J62" s="46" t="s">
        <v>502</v>
      </c>
      <c r="K62" s="46" t="s">
        <v>502</v>
      </c>
      <c r="L62" s="46" t="s">
        <v>502</v>
      </c>
      <c r="M62" s="46" t="s">
        <v>502</v>
      </c>
      <c r="N62" s="46" t="s">
        <v>502</v>
      </c>
      <c r="O62" s="46" t="s">
        <v>502</v>
      </c>
      <c r="P62" s="46" t="s">
        <v>502</v>
      </c>
      <c r="Q62" s="46" t="s">
        <v>502</v>
      </c>
      <c r="R62" s="46" t="s">
        <v>502</v>
      </c>
      <c r="S62" s="46" t="s">
        <v>502</v>
      </c>
      <c r="T62" s="46" t="s">
        <v>502</v>
      </c>
      <c r="U62" s="46" t="s">
        <v>502</v>
      </c>
      <c r="V62" s="46" t="s">
        <v>502</v>
      </c>
      <c r="W62" s="46" t="s">
        <v>502</v>
      </c>
      <c r="X62" s="46" t="s">
        <v>502</v>
      </c>
      <c r="Y62" s="46" t="s">
        <v>502</v>
      </c>
      <c r="Z62" s="46" t="s">
        <v>502</v>
      </c>
      <c r="AA62" s="46" t="s">
        <v>502</v>
      </c>
      <c r="AB62" s="46" t="s">
        <v>502</v>
      </c>
      <c r="AC62" s="46" t="s">
        <v>502</v>
      </c>
      <c r="AD62" s="46" t="s">
        <v>502</v>
      </c>
      <c r="AE62" s="46" t="s">
        <v>502</v>
      </c>
      <c r="AF62" s="46" t="s">
        <v>502</v>
      </c>
      <c r="AG62" s="46" t="s">
        <v>502</v>
      </c>
      <c r="AH62" s="46" t="s">
        <v>502</v>
      </c>
      <c r="AI62" s="46" t="s">
        <v>502</v>
      </c>
      <c r="AJ62" s="46" t="s">
        <v>502</v>
      </c>
      <c r="AK62" s="46" t="s">
        <v>502</v>
      </c>
      <c r="AL62" s="46" t="s">
        <v>502</v>
      </c>
      <c r="AM62" s="46" t="s">
        <v>502</v>
      </c>
      <c r="AN62" s="49" t="s">
        <v>502</v>
      </c>
      <c r="AO62" s="46" t="s">
        <v>502</v>
      </c>
      <c r="AP62" s="46" t="s">
        <v>502</v>
      </c>
      <c r="AQ62" s="49" t="s">
        <v>502</v>
      </c>
      <c r="AR62" s="46" t="s">
        <v>502</v>
      </c>
      <c r="AS62" s="46" t="s">
        <v>502</v>
      </c>
      <c r="AT62" s="49" t="s">
        <v>502</v>
      </c>
      <c r="AU62" s="46" t="s">
        <v>502</v>
      </c>
      <c r="AV62" s="46" t="s">
        <v>502</v>
      </c>
      <c r="AW62" s="49" t="s">
        <v>502</v>
      </c>
      <c r="AX62" s="46" t="s">
        <v>502</v>
      </c>
      <c r="AY62" s="46" t="s">
        <v>502</v>
      </c>
      <c r="AZ62" s="49" t="s">
        <v>502</v>
      </c>
      <c r="BA62" s="46" t="s">
        <v>502</v>
      </c>
      <c r="BB62" s="46" t="s">
        <v>502</v>
      </c>
      <c r="BC62" s="49" t="s">
        <v>502</v>
      </c>
      <c r="BD62" s="46" t="s">
        <v>502</v>
      </c>
      <c r="BE62" s="46" t="s">
        <v>502</v>
      </c>
      <c r="BF62" s="49" t="s">
        <v>502</v>
      </c>
      <c r="BG62" s="46" t="s">
        <v>503</v>
      </c>
      <c r="BH62" s="46" t="s">
        <v>503</v>
      </c>
      <c r="BI62" s="46" t="s">
        <v>503</v>
      </c>
      <c r="BJ62" s="46" t="s">
        <v>502</v>
      </c>
      <c r="BK62" s="46" t="s">
        <v>502</v>
      </c>
      <c r="BL62" s="49" t="s">
        <v>502</v>
      </c>
      <c r="BM62" s="46">
        <f>807968/1.19</f>
        <v>678964.70588235301</v>
      </c>
      <c r="BN62" s="46">
        <f>+BM62*19%</f>
        <v>129003.29411764708</v>
      </c>
      <c r="BO62" s="46">
        <f>+BM62+BN62</f>
        <v>807968.00000000012</v>
      </c>
      <c r="BP62" s="46" t="s">
        <v>502</v>
      </c>
      <c r="BQ62" s="46" t="s">
        <v>502</v>
      </c>
      <c r="BR62" s="49" t="s">
        <v>502</v>
      </c>
      <c r="BS62" s="46" t="s">
        <v>502</v>
      </c>
      <c r="BT62" s="46" t="s">
        <v>502</v>
      </c>
      <c r="BU62" s="49" t="s">
        <v>502</v>
      </c>
      <c r="BV62" s="46">
        <f>791900/1.19</f>
        <v>665462.18487394962</v>
      </c>
      <c r="BW62" s="46">
        <f>+BV62*19%</f>
        <v>126437.81512605042</v>
      </c>
      <c r="BX62" s="46">
        <f>+BV62+BW62</f>
        <v>791900</v>
      </c>
      <c r="BY62" s="46" t="s">
        <v>502</v>
      </c>
      <c r="BZ62" s="46" t="s">
        <v>502</v>
      </c>
      <c r="CA62" s="49" t="s">
        <v>502</v>
      </c>
      <c r="CB62" s="46" t="s">
        <v>502</v>
      </c>
      <c r="CC62" s="46" t="s">
        <v>502</v>
      </c>
      <c r="CD62" s="49" t="s">
        <v>502</v>
      </c>
      <c r="CE62" s="46" t="s">
        <v>502</v>
      </c>
      <c r="CF62" s="46" t="s">
        <v>502</v>
      </c>
      <c r="CG62" s="49" t="s">
        <v>502</v>
      </c>
      <c r="CH62" s="46" t="s">
        <v>503</v>
      </c>
      <c r="CI62" s="46" t="s">
        <v>503</v>
      </c>
      <c r="CJ62" s="46" t="s">
        <v>503</v>
      </c>
      <c r="CK62" s="46" t="s">
        <v>502</v>
      </c>
      <c r="CL62" s="46" t="s">
        <v>502</v>
      </c>
      <c r="CM62" s="49" t="s">
        <v>502</v>
      </c>
      <c r="CN62" s="46" t="s">
        <v>502</v>
      </c>
      <c r="CO62" s="46" t="s">
        <v>502</v>
      </c>
      <c r="CP62" s="49" t="s">
        <v>502</v>
      </c>
      <c r="CQ62" s="46" t="s">
        <v>502</v>
      </c>
      <c r="CR62" s="46" t="s">
        <v>502</v>
      </c>
      <c r="CS62" s="49" t="s">
        <v>502</v>
      </c>
      <c r="CT62" s="46" t="s">
        <v>502</v>
      </c>
      <c r="CU62" s="46" t="s">
        <v>502</v>
      </c>
      <c r="CV62" s="49" t="s">
        <v>502</v>
      </c>
      <c r="CW62" s="46" t="s">
        <v>502</v>
      </c>
      <c r="CX62" s="46" t="s">
        <v>502</v>
      </c>
      <c r="CY62" s="49" t="s">
        <v>502</v>
      </c>
      <c r="CZ62" s="46" t="s">
        <v>502</v>
      </c>
      <c r="DA62" s="46" t="s">
        <v>502</v>
      </c>
      <c r="DB62" s="49" t="s">
        <v>502</v>
      </c>
      <c r="DC62" s="46" t="s">
        <v>502</v>
      </c>
      <c r="DD62" s="46" t="s">
        <v>502</v>
      </c>
      <c r="DE62" s="49" t="s">
        <v>502</v>
      </c>
      <c r="DF62" s="46" t="s">
        <v>502</v>
      </c>
      <c r="DG62" s="46" t="s">
        <v>502</v>
      </c>
      <c r="DH62" s="49" t="s">
        <v>502</v>
      </c>
      <c r="DI62" s="46" t="s">
        <v>502</v>
      </c>
      <c r="DJ62" s="46" t="s">
        <v>502</v>
      </c>
      <c r="DK62" s="49" t="s">
        <v>502</v>
      </c>
      <c r="DL62" s="46">
        <v>648000</v>
      </c>
      <c r="DM62" s="46">
        <f>+DL62*19%</f>
        <v>123120</v>
      </c>
      <c r="DN62" s="46">
        <f>+DL62+DM62</f>
        <v>771120</v>
      </c>
      <c r="DO62" s="46" t="s">
        <v>502</v>
      </c>
      <c r="DP62" s="46" t="s">
        <v>502</v>
      </c>
      <c r="DQ62" s="49" t="s">
        <v>502</v>
      </c>
      <c r="DR62" s="46" t="s">
        <v>502</v>
      </c>
      <c r="DS62" s="46" t="s">
        <v>502</v>
      </c>
      <c r="DT62" s="49" t="s">
        <v>502</v>
      </c>
      <c r="DU62" s="46" t="s">
        <v>502</v>
      </c>
      <c r="DV62" s="46" t="s">
        <v>502</v>
      </c>
      <c r="DW62" s="49" t="s">
        <v>502</v>
      </c>
      <c r="DX62" s="46" t="s">
        <v>502</v>
      </c>
      <c r="DY62" s="46" t="s">
        <v>502</v>
      </c>
      <c r="DZ62" s="49" t="s">
        <v>502</v>
      </c>
      <c r="EA62" s="46" t="s">
        <v>502</v>
      </c>
      <c r="EB62" s="46" t="s">
        <v>502</v>
      </c>
      <c r="EC62" s="49" t="s">
        <v>502</v>
      </c>
      <c r="ED62" s="46" t="s">
        <v>502</v>
      </c>
      <c r="EE62" s="46" t="s">
        <v>502</v>
      </c>
      <c r="EF62" s="49" t="s">
        <v>502</v>
      </c>
      <c r="EG62" s="46" t="s">
        <v>502</v>
      </c>
      <c r="EH62" s="46" t="s">
        <v>502</v>
      </c>
      <c r="EI62" s="49" t="s">
        <v>502</v>
      </c>
      <c r="EJ62" s="46" t="s">
        <v>502</v>
      </c>
      <c r="EK62" s="46" t="s">
        <v>502</v>
      </c>
      <c r="EL62" s="49" t="s">
        <v>502</v>
      </c>
      <c r="EM62" s="46" t="s">
        <v>502</v>
      </c>
      <c r="EN62" s="46" t="s">
        <v>502</v>
      </c>
      <c r="EO62" s="49" t="s">
        <v>502</v>
      </c>
      <c r="EP62" s="46" t="s">
        <v>502</v>
      </c>
      <c r="EQ62" s="46" t="s">
        <v>502</v>
      </c>
      <c r="ER62" s="49" t="s">
        <v>502</v>
      </c>
      <c r="ES62" s="46" t="s">
        <v>502</v>
      </c>
      <c r="ET62" s="46" t="s">
        <v>502</v>
      </c>
      <c r="EU62" s="49" t="s">
        <v>502</v>
      </c>
      <c r="EV62" s="46" t="s">
        <v>502</v>
      </c>
      <c r="EW62" s="46" t="s">
        <v>502</v>
      </c>
      <c r="EX62" s="49" t="s">
        <v>502</v>
      </c>
      <c r="EY62" s="46" t="s">
        <v>502</v>
      </c>
      <c r="EZ62" s="46" t="s">
        <v>502</v>
      </c>
      <c r="FA62" s="49" t="s">
        <v>502</v>
      </c>
      <c r="FB62" s="46" t="s">
        <v>502</v>
      </c>
      <c r="FC62" s="46" t="s">
        <v>502</v>
      </c>
      <c r="FD62" s="49" t="s">
        <v>502</v>
      </c>
      <c r="FE62" s="46" t="s">
        <v>502</v>
      </c>
      <c r="FF62" s="46" t="s">
        <v>502</v>
      </c>
      <c r="FG62" s="49" t="s">
        <v>502</v>
      </c>
      <c r="FH62" s="46" t="s">
        <v>502</v>
      </c>
      <c r="FI62" s="46" t="s">
        <v>502</v>
      </c>
      <c r="FJ62" s="49" t="s">
        <v>502</v>
      </c>
      <c r="FK62" s="46" t="s">
        <v>502</v>
      </c>
      <c r="FL62" s="46" t="s">
        <v>502</v>
      </c>
      <c r="FM62" s="49" t="s">
        <v>502</v>
      </c>
      <c r="FN62" s="46" t="s">
        <v>502</v>
      </c>
      <c r="FO62" s="46" t="s">
        <v>502</v>
      </c>
      <c r="FP62" s="49" t="s">
        <v>502</v>
      </c>
      <c r="FQ62" s="46" t="s">
        <v>502</v>
      </c>
      <c r="FR62" s="46" t="s">
        <v>502</v>
      </c>
      <c r="FS62" s="49" t="s">
        <v>502</v>
      </c>
      <c r="FT62" s="46" t="s">
        <v>502</v>
      </c>
      <c r="FU62" s="46" t="s">
        <v>502</v>
      </c>
      <c r="FV62" s="49" t="s">
        <v>502</v>
      </c>
      <c r="FW62" s="50">
        <f t="shared" si="7"/>
        <v>3</v>
      </c>
      <c r="FX62" s="51">
        <f t="shared" si="8"/>
        <v>790329.33333333337</v>
      </c>
      <c r="FY62" s="46">
        <f t="shared" si="6"/>
        <v>790350</v>
      </c>
      <c r="FZ62" s="52" t="s">
        <v>504</v>
      </c>
    </row>
    <row r="63" spans="1:183" ht="159.75" customHeight="1" x14ac:dyDescent="0.2">
      <c r="A63" s="53">
        <v>60</v>
      </c>
      <c r="B63" s="40" t="s">
        <v>12</v>
      </c>
      <c r="C63" s="41" t="s">
        <v>373</v>
      </c>
      <c r="D63" s="42">
        <v>43211500</v>
      </c>
      <c r="E63" s="43" t="s">
        <v>374</v>
      </c>
      <c r="F63" s="41" t="s">
        <v>54</v>
      </c>
      <c r="G63" s="45"/>
      <c r="H63" s="46" t="s">
        <v>502</v>
      </c>
      <c r="I63" s="46" t="s">
        <v>502</v>
      </c>
      <c r="J63" s="46" t="s">
        <v>502</v>
      </c>
      <c r="K63" s="46" t="s">
        <v>502</v>
      </c>
      <c r="L63" s="46" t="s">
        <v>502</v>
      </c>
      <c r="M63" s="46" t="s">
        <v>502</v>
      </c>
      <c r="N63" s="46" t="s">
        <v>502</v>
      </c>
      <c r="O63" s="46" t="s">
        <v>502</v>
      </c>
      <c r="P63" s="46" t="s">
        <v>502</v>
      </c>
      <c r="Q63" s="46" t="s">
        <v>502</v>
      </c>
      <c r="R63" s="46" t="s">
        <v>502</v>
      </c>
      <c r="S63" s="46" t="s">
        <v>502</v>
      </c>
      <c r="T63" s="46" t="s">
        <v>502</v>
      </c>
      <c r="U63" s="46" t="s">
        <v>502</v>
      </c>
      <c r="V63" s="46" t="s">
        <v>502</v>
      </c>
      <c r="W63" s="46" t="s">
        <v>502</v>
      </c>
      <c r="X63" s="46" t="s">
        <v>502</v>
      </c>
      <c r="Y63" s="46" t="s">
        <v>502</v>
      </c>
      <c r="Z63" s="46" t="s">
        <v>502</v>
      </c>
      <c r="AA63" s="46" t="s">
        <v>502</v>
      </c>
      <c r="AB63" s="46" t="s">
        <v>502</v>
      </c>
      <c r="AC63" s="46" t="s">
        <v>502</v>
      </c>
      <c r="AD63" s="46" t="s">
        <v>502</v>
      </c>
      <c r="AE63" s="46" t="s">
        <v>502</v>
      </c>
      <c r="AF63" s="46" t="s">
        <v>502</v>
      </c>
      <c r="AG63" s="46" t="s">
        <v>502</v>
      </c>
      <c r="AH63" s="46" t="s">
        <v>502</v>
      </c>
      <c r="AI63" s="46" t="s">
        <v>502</v>
      </c>
      <c r="AJ63" s="46" t="s">
        <v>502</v>
      </c>
      <c r="AK63" s="46" t="s">
        <v>502</v>
      </c>
      <c r="AL63" s="46" t="s">
        <v>502</v>
      </c>
      <c r="AM63" s="46" t="s">
        <v>502</v>
      </c>
      <c r="AN63" s="49" t="s">
        <v>502</v>
      </c>
      <c r="AO63" s="46" t="s">
        <v>502</v>
      </c>
      <c r="AP63" s="46" t="s">
        <v>502</v>
      </c>
      <c r="AQ63" s="49" t="s">
        <v>502</v>
      </c>
      <c r="AR63" s="46" t="s">
        <v>502</v>
      </c>
      <c r="AS63" s="46" t="s">
        <v>502</v>
      </c>
      <c r="AT63" s="49" t="s">
        <v>502</v>
      </c>
      <c r="AU63" s="46" t="s">
        <v>502</v>
      </c>
      <c r="AV63" s="46" t="s">
        <v>502</v>
      </c>
      <c r="AW63" s="49" t="s">
        <v>502</v>
      </c>
      <c r="AX63" s="46" t="s">
        <v>502</v>
      </c>
      <c r="AY63" s="46" t="s">
        <v>502</v>
      </c>
      <c r="AZ63" s="49" t="s">
        <v>502</v>
      </c>
      <c r="BA63" s="46" t="s">
        <v>502</v>
      </c>
      <c r="BB63" s="46" t="s">
        <v>502</v>
      </c>
      <c r="BC63" s="49" t="s">
        <v>502</v>
      </c>
      <c r="BD63" s="46" t="s">
        <v>502</v>
      </c>
      <c r="BE63" s="46" t="s">
        <v>502</v>
      </c>
      <c r="BF63" s="49" t="s">
        <v>502</v>
      </c>
      <c r="BG63" s="46" t="s">
        <v>502</v>
      </c>
      <c r="BH63" s="46" t="s">
        <v>502</v>
      </c>
      <c r="BI63" s="49" t="s">
        <v>502</v>
      </c>
      <c r="BJ63" s="46" t="s">
        <v>502</v>
      </c>
      <c r="BK63" s="46" t="s">
        <v>502</v>
      </c>
      <c r="BL63" s="49" t="s">
        <v>502</v>
      </c>
      <c r="BM63" s="46" t="s">
        <v>503</v>
      </c>
      <c r="BN63" s="46" t="s">
        <v>503</v>
      </c>
      <c r="BO63" s="46" t="s">
        <v>503</v>
      </c>
      <c r="BP63" s="46" t="s">
        <v>502</v>
      </c>
      <c r="BQ63" s="46" t="s">
        <v>502</v>
      </c>
      <c r="BR63" s="49" t="s">
        <v>502</v>
      </c>
      <c r="BS63" s="46" t="s">
        <v>502</v>
      </c>
      <c r="BT63" s="46" t="s">
        <v>502</v>
      </c>
      <c r="BU63" s="49" t="s">
        <v>502</v>
      </c>
      <c r="BV63" s="46" t="s">
        <v>502</v>
      </c>
      <c r="BW63" s="46" t="s">
        <v>502</v>
      </c>
      <c r="BX63" s="49" t="s">
        <v>502</v>
      </c>
      <c r="BY63" s="46" t="s">
        <v>502</v>
      </c>
      <c r="BZ63" s="46" t="s">
        <v>502</v>
      </c>
      <c r="CA63" s="49" t="s">
        <v>502</v>
      </c>
      <c r="CB63" s="46" t="s">
        <v>502</v>
      </c>
      <c r="CC63" s="46" t="s">
        <v>502</v>
      </c>
      <c r="CD63" s="49" t="s">
        <v>502</v>
      </c>
      <c r="CE63" s="46" t="s">
        <v>502</v>
      </c>
      <c r="CF63" s="46" t="s">
        <v>502</v>
      </c>
      <c r="CG63" s="49" t="s">
        <v>502</v>
      </c>
      <c r="CH63" s="46" t="s">
        <v>502</v>
      </c>
      <c r="CI63" s="46" t="s">
        <v>502</v>
      </c>
      <c r="CJ63" s="49" t="s">
        <v>502</v>
      </c>
      <c r="CK63" s="46" t="s">
        <v>502</v>
      </c>
      <c r="CL63" s="46" t="s">
        <v>502</v>
      </c>
      <c r="CM63" s="49" t="s">
        <v>502</v>
      </c>
      <c r="CN63" s="46" t="s">
        <v>502</v>
      </c>
      <c r="CO63" s="46" t="s">
        <v>502</v>
      </c>
      <c r="CP63" s="49" t="s">
        <v>502</v>
      </c>
      <c r="CQ63" s="46" t="s">
        <v>502</v>
      </c>
      <c r="CR63" s="46" t="s">
        <v>502</v>
      </c>
      <c r="CS63" s="49" t="s">
        <v>502</v>
      </c>
      <c r="CT63" s="46" t="s">
        <v>502</v>
      </c>
      <c r="CU63" s="46" t="s">
        <v>502</v>
      </c>
      <c r="CV63" s="49" t="s">
        <v>502</v>
      </c>
      <c r="CW63" s="46" t="s">
        <v>502</v>
      </c>
      <c r="CX63" s="46" t="s">
        <v>502</v>
      </c>
      <c r="CY63" s="49" t="s">
        <v>502</v>
      </c>
      <c r="CZ63" s="46" t="s">
        <v>502</v>
      </c>
      <c r="DA63" s="46" t="s">
        <v>502</v>
      </c>
      <c r="DB63" s="49" t="s">
        <v>502</v>
      </c>
      <c r="DC63" s="46" t="s">
        <v>502</v>
      </c>
      <c r="DD63" s="46" t="s">
        <v>502</v>
      </c>
      <c r="DE63" s="49" t="s">
        <v>502</v>
      </c>
      <c r="DF63" s="46" t="s">
        <v>502</v>
      </c>
      <c r="DG63" s="46" t="s">
        <v>502</v>
      </c>
      <c r="DH63" s="49" t="s">
        <v>502</v>
      </c>
      <c r="DI63" s="46" t="s">
        <v>502</v>
      </c>
      <c r="DJ63" s="46" t="s">
        <v>502</v>
      </c>
      <c r="DK63" s="49" t="s">
        <v>502</v>
      </c>
      <c r="DL63" s="46">
        <v>3200000</v>
      </c>
      <c r="DM63" s="46">
        <f>+DL63*19%</f>
        <v>608000</v>
      </c>
      <c r="DN63" s="46">
        <f>+DL63+DM63</f>
        <v>3808000</v>
      </c>
      <c r="DO63" s="46" t="s">
        <v>502</v>
      </c>
      <c r="DP63" s="46" t="s">
        <v>502</v>
      </c>
      <c r="DQ63" s="49" t="s">
        <v>502</v>
      </c>
      <c r="DR63" s="46" t="s">
        <v>503</v>
      </c>
      <c r="DS63" s="46" t="s">
        <v>503</v>
      </c>
      <c r="DT63" s="46" t="s">
        <v>503</v>
      </c>
      <c r="DU63" s="46" t="s">
        <v>502</v>
      </c>
      <c r="DV63" s="46" t="s">
        <v>502</v>
      </c>
      <c r="DW63" s="49" t="s">
        <v>502</v>
      </c>
      <c r="DX63" s="46" t="s">
        <v>502</v>
      </c>
      <c r="DY63" s="46" t="s">
        <v>502</v>
      </c>
      <c r="DZ63" s="49" t="s">
        <v>502</v>
      </c>
      <c r="EA63" s="46" t="s">
        <v>502</v>
      </c>
      <c r="EB63" s="46" t="s">
        <v>502</v>
      </c>
      <c r="EC63" s="49" t="s">
        <v>502</v>
      </c>
      <c r="ED63" s="46" t="s">
        <v>502</v>
      </c>
      <c r="EE63" s="46" t="s">
        <v>502</v>
      </c>
      <c r="EF63" s="49" t="s">
        <v>502</v>
      </c>
      <c r="EG63" s="46" t="s">
        <v>502</v>
      </c>
      <c r="EH63" s="46" t="s">
        <v>502</v>
      </c>
      <c r="EI63" s="49" t="s">
        <v>502</v>
      </c>
      <c r="EJ63" s="46" t="s">
        <v>502</v>
      </c>
      <c r="EK63" s="46" t="s">
        <v>502</v>
      </c>
      <c r="EL63" s="49" t="s">
        <v>502</v>
      </c>
      <c r="EM63" s="46" t="s">
        <v>502</v>
      </c>
      <c r="EN63" s="46" t="s">
        <v>502</v>
      </c>
      <c r="EO63" s="49" t="s">
        <v>502</v>
      </c>
      <c r="EP63" s="46" t="s">
        <v>502</v>
      </c>
      <c r="EQ63" s="46" t="s">
        <v>502</v>
      </c>
      <c r="ER63" s="49" t="s">
        <v>502</v>
      </c>
      <c r="ES63" s="46" t="s">
        <v>502</v>
      </c>
      <c r="ET63" s="46" t="s">
        <v>502</v>
      </c>
      <c r="EU63" s="49" t="s">
        <v>502</v>
      </c>
      <c r="EV63" s="46" t="s">
        <v>502</v>
      </c>
      <c r="EW63" s="46" t="s">
        <v>502</v>
      </c>
      <c r="EX63" s="49" t="s">
        <v>502</v>
      </c>
      <c r="EY63" s="46" t="s">
        <v>502</v>
      </c>
      <c r="EZ63" s="46" t="s">
        <v>502</v>
      </c>
      <c r="FA63" s="49" t="s">
        <v>502</v>
      </c>
      <c r="FB63" s="46" t="s">
        <v>502</v>
      </c>
      <c r="FC63" s="46" t="s">
        <v>502</v>
      </c>
      <c r="FD63" s="49" t="s">
        <v>502</v>
      </c>
      <c r="FE63" s="46" t="s">
        <v>502</v>
      </c>
      <c r="FF63" s="46" t="s">
        <v>502</v>
      </c>
      <c r="FG63" s="49" t="s">
        <v>502</v>
      </c>
      <c r="FH63" s="46" t="s">
        <v>502</v>
      </c>
      <c r="FI63" s="46" t="s">
        <v>502</v>
      </c>
      <c r="FJ63" s="49" t="s">
        <v>502</v>
      </c>
      <c r="FK63" s="46" t="s">
        <v>502</v>
      </c>
      <c r="FL63" s="46" t="s">
        <v>502</v>
      </c>
      <c r="FM63" s="49" t="s">
        <v>502</v>
      </c>
      <c r="FN63" s="46" t="s">
        <v>502</v>
      </c>
      <c r="FO63" s="46" t="s">
        <v>502</v>
      </c>
      <c r="FP63" s="49" t="s">
        <v>502</v>
      </c>
      <c r="FQ63" s="46" t="s">
        <v>502</v>
      </c>
      <c r="FR63" s="46" t="s">
        <v>502</v>
      </c>
      <c r="FS63" s="49" t="s">
        <v>502</v>
      </c>
      <c r="FT63" s="80">
        <f>3879000/1.1</f>
        <v>3526363.6363636362</v>
      </c>
      <c r="FU63" s="80">
        <f>+FT63*10%</f>
        <v>352636.36363636365</v>
      </c>
      <c r="FV63" s="80">
        <f>+FT63+FU63</f>
        <v>3879000</v>
      </c>
      <c r="FW63" s="50">
        <f t="shared" si="7"/>
        <v>2</v>
      </c>
      <c r="FX63" s="51">
        <f t="shared" si="8"/>
        <v>3843500</v>
      </c>
      <c r="FY63" s="46">
        <f t="shared" si="6"/>
        <v>3843500</v>
      </c>
      <c r="FZ63" s="52" t="s">
        <v>504</v>
      </c>
    </row>
    <row r="64" spans="1:183" x14ac:dyDescent="0.2">
      <c r="FY64" s="83">
        <f>SUM(FY4:FY63)</f>
        <v>27319950</v>
      </c>
    </row>
    <row r="68" spans="5:5" ht="85.5" customHeight="1" x14ac:dyDescent="0.2">
      <c r="E68" s="85"/>
    </row>
  </sheetData>
  <sheetProtection selectLockedCells="1" selectUnlockedCells="1"/>
  <autoFilter ref="A3:FZ64"/>
  <mergeCells count="120">
    <mergeCell ref="W1:Y1"/>
    <mergeCell ref="Z1:AB1"/>
    <mergeCell ref="AC1:AE1"/>
    <mergeCell ref="AF1:AH1"/>
    <mergeCell ref="AI1:AK1"/>
    <mergeCell ref="AL1:AN1"/>
    <mergeCell ref="A1:G1"/>
    <mergeCell ref="H1:J1"/>
    <mergeCell ref="K1:M1"/>
    <mergeCell ref="N1:P1"/>
    <mergeCell ref="Q1:S1"/>
    <mergeCell ref="T1:V1"/>
    <mergeCell ref="BG1:BI1"/>
    <mergeCell ref="BJ1:BL1"/>
    <mergeCell ref="BM1:BO1"/>
    <mergeCell ref="BP1:BR1"/>
    <mergeCell ref="BS1:BU1"/>
    <mergeCell ref="BV1:BX1"/>
    <mergeCell ref="AO1:AQ1"/>
    <mergeCell ref="AR1:AT1"/>
    <mergeCell ref="AU1:AW1"/>
    <mergeCell ref="AX1:AZ1"/>
    <mergeCell ref="BA1:BC1"/>
    <mergeCell ref="BD1:BF1"/>
    <mergeCell ref="CQ1:CS1"/>
    <mergeCell ref="CT1:CV1"/>
    <mergeCell ref="CW1:CY1"/>
    <mergeCell ref="CZ1:DB1"/>
    <mergeCell ref="DC1:DE1"/>
    <mergeCell ref="DF1:DH1"/>
    <mergeCell ref="BY1:CA1"/>
    <mergeCell ref="CB1:CD1"/>
    <mergeCell ref="CE1:CG1"/>
    <mergeCell ref="CH1:CJ1"/>
    <mergeCell ref="CK1:CM1"/>
    <mergeCell ref="CN1:CP1"/>
    <mergeCell ref="EA1:EC1"/>
    <mergeCell ref="ED1:EF1"/>
    <mergeCell ref="EG1:EI1"/>
    <mergeCell ref="EJ1:EL1"/>
    <mergeCell ref="EM1:EO1"/>
    <mergeCell ref="EP1:ER1"/>
    <mergeCell ref="DI1:DK1"/>
    <mergeCell ref="DL1:DN1"/>
    <mergeCell ref="DO1:DQ1"/>
    <mergeCell ref="DR1:DT1"/>
    <mergeCell ref="DU1:DW1"/>
    <mergeCell ref="DX1:DZ1"/>
    <mergeCell ref="FY1:FY2"/>
    <mergeCell ref="FZ1:FZ2"/>
    <mergeCell ref="A2:G2"/>
    <mergeCell ref="H2:J2"/>
    <mergeCell ref="K2:M2"/>
    <mergeCell ref="N2:P2"/>
    <mergeCell ref="Q2:S2"/>
    <mergeCell ref="T2:V2"/>
    <mergeCell ref="W2:Y2"/>
    <mergeCell ref="Z2:AB2"/>
    <mergeCell ref="FK1:FM1"/>
    <mergeCell ref="FN1:FP1"/>
    <mergeCell ref="FQ1:FS1"/>
    <mergeCell ref="FT1:FV1"/>
    <mergeCell ref="FW1:FW2"/>
    <mergeCell ref="FX1:FX2"/>
    <mergeCell ref="FQ2:FS2"/>
    <mergeCell ref="FT2:FV2"/>
    <mergeCell ref="ES1:EU1"/>
    <mergeCell ref="EV1:EX1"/>
    <mergeCell ref="EY1:FA1"/>
    <mergeCell ref="FB1:FD1"/>
    <mergeCell ref="FE1:FG1"/>
    <mergeCell ref="FH1:FJ1"/>
    <mergeCell ref="AU2:AW2"/>
    <mergeCell ref="AX2:AZ2"/>
    <mergeCell ref="BA2:BC2"/>
    <mergeCell ref="BD2:BF2"/>
    <mergeCell ref="BG2:BI2"/>
    <mergeCell ref="BJ2:BL2"/>
    <mergeCell ref="AC2:AE2"/>
    <mergeCell ref="AF2:AH2"/>
    <mergeCell ref="AI2:AK2"/>
    <mergeCell ref="AL2:AN2"/>
    <mergeCell ref="AO2:AQ2"/>
    <mergeCell ref="AR2:AT2"/>
    <mergeCell ref="CE2:CG2"/>
    <mergeCell ref="CH2:CJ2"/>
    <mergeCell ref="CK2:CM2"/>
    <mergeCell ref="CN2:CP2"/>
    <mergeCell ref="CQ2:CS2"/>
    <mergeCell ref="CT2:CV2"/>
    <mergeCell ref="BM2:BO2"/>
    <mergeCell ref="BP2:BR2"/>
    <mergeCell ref="BS2:BU2"/>
    <mergeCell ref="BV2:BX2"/>
    <mergeCell ref="BY2:CA2"/>
    <mergeCell ref="CB2:CD2"/>
    <mergeCell ref="DO2:DQ2"/>
    <mergeCell ref="DR2:DT2"/>
    <mergeCell ref="DU2:DW2"/>
    <mergeCell ref="DX2:DZ2"/>
    <mergeCell ref="EA2:EC2"/>
    <mergeCell ref="ED2:EF2"/>
    <mergeCell ref="CW2:CY2"/>
    <mergeCell ref="CZ2:DB2"/>
    <mergeCell ref="DC2:DE2"/>
    <mergeCell ref="DF2:DH2"/>
    <mergeCell ref="DI2:DK2"/>
    <mergeCell ref="DL2:DN2"/>
    <mergeCell ref="EY2:FA2"/>
    <mergeCell ref="FB2:FD2"/>
    <mergeCell ref="FE2:FG2"/>
    <mergeCell ref="FH2:FJ2"/>
    <mergeCell ref="FK2:FM2"/>
    <mergeCell ref="FN2:FP2"/>
    <mergeCell ref="EG2:EI2"/>
    <mergeCell ref="EJ2:EL2"/>
    <mergeCell ref="EM2:EO2"/>
    <mergeCell ref="EP2:ER2"/>
    <mergeCell ref="ES2:EU2"/>
    <mergeCell ref="EV2:EX2"/>
  </mergeCells>
  <conditionalFormatting sqref="H4:J16">
    <cfRule type="containsText" dxfId="813" priority="192" operator="containsText" text="NO COTIZA">
      <formula>NOT(ISERROR(SEARCH("NO COTIZA",H4)))</formula>
    </cfRule>
  </conditionalFormatting>
  <conditionalFormatting sqref="H15:J16">
    <cfRule type="containsText" dxfId="812" priority="190" operator="containsText" text="NO APLICA">
      <formula>NOT(ISERROR(SEARCH("NO APLICA",H15)))</formula>
    </cfRule>
    <cfRule type="containsText" dxfId="811" priority="191" operator="containsText" text="VALOR ATÍPICO">
      <formula>NOT(ISERROR(SEARCH("VALOR ATÍPICO",H15)))</formula>
    </cfRule>
    <cfRule type="containsText" dxfId="810" priority="193" stopIfTrue="1" operator="containsText" text="COTIZA">
      <formula>NOT(ISERROR(SEARCH("COTIZA",H15)))</formula>
    </cfRule>
  </conditionalFormatting>
  <conditionalFormatting sqref="H17:J45">
    <cfRule type="cellIs" dxfId="809" priority="887" operator="equal">
      <formula>"NO COTIZA"</formula>
    </cfRule>
  </conditionalFormatting>
  <conditionalFormatting sqref="H17:J52 EA21:EC63 CT23:CV52 CN24:CP52 EG25:EI63 EJ39:EO63 CQ40:CS52 AF40:AK63 FE45:FP63 K49:S52 H53:AE63 CN53:DE63 DU53:DZ63">
    <cfRule type="containsText" dxfId="808" priority="905" operator="containsText" text="NO COTIZA">
      <formula>NOT(ISERROR(SEARCH("NO COTIZA",H17)))</formula>
    </cfRule>
  </conditionalFormatting>
  <conditionalFormatting sqref="H17:M45">
    <cfRule type="containsText" dxfId="807" priority="862" stopIfTrue="1" operator="containsText" text="COTIZA">
      <formula>NOT(ISERROR(SEARCH("COTIZA",H17)))</formula>
    </cfRule>
  </conditionalFormatting>
  <conditionalFormatting sqref="H4:S13 K17:S45">
    <cfRule type="cellIs" dxfId="806" priority="844" operator="equal">
      <formula>"NO COTIZA"</formula>
    </cfRule>
  </conditionalFormatting>
  <conditionalFormatting sqref="H4:S13 N17:S45">
    <cfRule type="containsText" dxfId="805" priority="845" stopIfTrue="1" operator="containsText" text="COTIZA">
      <formula>NOT(ISERROR(SEARCH("COTIZA",H4)))</formula>
    </cfRule>
  </conditionalFormatting>
  <conditionalFormatting sqref="I14">
    <cfRule type="containsText" dxfId="804" priority="897" operator="containsText" text="NO COTIZA">
      <formula>NOT(ISERROR(SEARCH("NO COTIZA",I14)))</formula>
    </cfRule>
    <cfRule type="containsText" dxfId="803" priority="898" operator="containsText" text="NO APLICA">
      <formula>NOT(ISERROR(SEARCH("NO APLICA",I14)))</formula>
    </cfRule>
    <cfRule type="containsText" dxfId="802" priority="899" operator="containsText" text="VALOR ATÍPICO">
      <formula>NOT(ISERROR(SEARCH("VALOR ATÍPICO",I14)))</formula>
    </cfRule>
    <cfRule type="containsText" dxfId="801" priority="900" stopIfTrue="1" operator="containsText" text="COTIZA">
      <formula>NOT(ISERROR(SEARCH("COTIZA",I14)))</formula>
    </cfRule>
  </conditionalFormatting>
  <conditionalFormatting sqref="I46:I48">
    <cfRule type="containsText" dxfId="800" priority="889" operator="containsText" text="NO COTIZA">
      <formula>NOT(ISERROR(SEARCH("NO COTIZA",I46)))</formula>
    </cfRule>
    <cfRule type="containsText" dxfId="799" priority="890" operator="containsText" text="NO APLICA">
      <formula>NOT(ISERROR(SEARCH("NO APLICA",I46)))</formula>
    </cfRule>
    <cfRule type="containsText" dxfId="798" priority="891" operator="containsText" text="VALOR ATÍPICO">
      <formula>NOT(ISERROR(SEARCH("VALOR ATÍPICO",I46)))</formula>
    </cfRule>
    <cfRule type="containsText" dxfId="797" priority="892" stopIfTrue="1" operator="containsText" text="COTIZA">
      <formula>NOT(ISERROR(SEARCH("COTIZA",I46)))</formula>
    </cfRule>
  </conditionalFormatting>
  <conditionalFormatting sqref="K14:L16">
    <cfRule type="containsText" dxfId="796" priority="879" stopIfTrue="1" operator="containsText" text="COTIZA">
      <formula>NOT(ISERROR(SEARCH("COTIZA",K14)))</formula>
    </cfRule>
  </conditionalFormatting>
  <conditionalFormatting sqref="K17:M46">
    <cfRule type="containsText" dxfId="795" priority="860" operator="containsText" text="NO COTIZA">
      <formula>NOT(ISERROR(SEARCH("NO COTIZA",K17)))</formula>
    </cfRule>
  </conditionalFormatting>
  <conditionalFormatting sqref="K47:M47">
    <cfRule type="containsText" dxfId="794" priority="182" operator="containsText" text="NO APLICA">
      <formula>NOT(ISERROR(SEARCH("NO APLICA",K47)))</formula>
    </cfRule>
    <cfRule type="containsText" dxfId="793" priority="183" operator="containsText" text="VALOR ATÍPICO">
      <formula>NOT(ISERROR(SEARCH("VALOR ATÍPICO",K47)))</formula>
    </cfRule>
    <cfRule type="containsText" dxfId="792" priority="185" stopIfTrue="1" operator="containsText" text="COTIZA">
      <formula>NOT(ISERROR(SEARCH("COTIZA",K47)))</formula>
    </cfRule>
  </conditionalFormatting>
  <conditionalFormatting sqref="K47:P47">
    <cfRule type="containsText" dxfId="791" priority="184" operator="containsText" text="NO COTIZA">
      <formula>NOT(ISERROR(SEARCH("NO COTIZA",K47)))</formula>
    </cfRule>
  </conditionalFormatting>
  <conditionalFormatting sqref="K4:S13 N17:S45">
    <cfRule type="containsText" dxfId="790" priority="843" operator="containsText" text="NO COTIZA">
      <formula>NOT(ISERROR(SEARCH("NO COTIZA",K4)))</formula>
    </cfRule>
  </conditionalFormatting>
  <conditionalFormatting sqref="L14:L16">
    <cfRule type="containsText" dxfId="789" priority="876" operator="containsText" text="NO COTIZA">
      <formula>NOT(ISERROR(SEARCH("NO COTIZA",L14)))</formula>
    </cfRule>
    <cfRule type="containsText" dxfId="788" priority="877" operator="containsText" text="NO APLICA">
      <formula>NOT(ISERROR(SEARCH("NO APLICA",L14)))</formula>
    </cfRule>
    <cfRule type="containsText" dxfId="787" priority="878" operator="containsText" text="VALOR ATÍPICO">
      <formula>NOT(ISERROR(SEARCH("VALOR ATÍPICO",L14)))</formula>
    </cfRule>
  </conditionalFormatting>
  <conditionalFormatting sqref="L46 L48">
    <cfRule type="containsText" dxfId="786" priority="871" operator="containsText" text="NO COTIZA">
      <formula>NOT(ISERROR(SEARCH("NO COTIZA",L46)))</formula>
    </cfRule>
    <cfRule type="containsText" dxfId="785" priority="872" operator="containsText" text="NO APLICA">
      <formula>NOT(ISERROR(SEARCH("NO APLICA",L46)))</formula>
    </cfRule>
    <cfRule type="containsText" dxfId="784" priority="873" operator="containsText" text="VALOR ATÍPICO">
      <formula>NOT(ISERROR(SEARCH("VALOR ATÍPICO",L46)))</formula>
    </cfRule>
    <cfRule type="containsText" dxfId="783" priority="874" stopIfTrue="1" operator="containsText" text="COTIZA">
      <formula>NOT(ISERROR(SEARCH("COTIZA",L46)))</formula>
    </cfRule>
  </conditionalFormatting>
  <conditionalFormatting sqref="L14:P16 N46:P46 K48:P48">
    <cfRule type="containsText" dxfId="782" priority="180" operator="containsText" text="NO COTIZA">
      <formula>NOT(ISERROR(SEARCH("NO COTIZA",K14)))</formula>
    </cfRule>
  </conditionalFormatting>
  <conditionalFormatting sqref="N14:P16 N46:P46 N48:P48">
    <cfRule type="containsText" dxfId="781" priority="178" operator="containsText" text="NO APLICA">
      <formula>NOT(ISERROR(SEARCH("NO APLICA",N14)))</formula>
    </cfRule>
    <cfRule type="containsText" dxfId="780" priority="179" operator="containsText" text="VALOR ATÍPICO">
      <formula>NOT(ISERROR(SEARCH("VALOR ATÍPICO",N14)))</formula>
    </cfRule>
    <cfRule type="containsText" dxfId="779" priority="181" stopIfTrue="1" operator="containsText" text="COTIZA">
      <formula>NOT(ISERROR(SEARCH("COTIZA",N14)))</formula>
    </cfRule>
  </conditionalFormatting>
  <conditionalFormatting sqref="O47">
    <cfRule type="containsText" dxfId="778" priority="866" operator="containsText" text="NO COTIZA">
      <formula>NOT(ISERROR(SEARCH("NO COTIZA",O47)))</formula>
    </cfRule>
    <cfRule type="containsText" dxfId="777" priority="867" operator="containsText" text="NO APLICA">
      <formula>NOT(ISERROR(SEARCH("NO APLICA",O47)))</formula>
    </cfRule>
    <cfRule type="containsText" dxfId="776" priority="868" operator="containsText" text="VALOR ATÍPICO">
      <formula>NOT(ISERROR(SEARCH("VALOR ATÍPICO",O47)))</formula>
    </cfRule>
    <cfRule type="containsText" dxfId="775" priority="869" stopIfTrue="1" operator="containsText" text="COTIZA">
      <formula>NOT(ISERROR(SEARCH("COTIZA",O47)))</formula>
    </cfRule>
  </conditionalFormatting>
  <conditionalFormatting sqref="Q14:S14">
    <cfRule type="containsText" dxfId="774" priority="579" operator="containsText" text="VALOR ATÍPICO">
      <formula>NOT(ISERROR(SEARCH("VALOR ATÍPICO",Q14)))</formula>
    </cfRule>
    <cfRule type="containsText" dxfId="773" priority="580" operator="containsText" text="NO COTIZA">
      <formula>NOT(ISERROR(SEARCH("NO COTIZA",Q14)))</formula>
    </cfRule>
    <cfRule type="containsText" dxfId="772" priority="581" stopIfTrue="1" operator="containsText" text="COTIZA">
      <formula>NOT(ISERROR(SEARCH("COTIZA",Q14)))</formula>
    </cfRule>
  </conditionalFormatting>
  <conditionalFormatting sqref="Q15:S16">
    <cfRule type="containsText" dxfId="771" priority="863" operator="containsText" text="NO COTIZA">
      <formula>NOT(ISERROR(SEARCH("NO COTIZA",Q15)))</formula>
    </cfRule>
  </conditionalFormatting>
  <conditionalFormatting sqref="Q46:S48">
    <cfRule type="containsText" dxfId="770" priority="174" operator="containsText" text="NO APLICA">
      <formula>NOT(ISERROR(SEARCH("NO APLICA",Q46)))</formula>
    </cfRule>
    <cfRule type="containsText" dxfId="769" priority="175" operator="containsText" text="VALOR ATÍPICO">
      <formula>NOT(ISERROR(SEARCH("VALOR ATÍPICO",Q46)))</formula>
    </cfRule>
    <cfRule type="containsText" dxfId="768" priority="176" operator="containsText" text="NO COTIZA">
      <formula>NOT(ISERROR(SEARCH("NO COTIZA",Q46)))</formula>
    </cfRule>
    <cfRule type="containsText" dxfId="767" priority="177" stopIfTrue="1" operator="containsText" text="COTIZA">
      <formula>NOT(ISERROR(SEARCH("COTIZA",Q46)))</formula>
    </cfRule>
  </conditionalFormatting>
  <conditionalFormatting sqref="R15:R16">
    <cfRule type="containsText" dxfId="766" priority="846" operator="containsText" text="NO COTIZA">
      <formula>NOT(ISERROR(SEARCH("NO COTIZA",R15)))</formula>
    </cfRule>
    <cfRule type="containsText" dxfId="765" priority="847" operator="containsText" text="NO APLICA">
      <formula>NOT(ISERROR(SEARCH("NO APLICA",R15)))</formula>
    </cfRule>
    <cfRule type="containsText" dxfId="764" priority="848" operator="containsText" text="VALOR ATÍPICO">
      <formula>NOT(ISERROR(SEARCH("VALOR ATÍPICO",R15)))</formula>
    </cfRule>
    <cfRule type="containsText" dxfId="763" priority="849" stopIfTrue="1" operator="containsText" text="COTIZA">
      <formula>NOT(ISERROR(SEARCH("COTIZA",R15)))</formula>
    </cfRule>
  </conditionalFormatting>
  <conditionalFormatting sqref="T4:T10">
    <cfRule type="containsText" dxfId="762" priority="810" operator="containsText" text="NO COTIZA">
      <formula>NOT(ISERROR(SEARCH("NO COTIZA",T4)))</formula>
    </cfRule>
    <cfRule type="cellIs" dxfId="761" priority="811" operator="equal">
      <formula>"NO COTIZA"</formula>
    </cfRule>
    <cfRule type="containsText" dxfId="760" priority="812" stopIfTrue="1" operator="containsText" text="COTIZA">
      <formula>NOT(ISERROR(SEARCH("COTIZA",T4)))</formula>
    </cfRule>
  </conditionalFormatting>
  <conditionalFormatting sqref="T11:V11">
    <cfRule type="cellIs" dxfId="759" priority="592" operator="equal">
      <formula>"NO COTIZA"</formula>
    </cfRule>
    <cfRule type="containsText" dxfId="758" priority="593" stopIfTrue="1" operator="containsText" text="COTIZA">
      <formula>NOT(ISERROR(SEARCH("COTIZA",T11)))</formula>
    </cfRule>
  </conditionalFormatting>
  <conditionalFormatting sqref="T12:V12">
    <cfRule type="containsText" dxfId="757" priority="170" operator="containsText" text="NO APLICA">
      <formula>NOT(ISERROR(SEARCH("NO APLICA",T12)))</formula>
    </cfRule>
    <cfRule type="containsText" dxfId="756" priority="171" operator="containsText" text="VALOR ATÍPICO">
      <formula>NOT(ISERROR(SEARCH("VALOR ATÍPICO",T12)))</formula>
    </cfRule>
    <cfRule type="containsText" dxfId="755" priority="173" stopIfTrue="1" operator="containsText" text="COTIZA">
      <formula>NOT(ISERROR(SEARCH("COTIZA",T12)))</formula>
    </cfRule>
  </conditionalFormatting>
  <conditionalFormatting sqref="T13:V52">
    <cfRule type="cellIs" dxfId="754" priority="803" operator="equal">
      <formula>"NO COTIZA"</formula>
    </cfRule>
    <cfRule type="containsText" dxfId="753" priority="804" stopIfTrue="1" operator="containsText" text="COTIZA">
      <formula>NOT(ISERROR(SEARCH("COTIZA",T13)))</formula>
    </cfRule>
  </conditionalFormatting>
  <conditionalFormatting sqref="T11:Y52">
    <cfRule type="containsText" dxfId="752" priority="172" operator="containsText" text="NO COTIZA">
      <formula>NOT(ISERROR(SEARCH("NO COTIZA",T11)))</formula>
    </cfRule>
  </conditionalFormatting>
  <conditionalFormatting sqref="U4:U10">
    <cfRule type="containsText" dxfId="751" priority="805" operator="containsText" text="NO COTIZA">
      <formula>NOT(ISERROR(SEARCH("NO COTIZA",U4)))</formula>
    </cfRule>
    <cfRule type="containsText" dxfId="750" priority="806" operator="containsText" text="NO APLICA">
      <formula>NOT(ISERROR(SEARCH("NO APLICA",U4)))</formula>
    </cfRule>
    <cfRule type="containsText" dxfId="749" priority="807" operator="containsText" text="VALOR ATÍPICO">
      <formula>NOT(ISERROR(SEARCH("VALOR ATÍPICO",U4)))</formula>
    </cfRule>
    <cfRule type="containsText" dxfId="748" priority="808" stopIfTrue="1" operator="containsText" text="COTIZA">
      <formula>NOT(ISERROR(SEARCH("COTIZA",U4)))</formula>
    </cfRule>
  </conditionalFormatting>
  <conditionalFormatting sqref="U4:V6">
    <cfRule type="containsText" dxfId="747" priority="832" operator="containsText" text="NO COTIZA">
      <formula>NOT(ISERROR(SEARCH("NO COTIZA",U4)))</formula>
    </cfRule>
  </conditionalFormatting>
  <conditionalFormatting sqref="U8:V8">
    <cfRule type="containsText" dxfId="746" priority="822" operator="containsText" text="NO COTIZA">
      <formula>NOT(ISERROR(SEARCH("NO COTIZA",U8)))</formula>
    </cfRule>
  </conditionalFormatting>
  <conditionalFormatting sqref="U10:V10">
    <cfRule type="containsText" dxfId="745" priority="809" operator="containsText" text="NO COTIZA">
      <formula>NOT(ISERROR(SEARCH("NO COTIZA",U10)))</formula>
    </cfRule>
  </conditionalFormatting>
  <conditionalFormatting sqref="U7:W7">
    <cfRule type="containsText" dxfId="744" priority="827" operator="containsText" text="NO COTIZA">
      <formula>NOT(ISERROR(SEARCH("NO COTIZA",U7)))</formula>
    </cfRule>
  </conditionalFormatting>
  <conditionalFormatting sqref="U9:W9">
    <cfRule type="containsText" dxfId="743" priority="817" operator="containsText" text="NO COTIZA">
      <formula>NOT(ISERROR(SEARCH("NO COTIZA",U9)))</formula>
    </cfRule>
  </conditionalFormatting>
  <conditionalFormatting sqref="W4:W5 W7 W9 AC9:AC10 Z52">
    <cfRule type="cellIs" dxfId="742" priority="855" operator="equal">
      <formula>"NO COTIZA"</formula>
    </cfRule>
    <cfRule type="containsText" dxfId="741" priority="856" stopIfTrue="1" operator="containsText" text="COTIZA">
      <formula>NOT(ISERROR(SEARCH("COTIZA",W4)))</formula>
    </cfRule>
  </conditionalFormatting>
  <conditionalFormatting sqref="W4:Y5 X7:Y7">
    <cfRule type="containsText" dxfId="740" priority="796" operator="containsText" text="NO COTIZA">
      <formula>NOT(ISERROR(SEARCH("NO COTIZA",W4)))</formula>
    </cfRule>
  </conditionalFormatting>
  <conditionalFormatting sqref="W6:Y6 W10:Y10">
    <cfRule type="containsText" dxfId="739" priority="166" operator="containsText" text="NO APLICA">
      <formula>NOT(ISERROR(SEARCH("NO APLICA",W6)))</formula>
    </cfRule>
    <cfRule type="containsText" dxfId="738" priority="167" operator="containsText" text="VALOR ATÍPICO">
      <formula>NOT(ISERROR(SEARCH("VALOR ATÍPICO",W6)))</formula>
    </cfRule>
    <cfRule type="containsText" dxfId="737" priority="168" operator="containsText" text="NO COTIZA">
      <formula>NOT(ISERROR(SEARCH("NO COTIZA",W6)))</formula>
    </cfRule>
    <cfRule type="containsText" dxfId="736" priority="169" stopIfTrue="1" operator="containsText" text="COTIZA">
      <formula>NOT(ISERROR(SEARCH("COTIZA",W6)))</formula>
    </cfRule>
  </conditionalFormatting>
  <conditionalFormatting sqref="W8:Y8">
    <cfRule type="cellIs" dxfId="735" priority="785" operator="equal">
      <formula>"NO COTIZA"</formula>
    </cfRule>
    <cfRule type="containsText" dxfId="734" priority="786" stopIfTrue="1" operator="containsText" text="COTIZA">
      <formula>NOT(ISERROR(SEARCH("COTIZA",W8)))</formula>
    </cfRule>
  </conditionalFormatting>
  <conditionalFormatting sqref="W8:Z8">
    <cfRule type="containsText" dxfId="733" priority="763" operator="containsText" text="NO COTIZA">
      <formula>NOT(ISERROR(SEARCH("NO COTIZA",W8)))</formula>
    </cfRule>
  </conditionalFormatting>
  <conditionalFormatting sqref="X4:X5 X7">
    <cfRule type="containsText" dxfId="732" priority="792" operator="containsText" text="NO COTIZA">
      <formula>NOT(ISERROR(SEARCH("NO COTIZA",X4)))</formula>
    </cfRule>
    <cfRule type="containsText" dxfId="731" priority="793" operator="containsText" text="NO APLICA">
      <formula>NOT(ISERROR(SEARCH("NO APLICA",X4)))</formula>
    </cfRule>
    <cfRule type="containsText" dxfId="730" priority="794" operator="containsText" text="VALOR ATÍPICO">
      <formula>NOT(ISERROR(SEARCH("VALOR ATÍPICO",X4)))</formula>
    </cfRule>
    <cfRule type="containsText" dxfId="729" priority="795" stopIfTrue="1" operator="containsText" text="COTIZA">
      <formula>NOT(ISERROR(SEARCH("COTIZA",X4)))</formula>
    </cfRule>
  </conditionalFormatting>
  <conditionalFormatting sqref="X9">
    <cfRule type="containsText" dxfId="728" priority="787" operator="containsText" text="NO COTIZA">
      <formula>NOT(ISERROR(SEARCH("NO COTIZA",X9)))</formula>
    </cfRule>
    <cfRule type="containsText" dxfId="727" priority="788" operator="containsText" text="NO APLICA">
      <formula>NOT(ISERROR(SEARCH("NO APLICA",X9)))</formula>
    </cfRule>
    <cfRule type="containsText" dxfId="726" priority="789" operator="containsText" text="VALOR ATÍPICO">
      <formula>NOT(ISERROR(SEARCH("VALOR ATÍPICO",X9)))</formula>
    </cfRule>
    <cfRule type="containsText" dxfId="725" priority="790" stopIfTrue="1" operator="containsText" text="COTIZA">
      <formula>NOT(ISERROR(SEARCH("COTIZA",X9)))</formula>
    </cfRule>
  </conditionalFormatting>
  <conditionalFormatting sqref="X9:Y9">
    <cfRule type="containsText" dxfId="724" priority="791" operator="containsText" text="NO COTIZA">
      <formula>NOT(ISERROR(SEARCH("NO COTIZA",X9)))</formula>
    </cfRule>
  </conditionalFormatting>
  <conditionalFormatting sqref="Z7">
    <cfRule type="containsText" dxfId="723" priority="773" stopIfTrue="1" operator="containsText" text="COTIZA">
      <formula>NOT(ISERROR(SEARCH("COTIZA",Z7)))</formula>
    </cfRule>
  </conditionalFormatting>
  <conditionalFormatting sqref="Z7:Z8">
    <cfRule type="cellIs" dxfId="722" priority="764" operator="equal">
      <formula>"NO COTIZA"</formula>
    </cfRule>
  </conditionalFormatting>
  <conditionalFormatting sqref="Z8">
    <cfRule type="containsText" dxfId="721" priority="765" stopIfTrue="1" operator="containsText" text="COTIZA">
      <formula>NOT(ISERROR(SEARCH("COTIZA",Z8)))</formula>
    </cfRule>
  </conditionalFormatting>
  <conditionalFormatting sqref="Z4:AB6">
    <cfRule type="containsText" dxfId="720" priority="760" operator="containsText" text="NO COTIZA">
      <formula>NOT(ISERROR(SEARCH("NO COTIZA",Z4)))</formula>
    </cfRule>
    <cfRule type="cellIs" dxfId="719" priority="761" operator="equal">
      <formula>"NO COTIZA"</formula>
    </cfRule>
    <cfRule type="containsText" dxfId="718" priority="762" stopIfTrue="1" operator="containsText" text="COTIZA">
      <formula>NOT(ISERROR(SEARCH("COTIZA",Z4)))</formula>
    </cfRule>
  </conditionalFormatting>
  <conditionalFormatting sqref="Z7:AB7">
    <cfRule type="containsText" dxfId="717" priority="770" operator="containsText" text="NO COTIZA">
      <formula>NOT(ISERROR(SEARCH("NO COTIZA",Z7)))</formula>
    </cfRule>
  </conditionalFormatting>
  <conditionalFormatting sqref="Z9:AB51">
    <cfRule type="containsText" dxfId="716" priority="382" operator="containsText" text="NO COTIZA">
      <formula>NOT(ISERROR(SEARCH("NO COTIZA",Z9)))</formula>
    </cfRule>
    <cfRule type="cellIs" dxfId="715" priority="383" operator="equal">
      <formula>"NO COTIZA"</formula>
    </cfRule>
    <cfRule type="containsText" dxfId="714" priority="384" stopIfTrue="1" operator="containsText" text="COTIZA">
      <formula>NOT(ISERROR(SEARCH("COTIZA",Z9)))</formula>
    </cfRule>
  </conditionalFormatting>
  <conditionalFormatting sqref="Z52:AB52">
    <cfRule type="containsText" dxfId="713" priority="778" operator="containsText" text="NO COTIZA">
      <formula>NOT(ISERROR(SEARCH("NO COTIZA",Z52)))</formula>
    </cfRule>
  </conditionalFormatting>
  <conditionalFormatting sqref="AA7:AA8">
    <cfRule type="containsText" dxfId="712" priority="766" operator="containsText" text="NO COTIZA">
      <formula>NOT(ISERROR(SEARCH("NO COTIZA",AA7)))</formula>
    </cfRule>
    <cfRule type="containsText" dxfId="711" priority="767" operator="containsText" text="NO APLICA">
      <formula>NOT(ISERROR(SEARCH("NO APLICA",AA7)))</formula>
    </cfRule>
    <cfRule type="containsText" dxfId="710" priority="768" operator="containsText" text="VALOR ATÍPICO">
      <formula>NOT(ISERROR(SEARCH("VALOR ATÍPICO",AA7)))</formula>
    </cfRule>
    <cfRule type="containsText" dxfId="709" priority="769" stopIfTrue="1" operator="containsText" text="COTIZA">
      <formula>NOT(ISERROR(SEARCH("COTIZA",AA7)))</formula>
    </cfRule>
  </conditionalFormatting>
  <conditionalFormatting sqref="AA52">
    <cfRule type="containsText" dxfId="708" priority="774" operator="containsText" text="NO COTIZA">
      <formula>NOT(ISERROR(SEARCH("NO COTIZA",AA52)))</formula>
    </cfRule>
    <cfRule type="containsText" dxfId="707" priority="775" operator="containsText" text="NO APLICA">
      <formula>NOT(ISERROR(SEARCH("NO APLICA",AA52)))</formula>
    </cfRule>
    <cfRule type="containsText" dxfId="706" priority="776" operator="containsText" text="VALOR ATÍPICO">
      <formula>NOT(ISERROR(SEARCH("VALOR ATÍPICO",AA52)))</formula>
    </cfRule>
    <cfRule type="containsText" dxfId="705" priority="777" stopIfTrue="1" operator="containsText" text="COTIZA">
      <formula>NOT(ISERROR(SEARCH("COTIZA",AA52)))</formula>
    </cfRule>
  </conditionalFormatting>
  <conditionalFormatting sqref="AA8:AB8">
    <cfRule type="containsText" dxfId="704" priority="783" operator="containsText" text="NO COTIZA">
      <formula>NOT(ISERROR(SEARCH("NO COTIZA",AA8)))</formula>
    </cfRule>
  </conditionalFormatting>
  <conditionalFormatting sqref="AC4:AE6">
    <cfRule type="containsText" dxfId="703" priority="162" operator="containsText" text="NO APLICA">
      <formula>NOT(ISERROR(SEARCH("NO APLICA",AC4)))</formula>
    </cfRule>
    <cfRule type="containsText" dxfId="702" priority="163" operator="containsText" text="VALOR ATÍPICO">
      <formula>NOT(ISERROR(SEARCH("VALOR ATÍPICO",AC4)))</formula>
    </cfRule>
    <cfRule type="containsText" dxfId="701" priority="165" stopIfTrue="1" operator="containsText" text="COTIZA">
      <formula>NOT(ISERROR(SEARCH("COTIZA",AC4)))</formula>
    </cfRule>
  </conditionalFormatting>
  <conditionalFormatting sqref="AC4:AE8">
    <cfRule type="containsText" dxfId="700" priority="164" operator="containsText" text="NO COTIZA">
      <formula>NOT(ISERROR(SEARCH("NO COTIZA",AC4)))</formula>
    </cfRule>
  </conditionalFormatting>
  <conditionalFormatting sqref="AC9:AE52">
    <cfRule type="containsText" dxfId="699" priority="754" operator="containsText" text="NO COTIZA">
      <formula>NOT(ISERROR(SEARCH("NO COTIZA",AC9)))</formula>
    </cfRule>
  </conditionalFormatting>
  <conditionalFormatting sqref="AD9:AD10">
    <cfRule type="containsText" dxfId="698" priority="750" operator="containsText" text="NO COTIZA">
      <formula>NOT(ISERROR(SEARCH("NO COTIZA",AD9)))</formula>
    </cfRule>
    <cfRule type="containsText" dxfId="697" priority="751" operator="containsText" text="NO APLICA">
      <formula>NOT(ISERROR(SEARCH("NO APLICA",AD9)))</formula>
    </cfRule>
    <cfRule type="containsText" dxfId="696" priority="752" operator="containsText" text="VALOR ATÍPICO">
      <formula>NOT(ISERROR(SEARCH("VALOR ATÍPICO",AD9)))</formula>
    </cfRule>
    <cfRule type="containsText" dxfId="695" priority="753" stopIfTrue="1" operator="containsText" text="COTIZA">
      <formula>NOT(ISERROR(SEARCH("COTIZA",AD9)))</formula>
    </cfRule>
  </conditionalFormatting>
  <conditionalFormatting sqref="AF8">
    <cfRule type="containsText" dxfId="694" priority="728" operator="containsText" text="NO COTIZA">
      <formula>NOT(ISERROR(SEARCH("NO COTIZA",AF8)))</formula>
    </cfRule>
    <cfRule type="cellIs" dxfId="693" priority="729" operator="equal">
      <formula>"NO COTIZA"</formula>
    </cfRule>
    <cfRule type="containsText" dxfId="692" priority="730" stopIfTrue="1" operator="containsText" text="COTIZA">
      <formula>NOT(ISERROR(SEARCH("COTIZA",AF8)))</formula>
    </cfRule>
  </conditionalFormatting>
  <conditionalFormatting sqref="AF4:AH7">
    <cfRule type="containsText" dxfId="691" priority="725" operator="containsText" text="NO COTIZA">
      <formula>NOT(ISERROR(SEARCH("NO COTIZA",AF4)))</formula>
    </cfRule>
    <cfRule type="cellIs" dxfId="690" priority="726" operator="equal">
      <formula>"NO COTIZA"</formula>
    </cfRule>
    <cfRule type="containsText" dxfId="689" priority="727" stopIfTrue="1" operator="containsText" text="COTIZA">
      <formula>NOT(ISERROR(SEARCH("COTIZA",AF4)))</formula>
    </cfRule>
  </conditionalFormatting>
  <conditionalFormatting sqref="AF9:AH39">
    <cfRule type="containsText" dxfId="688" priority="722" operator="containsText" text="NO COTIZA">
      <formula>NOT(ISERROR(SEARCH("NO COTIZA",AF9)))</formula>
    </cfRule>
    <cfRule type="cellIs" dxfId="687" priority="723" operator="equal">
      <formula>"NO COTIZA"</formula>
    </cfRule>
    <cfRule type="containsText" dxfId="686" priority="724" stopIfTrue="1" operator="containsText" text="COTIZA">
      <formula>NOT(ISERROR(SEARCH("COTIZA",AF9)))</formula>
    </cfRule>
  </conditionalFormatting>
  <conditionalFormatting sqref="AG8">
    <cfRule type="containsText" dxfId="685" priority="731" operator="containsText" text="NO COTIZA">
      <formula>NOT(ISERROR(SEARCH("NO COTIZA",AG8)))</formula>
    </cfRule>
    <cfRule type="containsText" dxfId="684" priority="732" operator="containsText" text="NO APLICA">
      <formula>NOT(ISERROR(SEARCH("NO APLICA",AG8)))</formula>
    </cfRule>
    <cfRule type="containsText" dxfId="683" priority="733" operator="containsText" text="VALOR ATÍPICO">
      <formula>NOT(ISERROR(SEARCH("VALOR ATÍPICO",AG8)))</formula>
    </cfRule>
    <cfRule type="containsText" dxfId="682" priority="734" stopIfTrue="1" operator="containsText" text="COTIZA">
      <formula>NOT(ISERROR(SEARCH("COTIZA",AG8)))</formula>
    </cfRule>
  </conditionalFormatting>
  <conditionalFormatting sqref="AG8:AH8">
    <cfRule type="containsText" dxfId="681" priority="735" operator="containsText" text="NO COTIZA">
      <formula>NOT(ISERROR(SEARCH("NO COTIZA",AG8)))</formula>
    </cfRule>
  </conditionalFormatting>
  <conditionalFormatting sqref="AI4:AK38">
    <cfRule type="containsText" dxfId="680" priority="736" operator="containsText" text="NO COTIZA">
      <formula>NOT(ISERROR(SEARCH("NO COTIZA",AI4)))</formula>
    </cfRule>
    <cfRule type="cellIs" dxfId="679" priority="737" operator="equal">
      <formula>"NO COTIZA"</formula>
    </cfRule>
    <cfRule type="containsText" dxfId="678" priority="738" stopIfTrue="1" operator="containsText" text="COTIZA">
      <formula>NOT(ISERROR(SEARCH("COTIZA",AI4)))</formula>
    </cfRule>
  </conditionalFormatting>
  <conditionalFormatting sqref="AI39:AK39">
    <cfRule type="containsText" dxfId="677" priority="746" operator="containsText" text="NO COTIZA">
      <formula>NOT(ISERROR(SEARCH("NO COTIZA",AI39)))</formula>
    </cfRule>
  </conditionalFormatting>
  <conditionalFormatting sqref="AJ39">
    <cfRule type="containsText" dxfId="676" priority="742" operator="containsText" text="NO COTIZA">
      <formula>NOT(ISERROR(SEARCH("NO COTIZA",AJ39)))</formula>
    </cfRule>
    <cfRule type="containsText" dxfId="675" priority="743" operator="containsText" text="NO APLICA">
      <formula>NOT(ISERROR(SEARCH("NO APLICA",AJ39)))</formula>
    </cfRule>
    <cfRule type="containsText" dxfId="674" priority="744" operator="containsText" text="VALOR ATÍPICO">
      <formula>NOT(ISERROR(SEARCH("VALOR ATÍPICO",AJ39)))</formula>
    </cfRule>
    <cfRule type="containsText" dxfId="673" priority="745" stopIfTrue="1" operator="containsText" text="COTIZA">
      <formula>NOT(ISERROR(SEARCH("COTIZA",AJ39)))</formula>
    </cfRule>
  </conditionalFormatting>
  <conditionalFormatting sqref="AL7:AM8">
    <cfRule type="containsText" dxfId="672" priority="702" operator="containsText" text="NO COTIZA">
      <formula>NOT(ISERROR(SEARCH("NO COTIZA",AL7)))</formula>
    </cfRule>
    <cfRule type="containsText" dxfId="671" priority="703" operator="containsText" text="NO APLICA">
      <formula>NOT(ISERROR(SEARCH("NO APLICA",AL7)))</formula>
    </cfRule>
    <cfRule type="containsText" dxfId="670" priority="704" operator="containsText" text="VALOR ATÍPICO">
      <formula>NOT(ISERROR(SEARCH("VALOR ATÍPICO",AL7)))</formula>
    </cfRule>
    <cfRule type="containsText" dxfId="669" priority="705" stopIfTrue="1" operator="containsText" text="COTIZA">
      <formula>NOT(ISERROR(SEARCH("COTIZA",AL7)))</formula>
    </cfRule>
  </conditionalFormatting>
  <conditionalFormatting sqref="AL12:AM12">
    <cfRule type="containsText" dxfId="668" priority="692" operator="containsText" text="NO COTIZA">
      <formula>NOT(ISERROR(SEARCH("NO COTIZA",AL12)))</formula>
    </cfRule>
    <cfRule type="containsText" dxfId="667" priority="693" operator="containsText" text="NO APLICA">
      <formula>NOT(ISERROR(SEARCH("NO APLICA",AL12)))</formula>
    </cfRule>
    <cfRule type="containsText" dxfId="666" priority="694" operator="containsText" text="VALOR ATÍPICO">
      <formula>NOT(ISERROR(SEARCH("VALOR ATÍPICO",AL12)))</formula>
    </cfRule>
    <cfRule type="containsText" dxfId="665" priority="695" stopIfTrue="1" operator="containsText" text="COTIZA">
      <formula>NOT(ISERROR(SEARCH("COTIZA",AL12)))</formula>
    </cfRule>
  </conditionalFormatting>
  <conditionalFormatting sqref="AL4:AN6">
    <cfRule type="containsText" dxfId="664" priority="689" operator="containsText" text="NO COTIZA">
      <formula>NOT(ISERROR(SEARCH("NO COTIZA",AL4)))</formula>
    </cfRule>
    <cfRule type="cellIs" dxfId="663" priority="690" operator="equal">
      <formula>"NO COTIZA"</formula>
    </cfRule>
    <cfRule type="containsText" dxfId="662" priority="691" stopIfTrue="1" operator="containsText" text="COTIZA">
      <formula>NOT(ISERROR(SEARCH("COTIZA",AL4)))</formula>
    </cfRule>
  </conditionalFormatting>
  <conditionalFormatting sqref="AL7:AN8">
    <cfRule type="containsText" dxfId="661" priority="706" operator="containsText" text="NO COTIZA">
      <formula>NOT(ISERROR(SEARCH("NO COTIZA",AL7)))</formula>
    </cfRule>
  </conditionalFormatting>
  <conditionalFormatting sqref="AL9:AN9 AL52:AN52">
    <cfRule type="containsText" dxfId="660" priority="158" operator="containsText" text="NO APLICA">
      <formula>NOT(ISERROR(SEARCH("NO APLICA",AL9)))</formula>
    </cfRule>
    <cfRule type="containsText" dxfId="659" priority="159" operator="containsText" text="VALOR ATÍPICO">
      <formula>NOT(ISERROR(SEARCH("VALOR ATÍPICO",AL9)))</formula>
    </cfRule>
    <cfRule type="containsText" dxfId="658" priority="161" stopIfTrue="1" operator="containsText" text="COTIZA">
      <formula>NOT(ISERROR(SEARCH("COTIZA",AL9)))</formula>
    </cfRule>
  </conditionalFormatting>
  <conditionalFormatting sqref="AL9:AN11 AL13:AN63">
    <cfRule type="containsText" dxfId="657" priority="160" operator="containsText" text="NO COTIZA">
      <formula>NOT(ISERROR(SEARCH("NO COTIZA",AL9)))</formula>
    </cfRule>
  </conditionalFormatting>
  <conditionalFormatting sqref="AL10:AN11">
    <cfRule type="cellIs" dxfId="656" priority="589" operator="equal">
      <formula>"NO COTIZA"</formula>
    </cfRule>
    <cfRule type="containsText" dxfId="655" priority="590" stopIfTrue="1" operator="containsText" text="COTIZA">
      <formula>NOT(ISERROR(SEARCH("COTIZA",AL10)))</formula>
    </cfRule>
  </conditionalFormatting>
  <conditionalFormatting sqref="AL12:AN12">
    <cfRule type="containsText" dxfId="654" priority="696" operator="containsText" text="NO COTIZA">
      <formula>NOT(ISERROR(SEARCH("NO COTIZA",AL12)))</formula>
    </cfRule>
  </conditionalFormatting>
  <conditionalFormatting sqref="AL13:AN51">
    <cfRule type="cellIs" dxfId="653" priority="380" operator="equal">
      <formula>"NO COTIZA"</formula>
    </cfRule>
    <cfRule type="containsText" dxfId="652" priority="381" stopIfTrue="1" operator="containsText" text="COTIZA">
      <formula>NOT(ISERROR(SEARCH("COTIZA",AL13)))</formula>
    </cfRule>
  </conditionalFormatting>
  <conditionalFormatting sqref="AO4:AQ39">
    <cfRule type="containsText" dxfId="651" priority="678" operator="containsText" text="NO COTIZA">
      <formula>NOT(ISERROR(SEARCH("NO COTIZA",AO4)))</formula>
    </cfRule>
    <cfRule type="cellIs" dxfId="650" priority="679" operator="equal">
      <formula>"NO COTIZA"</formula>
    </cfRule>
    <cfRule type="containsText" dxfId="649" priority="680" stopIfTrue="1" operator="containsText" text="COTIZA">
      <formula>NOT(ISERROR(SEARCH("COTIZA",AO4)))</formula>
    </cfRule>
  </conditionalFormatting>
  <conditionalFormatting sqref="AO40:AQ63">
    <cfRule type="containsText" dxfId="648" priority="685" operator="containsText" text="NO COTIZA">
      <formula>NOT(ISERROR(SEARCH("NO COTIZA",AO40)))</formula>
    </cfRule>
  </conditionalFormatting>
  <conditionalFormatting sqref="AP40:AP42">
    <cfRule type="containsText" dxfId="647" priority="681" operator="containsText" text="NO COTIZA">
      <formula>NOT(ISERROR(SEARCH("NO COTIZA",AP40)))</formula>
    </cfRule>
    <cfRule type="containsText" dxfId="646" priority="682" operator="containsText" text="NO APLICA">
      <formula>NOT(ISERROR(SEARCH("NO APLICA",AP40)))</formula>
    </cfRule>
    <cfRule type="containsText" dxfId="645" priority="683" operator="containsText" text="VALOR ATÍPICO">
      <formula>NOT(ISERROR(SEARCH("VALOR ATÍPICO",AP40)))</formula>
    </cfRule>
    <cfRule type="containsText" dxfId="644" priority="684" stopIfTrue="1" operator="containsText" text="COTIZA">
      <formula>NOT(ISERROR(SEARCH("COTIZA",AP40)))</formula>
    </cfRule>
  </conditionalFormatting>
  <conditionalFormatting sqref="AR4:AT53">
    <cfRule type="cellIs" dxfId="643" priority="661" operator="equal">
      <formula>"NO COTIZA"</formula>
    </cfRule>
    <cfRule type="containsText" dxfId="642" priority="662" stopIfTrue="1" operator="containsText" text="COTIZA">
      <formula>NOT(ISERROR(SEARCH("COTIZA",AR4)))</formula>
    </cfRule>
  </conditionalFormatting>
  <conditionalFormatting sqref="AR54:AT54">
    <cfRule type="containsText" dxfId="641" priority="154" operator="containsText" text="NO APLICA">
      <formula>NOT(ISERROR(SEARCH("NO APLICA",AR54)))</formula>
    </cfRule>
    <cfRule type="containsText" dxfId="640" priority="155" operator="containsText" text="VALOR ATÍPICO">
      <formula>NOT(ISERROR(SEARCH("VALOR ATÍPICO",AR54)))</formula>
    </cfRule>
    <cfRule type="containsText" dxfId="639" priority="157" stopIfTrue="1" operator="containsText" text="COTIZA">
      <formula>NOT(ISERROR(SEARCH("COTIZA",AR54)))</formula>
    </cfRule>
  </conditionalFormatting>
  <conditionalFormatting sqref="AR55:AT63">
    <cfRule type="cellIs" dxfId="638" priority="658" operator="equal">
      <formula>"NO COTIZA"</formula>
    </cfRule>
    <cfRule type="containsText" dxfId="637" priority="659" stopIfTrue="1" operator="containsText" text="COTIZA">
      <formula>NOT(ISERROR(SEARCH("COTIZA",AR55)))</formula>
    </cfRule>
  </conditionalFormatting>
  <conditionalFormatting sqref="AR4:AW63">
    <cfRule type="containsText" dxfId="636" priority="156" operator="containsText" text="NO COTIZA">
      <formula>NOT(ISERROR(SEARCH("NO COTIZA",AR4)))</formula>
    </cfRule>
  </conditionalFormatting>
  <conditionalFormatting sqref="AU4:AW63">
    <cfRule type="cellIs" dxfId="635" priority="541" operator="equal">
      <formula>"NO COTIZA"</formula>
    </cfRule>
    <cfRule type="containsText" dxfId="634" priority="542" stopIfTrue="1" operator="containsText" text="COTIZA">
      <formula>NOT(ISERROR(SEARCH("COTIZA",AU4)))</formula>
    </cfRule>
  </conditionalFormatting>
  <conditionalFormatting sqref="AX58:AZ58">
    <cfRule type="containsText" dxfId="633" priority="150" operator="containsText" text="NO APLICA">
      <formula>NOT(ISERROR(SEARCH("NO APLICA",AX58)))</formula>
    </cfRule>
    <cfRule type="containsText" dxfId="632" priority="151" operator="containsText" text="VALOR ATÍPICO">
      <formula>NOT(ISERROR(SEARCH("VALOR ATÍPICO",AX58)))</formula>
    </cfRule>
    <cfRule type="containsText" dxfId="631" priority="153" stopIfTrue="1" operator="containsText" text="COTIZA">
      <formula>NOT(ISERROR(SEARCH("COTIZA",AX58)))</formula>
    </cfRule>
  </conditionalFormatting>
  <conditionalFormatting sqref="AX58:AZ63">
    <cfRule type="containsText" dxfId="630" priority="152" operator="containsText" text="NO COTIZA">
      <formula>NOT(ISERROR(SEARCH("NO COTIZA",AX58)))</formula>
    </cfRule>
  </conditionalFormatting>
  <conditionalFormatting sqref="AX59:AZ63">
    <cfRule type="cellIs" dxfId="629" priority="655" operator="equal">
      <formula>"NO COTIZA"</formula>
    </cfRule>
    <cfRule type="containsText" dxfId="628" priority="656" stopIfTrue="1" operator="containsText" text="COTIZA">
      <formula>NOT(ISERROR(SEARCH("COTIZA",AX59)))</formula>
    </cfRule>
  </conditionalFormatting>
  <conditionalFormatting sqref="AX55:BC57 BA60:BC63">
    <cfRule type="cellIs" dxfId="627" priority="652" operator="equal">
      <formula>"NO COTIZA"</formula>
    </cfRule>
    <cfRule type="containsText" dxfId="626" priority="653" stopIfTrue="1" operator="containsText" text="COTIZA">
      <formula>NOT(ISERROR(SEARCH("COTIZA",AX55)))</formula>
    </cfRule>
  </conditionalFormatting>
  <conditionalFormatting sqref="AX4:BF54 AC7:AE8 DO19:DO22 AI39 AO40:AO42 BA58:BF58 BM62:BO62 DL62:DN63">
    <cfRule type="cellIs" dxfId="625" priority="748" operator="equal">
      <formula>"NO COTIZA"</formula>
    </cfRule>
    <cfRule type="containsText" dxfId="624" priority="749" stopIfTrue="1" operator="containsText" text="COTIZA">
      <formula>NOT(ISERROR(SEARCH("COTIZA",AC4)))</formula>
    </cfRule>
  </conditionalFormatting>
  <conditionalFormatting sqref="AX4:BF57">
    <cfRule type="containsText" dxfId="623" priority="144" operator="containsText" text="NO COTIZA">
      <formula>NOT(ISERROR(SEARCH("NO COTIZA",AX4)))</formula>
    </cfRule>
  </conditionalFormatting>
  <conditionalFormatting sqref="BA59:BC59">
    <cfRule type="containsText" dxfId="622" priority="146" operator="containsText" text="NO APLICA">
      <formula>NOT(ISERROR(SEARCH("NO APLICA",BA59)))</formula>
    </cfRule>
    <cfRule type="containsText" dxfId="621" priority="147" operator="containsText" text="VALOR ATÍPICO">
      <formula>NOT(ISERROR(SEARCH("VALOR ATÍPICO",BA59)))</formula>
    </cfRule>
    <cfRule type="containsText" dxfId="620" priority="149" stopIfTrue="1" operator="containsText" text="COTIZA">
      <formula>NOT(ISERROR(SEARCH("COTIZA",BA59)))</formula>
    </cfRule>
  </conditionalFormatting>
  <conditionalFormatting sqref="BA58:BF63">
    <cfRule type="containsText" dxfId="619" priority="148" operator="containsText" text="NO COTIZA">
      <formula>NOT(ISERROR(SEARCH("NO COTIZA",BA58)))</formula>
    </cfRule>
  </conditionalFormatting>
  <conditionalFormatting sqref="BD55:BF55">
    <cfRule type="containsText" dxfId="618" priority="142" operator="containsText" text="NO APLICA">
      <formula>NOT(ISERROR(SEARCH("NO APLICA",BD55)))</formula>
    </cfRule>
    <cfRule type="containsText" dxfId="617" priority="143" operator="containsText" text="VALOR ATÍPICO">
      <formula>NOT(ISERROR(SEARCH("VALOR ATÍPICO",BD55)))</formula>
    </cfRule>
    <cfRule type="containsText" dxfId="616" priority="145" stopIfTrue="1" operator="containsText" text="COTIZA">
      <formula>NOT(ISERROR(SEARCH("COTIZA",BD55)))</formula>
    </cfRule>
  </conditionalFormatting>
  <conditionalFormatting sqref="BD56:BF57 BD59:BF63">
    <cfRule type="cellIs" dxfId="615" priority="649" operator="equal">
      <formula>"NO COTIZA"</formula>
    </cfRule>
    <cfRule type="containsText" dxfId="614" priority="650" stopIfTrue="1" operator="containsText" text="COTIZA">
      <formula>NOT(ISERROR(SEARCH("COTIZA",BD56)))</formula>
    </cfRule>
  </conditionalFormatting>
  <conditionalFormatting sqref="BG4:BI59">
    <cfRule type="cellIs" dxfId="613" priority="222" operator="equal">
      <formula>"NO COTIZA"</formula>
    </cfRule>
    <cfRule type="containsText" dxfId="612" priority="223" stopIfTrue="1" operator="containsText" text="COTIZA">
      <formula>NOT(ISERROR(SEARCH("COTIZA",BG4)))</formula>
    </cfRule>
  </conditionalFormatting>
  <conditionalFormatting sqref="BG60:BI62">
    <cfRule type="containsText" dxfId="611" priority="138" operator="containsText" text="NO APLICA">
      <formula>NOT(ISERROR(SEARCH("NO APLICA",BG60)))</formula>
    </cfRule>
    <cfRule type="containsText" dxfId="610" priority="139" operator="containsText" text="VALOR ATÍPICO">
      <formula>NOT(ISERROR(SEARCH("VALOR ATÍPICO",BG60)))</formula>
    </cfRule>
    <cfRule type="containsText" dxfId="609" priority="141" stopIfTrue="1" operator="containsText" text="COTIZA">
      <formula>NOT(ISERROR(SEARCH("COTIZA",BG60)))</formula>
    </cfRule>
  </conditionalFormatting>
  <conditionalFormatting sqref="BG63:BI63">
    <cfRule type="cellIs" dxfId="608" priority="646" operator="equal">
      <formula>"NO COTIZA"</formula>
    </cfRule>
    <cfRule type="containsText" dxfId="607" priority="647" stopIfTrue="1" operator="containsText" text="COTIZA">
      <formula>NOT(ISERROR(SEARCH("COTIZA",BG63)))</formula>
    </cfRule>
  </conditionalFormatting>
  <conditionalFormatting sqref="BG4:BL63">
    <cfRule type="containsText" dxfId="606" priority="140" operator="containsText" text="NO COTIZA">
      <formula>NOT(ISERROR(SEARCH("NO COTIZA",BG4)))</formula>
    </cfRule>
  </conditionalFormatting>
  <conditionalFormatting sqref="BJ4:BL63">
    <cfRule type="cellIs" dxfId="605" priority="598" operator="equal">
      <formula>"NO COTIZA"</formula>
    </cfRule>
    <cfRule type="containsText" dxfId="604" priority="599" stopIfTrue="1" operator="containsText" text="COTIZA">
      <formula>NOT(ISERROR(SEARCH("COTIZA",BJ4)))</formula>
    </cfRule>
  </conditionalFormatting>
  <conditionalFormatting sqref="BM11:BM13">
    <cfRule type="cellIs" dxfId="603" priority="354" operator="equal">
      <formula>"NO COTIZA"</formula>
    </cfRule>
    <cfRule type="containsText" dxfId="602" priority="355" stopIfTrue="1" operator="containsText" text="COTIZA">
      <formula>NOT(ISERROR(SEARCH("COTIZA",BM11)))</formula>
    </cfRule>
  </conditionalFormatting>
  <conditionalFormatting sqref="BM4:BO6">
    <cfRule type="containsText" dxfId="601" priority="315" operator="containsText" text="NO COTIZA">
      <formula>NOT(ISERROR(SEARCH("NO COTIZA",BM4)))</formula>
    </cfRule>
    <cfRule type="containsText" dxfId="600" priority="317" stopIfTrue="1" operator="containsText" text="COTIZA">
      <formula>NOT(ISERROR(SEARCH("COTIZA",BM4)))</formula>
    </cfRule>
  </conditionalFormatting>
  <conditionalFormatting sqref="BM4:BO10">
    <cfRule type="cellIs" dxfId="599" priority="316" operator="equal">
      <formula>"NO COTIZA"</formula>
    </cfRule>
  </conditionalFormatting>
  <conditionalFormatting sqref="BM7:BO55">
    <cfRule type="containsText" dxfId="598" priority="352" operator="containsText" text="NO COTIZA">
      <formula>NOT(ISERROR(SEARCH("NO COTIZA",BM7)))</formula>
    </cfRule>
  </conditionalFormatting>
  <conditionalFormatting sqref="BM56:BO57 BM60:BO61 BM63:BO63">
    <cfRule type="containsText" dxfId="597" priority="134" operator="containsText" text="NO APLICA">
      <formula>NOT(ISERROR(SEARCH("NO APLICA",BM56)))</formula>
    </cfRule>
    <cfRule type="containsText" dxfId="596" priority="135" operator="containsText" text="VALOR ATÍPICO">
      <formula>NOT(ISERROR(SEARCH("VALOR ATÍPICO",BM56)))</formula>
    </cfRule>
    <cfRule type="containsText" dxfId="595" priority="137" stopIfTrue="1" operator="containsText" text="COTIZA">
      <formula>NOT(ISERROR(SEARCH("COTIZA",BM56)))</formula>
    </cfRule>
  </conditionalFormatting>
  <conditionalFormatting sqref="BM56:BO63">
    <cfRule type="containsText" dxfId="594" priority="136" operator="containsText" text="NO COTIZA">
      <formula>NOT(ISERROR(SEARCH("NO COTIZA",BM56)))</formula>
    </cfRule>
  </conditionalFormatting>
  <conditionalFormatting sqref="BM58:BO59 BM7:BO10">
    <cfRule type="containsText" dxfId="593" priority="644" stopIfTrue="1" operator="containsText" text="COTIZA">
      <formula>NOT(ISERROR(SEARCH("COTIZA",BM7)))</formula>
    </cfRule>
  </conditionalFormatting>
  <conditionalFormatting sqref="BM58:BO59">
    <cfRule type="cellIs" dxfId="592" priority="643" operator="equal">
      <formula>"NO COTIZA"</formula>
    </cfRule>
  </conditionalFormatting>
  <conditionalFormatting sqref="BN11:BN13">
    <cfRule type="containsText" dxfId="591" priority="348" operator="containsText" text="NO COTIZA">
      <formula>NOT(ISERROR(SEARCH("NO COTIZA",BN11)))</formula>
    </cfRule>
    <cfRule type="containsText" dxfId="590" priority="349" operator="containsText" text="NO APLICA">
      <formula>NOT(ISERROR(SEARCH("NO APLICA",BN11)))</formula>
    </cfRule>
    <cfRule type="containsText" dxfId="589" priority="350" operator="containsText" text="VALOR ATÍPICO">
      <formula>NOT(ISERROR(SEARCH("VALOR ATÍPICO",BN11)))</formula>
    </cfRule>
    <cfRule type="containsText" dxfId="588" priority="351" stopIfTrue="1" operator="containsText" text="COTIZA">
      <formula>NOT(ISERROR(SEARCH("COTIZA",BN11)))</formula>
    </cfRule>
  </conditionalFormatting>
  <conditionalFormatting sqref="BP4:BR63">
    <cfRule type="containsText" dxfId="587" priority="132" operator="containsText" text="NO COTIZA">
      <formula>NOT(ISERROR(SEARCH("NO COTIZA",BP4)))</formula>
    </cfRule>
  </conditionalFormatting>
  <conditionalFormatting sqref="BP60:BR60">
    <cfRule type="containsText" dxfId="586" priority="130" operator="containsText" text="NO APLICA">
      <formula>NOT(ISERROR(SEARCH("NO APLICA",BP60)))</formula>
    </cfRule>
    <cfRule type="containsText" dxfId="585" priority="131" operator="containsText" text="VALOR ATÍPICO">
      <formula>NOT(ISERROR(SEARCH("VALOR ATÍPICO",BP60)))</formula>
    </cfRule>
    <cfRule type="containsText" dxfId="584" priority="133" stopIfTrue="1" operator="containsText" text="COTIZA">
      <formula>NOT(ISERROR(SEARCH("COTIZA",BP60)))</formula>
    </cfRule>
  </conditionalFormatting>
  <conditionalFormatting sqref="BP61:BR63">
    <cfRule type="cellIs" dxfId="583" priority="640" operator="equal">
      <formula>"NO COTIZA"</formula>
    </cfRule>
    <cfRule type="containsText" dxfId="582" priority="641" stopIfTrue="1" operator="containsText" text="COTIZA">
      <formula>NOT(ISERROR(SEARCH("COTIZA",BP61)))</formula>
    </cfRule>
  </conditionalFormatting>
  <conditionalFormatting sqref="BS56:BU63">
    <cfRule type="cellIs" dxfId="581" priority="637" operator="equal">
      <formula>"NO COTIZA"</formula>
    </cfRule>
    <cfRule type="containsText" dxfId="580" priority="638" stopIfTrue="1" operator="containsText" text="COTIZA">
      <formula>NOT(ISERROR(SEARCH("COTIZA",BS56)))</formula>
    </cfRule>
  </conditionalFormatting>
  <conditionalFormatting sqref="BS4:BX55 BP4:BR59 CW6:CY52 W11:Y52 AC11:AE52 BM14:BO55 DF14:DH63 EA21:EC63 CT23:CV52 DO23:DQ63 CN24:CP52 EG25:EI63 EJ39:EO63 AF40:AK52 CQ40:CS52 ED42:EF63 EV42:EX63 AO43:AQ63 EY43:FA63 FE45:FP63 H49:S52 EP52:EU63 H53:AN63 CN53:DE63 DU53:DZ63">
    <cfRule type="cellIs" dxfId="579" priority="888" operator="equal">
      <formula>"NO COTIZA"</formula>
    </cfRule>
  </conditionalFormatting>
  <conditionalFormatting sqref="BS4:BX63">
    <cfRule type="containsText" dxfId="578" priority="120" operator="containsText" text="NO COTIZA">
      <formula>NOT(ISERROR(SEARCH("NO COTIZA",BS4)))</formula>
    </cfRule>
  </conditionalFormatting>
  <conditionalFormatting sqref="BV56:BX56">
    <cfRule type="containsText" dxfId="577" priority="118" operator="containsText" text="NO APLICA">
      <formula>NOT(ISERROR(SEARCH("NO APLICA",BV56)))</formula>
    </cfRule>
    <cfRule type="containsText" dxfId="576" priority="119" operator="containsText" text="VALOR ATÍPICO">
      <formula>NOT(ISERROR(SEARCH("VALOR ATÍPICO",BV56)))</formula>
    </cfRule>
    <cfRule type="containsText" dxfId="575" priority="121" stopIfTrue="1" operator="containsText" text="COTIZA">
      <formula>NOT(ISERROR(SEARCH("COTIZA",BV56)))</formula>
    </cfRule>
  </conditionalFormatting>
  <conditionalFormatting sqref="BV57:BX63">
    <cfRule type="cellIs" dxfId="574" priority="634" operator="equal">
      <formula>"NO COTIZA"</formula>
    </cfRule>
    <cfRule type="containsText" dxfId="573" priority="635" stopIfTrue="1" operator="containsText" text="COTIZA">
      <formula>NOT(ISERROR(SEARCH("COTIZA",BV57)))</formula>
    </cfRule>
  </conditionalFormatting>
  <conditionalFormatting sqref="BY4:CA61">
    <cfRule type="cellIs" dxfId="572" priority="233" operator="equal">
      <formula>"NO COTIZA"</formula>
    </cfRule>
    <cfRule type="containsText" dxfId="571" priority="234" stopIfTrue="1" operator="containsText" text="COTIZA">
      <formula>NOT(ISERROR(SEARCH("COTIZA",BY4)))</formula>
    </cfRule>
  </conditionalFormatting>
  <conditionalFormatting sqref="BY62:CD63">
    <cfRule type="cellIs" dxfId="570" priority="631" operator="equal">
      <formula>"NO COTIZA"</formula>
    </cfRule>
    <cfRule type="containsText" dxfId="569" priority="632" stopIfTrue="1" operator="containsText" text="COTIZA">
      <formula>NOT(ISERROR(SEARCH("COTIZA",BY62)))</formula>
    </cfRule>
  </conditionalFormatting>
  <conditionalFormatting sqref="BY4:CG63">
    <cfRule type="containsText" dxfId="568" priority="116" operator="containsText" text="NO COTIZA">
      <formula>NOT(ISERROR(SEARCH("NO COTIZA",BY4)))</formula>
    </cfRule>
  </conditionalFormatting>
  <conditionalFormatting sqref="CB4:CD60">
    <cfRule type="cellIs" dxfId="567" priority="216" operator="equal">
      <formula>"NO COTIZA"</formula>
    </cfRule>
    <cfRule type="containsText" dxfId="566" priority="217" stopIfTrue="1" operator="containsText" text="COTIZA">
      <formula>NOT(ISERROR(SEARCH("COTIZA",CB4)))</formula>
    </cfRule>
  </conditionalFormatting>
  <conditionalFormatting sqref="CB61:CD61">
    <cfRule type="containsText" dxfId="565" priority="114" operator="containsText" text="NO APLICA">
      <formula>NOT(ISERROR(SEARCH("NO APLICA",CB61)))</formula>
    </cfRule>
    <cfRule type="containsText" dxfId="564" priority="115" operator="containsText" text="VALOR ATÍPICO">
      <formula>NOT(ISERROR(SEARCH("VALOR ATÍPICO",CB61)))</formula>
    </cfRule>
    <cfRule type="containsText" dxfId="563" priority="117" stopIfTrue="1" operator="containsText" text="COTIZA">
      <formula>NOT(ISERROR(SEARCH("COTIZA",CB61)))</formula>
    </cfRule>
  </conditionalFormatting>
  <conditionalFormatting sqref="CE4:CG63">
    <cfRule type="cellIs" dxfId="562" priority="622" operator="equal">
      <formula>"NO COTIZA"</formula>
    </cfRule>
    <cfRule type="containsText" dxfId="561" priority="623" stopIfTrue="1" operator="containsText" text="COTIZA">
      <formula>NOT(ISERROR(SEARCH("COTIZA",CE4)))</formula>
    </cfRule>
  </conditionalFormatting>
  <conditionalFormatting sqref="CH40">
    <cfRule type="cellIs" dxfId="560" priority="292" operator="equal">
      <formula>"NO COTIZA"</formula>
    </cfRule>
    <cfRule type="containsText" dxfId="559" priority="293" stopIfTrue="1" operator="containsText" text="COTIZA">
      <formula>NOT(ISERROR(SEARCH("COTIZA",CH40)))</formula>
    </cfRule>
  </conditionalFormatting>
  <conditionalFormatting sqref="CH4:CJ9 CH11:CJ11 CH14:CJ39 CH58:CJ61 CH63:CJ63 CH41:CJ43">
    <cfRule type="containsText" dxfId="558" priority="596" stopIfTrue="1" operator="containsText" text="COTIZA">
      <formula>NOT(ISERROR(SEARCH("COTIZA",CH4)))</formula>
    </cfRule>
  </conditionalFormatting>
  <conditionalFormatting sqref="CH4:CJ9 CH11:CJ11 CH14:CJ39 CH58:CJ61 CH63:CJ63">
    <cfRule type="cellIs" dxfId="557" priority="595" operator="equal">
      <formula>"NO COTIZA"</formula>
    </cfRule>
  </conditionalFormatting>
  <conditionalFormatting sqref="CH4:CJ13 CH44:CJ63">
    <cfRule type="containsText" dxfId="556" priority="112" operator="containsText" text="NO COTIZA">
      <formula>NOT(ISERROR(SEARCH("NO COTIZA",CH4)))</formula>
    </cfRule>
  </conditionalFormatting>
  <conditionalFormatting sqref="CH10:CJ10 CH12:CJ13 CH57:CJ57 CH62:CJ62">
    <cfRule type="containsText" dxfId="555" priority="110" operator="containsText" text="NO APLICA">
      <formula>NOT(ISERROR(SEARCH("NO APLICA",CH10)))</formula>
    </cfRule>
    <cfRule type="containsText" dxfId="554" priority="111" operator="containsText" text="VALOR ATÍPICO">
      <formula>NOT(ISERROR(SEARCH("VALOR ATÍPICO",CH10)))</formula>
    </cfRule>
    <cfRule type="containsText" dxfId="553" priority="113" stopIfTrue="1" operator="containsText" text="COTIZA">
      <formula>NOT(ISERROR(SEARCH("COTIZA",CH10)))</formula>
    </cfRule>
  </conditionalFormatting>
  <conditionalFormatting sqref="CH14:CJ43">
    <cfRule type="containsText" dxfId="552" priority="290" operator="containsText" text="NO COTIZA">
      <formula>NOT(ISERROR(SEARCH("NO COTIZA",CH14)))</formula>
    </cfRule>
  </conditionalFormatting>
  <conditionalFormatting sqref="CH41:CJ56">
    <cfRule type="cellIs" dxfId="551" priority="263" operator="equal">
      <formula>"NO COTIZA"</formula>
    </cfRule>
  </conditionalFormatting>
  <conditionalFormatting sqref="CH44:CJ56">
    <cfRule type="containsText" dxfId="550" priority="264" stopIfTrue="1" operator="containsText" text="COTIZA">
      <formula>NOT(ISERROR(SEARCH("COTIZA",CH44)))</formula>
    </cfRule>
  </conditionalFormatting>
  <conditionalFormatting sqref="CI40">
    <cfRule type="containsText" dxfId="549" priority="286" operator="containsText" text="NO COTIZA">
      <formula>NOT(ISERROR(SEARCH("NO COTIZA",CI40)))</formula>
    </cfRule>
    <cfRule type="containsText" dxfId="548" priority="287" operator="containsText" text="NO APLICA">
      <formula>NOT(ISERROR(SEARCH("NO APLICA",CI40)))</formula>
    </cfRule>
    <cfRule type="containsText" dxfId="547" priority="288" operator="containsText" text="VALOR ATÍPICO">
      <formula>NOT(ISERROR(SEARCH("VALOR ATÍPICO",CI40)))</formula>
    </cfRule>
    <cfRule type="containsText" dxfId="546" priority="289" stopIfTrue="1" operator="containsText" text="COTIZA">
      <formula>NOT(ISERROR(SEARCH("COTIZA",CI40)))</formula>
    </cfRule>
  </conditionalFormatting>
  <conditionalFormatting sqref="CK23:CM60">
    <cfRule type="cellIs" dxfId="545" priority="210" operator="equal">
      <formula>"NO COTIZA"</formula>
    </cfRule>
    <cfRule type="containsText" dxfId="544" priority="211" stopIfTrue="1" operator="containsText" text="COTIZA">
      <formula>NOT(ISERROR(SEARCH("COTIZA",CK23)))</formula>
    </cfRule>
  </conditionalFormatting>
  <conditionalFormatting sqref="CK23:CM63">
    <cfRule type="containsText" dxfId="543" priority="108" operator="containsText" text="NO COTIZA">
      <formula>NOT(ISERROR(SEARCH("NO COTIZA",CK23)))</formula>
    </cfRule>
  </conditionalFormatting>
  <conditionalFormatting sqref="CK61:CM61">
    <cfRule type="containsText" dxfId="542" priority="106" operator="containsText" text="NO APLICA">
      <formula>NOT(ISERROR(SEARCH("NO APLICA",CK61)))</formula>
    </cfRule>
    <cfRule type="containsText" dxfId="541" priority="107" operator="containsText" text="VALOR ATÍPICO">
      <formula>NOT(ISERROR(SEARCH("VALOR ATÍPICO",CK61)))</formula>
    </cfRule>
    <cfRule type="containsText" dxfId="540" priority="109" stopIfTrue="1" operator="containsText" text="COTIZA">
      <formula>NOT(ISERROR(SEARCH("COTIZA",CK61)))</formula>
    </cfRule>
  </conditionalFormatting>
  <conditionalFormatting sqref="CK4:CP17 CK18:CM20 CK21:CP22 CK62:CM63">
    <cfRule type="cellIs" dxfId="539" priority="616" operator="equal">
      <formula>"NO COTIZA"</formula>
    </cfRule>
    <cfRule type="containsText" dxfId="538" priority="617" stopIfTrue="1" operator="containsText" text="COTIZA">
      <formula>NOT(ISERROR(SEARCH("COTIZA",CK4)))</formula>
    </cfRule>
  </conditionalFormatting>
  <conditionalFormatting sqref="CK4:CS22">
    <cfRule type="containsText" dxfId="537" priority="104" operator="containsText" text="NO COTIZA">
      <formula>NOT(ISERROR(SEARCH("NO COTIZA",CK4)))</formula>
    </cfRule>
  </conditionalFormatting>
  <conditionalFormatting sqref="CN18:CP20">
    <cfRule type="containsText" dxfId="536" priority="102" operator="containsText" text="NO APLICA">
      <formula>NOT(ISERROR(SEARCH("NO APLICA",CN18)))</formula>
    </cfRule>
    <cfRule type="containsText" dxfId="535" priority="103" operator="containsText" text="VALOR ATÍPICO">
      <formula>NOT(ISERROR(SEARCH("VALOR ATÍPICO",CN18)))</formula>
    </cfRule>
    <cfRule type="containsText" dxfId="534" priority="105" stopIfTrue="1" operator="containsText" text="COTIZA">
      <formula>NOT(ISERROR(SEARCH("COTIZA",CN18)))</formula>
    </cfRule>
  </conditionalFormatting>
  <conditionalFormatting sqref="CN23:CP23">
    <cfRule type="containsText" dxfId="533" priority="572" operator="containsText" text="NO COTIZA">
      <formula>NOT(ISERROR(SEARCH("NO COTIZA",CN23)))</formula>
    </cfRule>
    <cfRule type="containsText" dxfId="532" priority="573" operator="containsText" text="NO APLICA">
      <formula>NOT(ISERROR(SEARCH("NO APLICA",CN23)))</formula>
    </cfRule>
    <cfRule type="containsText" dxfId="531" priority="574" operator="containsText" text="VALOR ATÍPICO">
      <formula>NOT(ISERROR(SEARCH("VALOR ATÍPICO",CN23)))</formula>
    </cfRule>
    <cfRule type="containsText" dxfId="530" priority="575" stopIfTrue="1" operator="containsText" text="COTIZA">
      <formula>NOT(ISERROR(SEARCH("COTIZA",CN23)))</formula>
    </cfRule>
  </conditionalFormatting>
  <conditionalFormatting sqref="CQ4:CS22 CQ24:CS38">
    <cfRule type="cellIs" dxfId="529" priority="570" operator="equal">
      <formula>"NO COTIZA"</formula>
    </cfRule>
    <cfRule type="containsText" dxfId="528" priority="571" stopIfTrue="1" operator="containsText" text="COTIZA">
      <formula>NOT(ISERROR(SEARCH("COTIZA",CQ4)))</formula>
    </cfRule>
  </conditionalFormatting>
  <conditionalFormatting sqref="CQ23:CS23">
    <cfRule type="containsText" dxfId="527" priority="98" operator="containsText" text="NO APLICA">
      <formula>NOT(ISERROR(SEARCH("NO APLICA",CQ23)))</formula>
    </cfRule>
    <cfRule type="containsText" dxfId="526" priority="99" operator="containsText" text="VALOR ATÍPICO">
      <formula>NOT(ISERROR(SEARCH("VALOR ATÍPICO",CQ23)))</formula>
    </cfRule>
    <cfRule type="containsText" dxfId="525" priority="101" stopIfTrue="1" operator="containsText" text="COTIZA">
      <formula>NOT(ISERROR(SEARCH("COTIZA",CQ23)))</formula>
    </cfRule>
  </conditionalFormatting>
  <conditionalFormatting sqref="CQ23:CS38">
    <cfRule type="containsText" dxfId="524" priority="100" operator="containsText" text="NO COTIZA">
      <formula>NOT(ISERROR(SEARCH("NO COTIZA",CQ23)))</formula>
    </cfRule>
  </conditionalFormatting>
  <conditionalFormatting sqref="CQ39:CS39">
    <cfRule type="containsText" dxfId="523" priority="205" operator="containsText" text="NO COTIZA">
      <formula>NOT(ISERROR(SEARCH("NO COTIZA",CQ39)))</formula>
    </cfRule>
    <cfRule type="containsText" dxfId="522" priority="206" operator="containsText" text="NO APLICA">
      <formula>NOT(ISERROR(SEARCH("NO APLICA",CQ39)))</formula>
    </cfRule>
    <cfRule type="containsText" dxfId="521" priority="207" operator="containsText" text="VALOR ATÍPICO">
      <formula>NOT(ISERROR(SEARCH("VALOR ATÍPICO",CQ39)))</formula>
    </cfRule>
    <cfRule type="containsText" dxfId="520" priority="208" stopIfTrue="1" operator="containsText" text="COTIZA">
      <formula>NOT(ISERROR(SEARCH("COTIZA",CQ39)))</formula>
    </cfRule>
  </conditionalFormatting>
  <conditionalFormatting sqref="CT4:CV17">
    <cfRule type="containsText" dxfId="519" priority="546" operator="containsText" text="NO COTIZA">
      <formula>NOT(ISERROR(SEARCH("NO COTIZA",CT4)))</formula>
    </cfRule>
    <cfRule type="cellIs" dxfId="518" priority="547" operator="equal">
      <formula>"NO COTIZA"</formula>
    </cfRule>
    <cfRule type="containsText" dxfId="517" priority="548" stopIfTrue="1" operator="containsText" text="COTIZA">
      <formula>NOT(ISERROR(SEARCH("COTIZA",CT4)))</formula>
    </cfRule>
  </conditionalFormatting>
  <conditionalFormatting sqref="CT18:CV22">
    <cfRule type="containsText" dxfId="516" priority="549" operator="containsText" text="NO COTIZA">
      <formula>NOT(ISERROR(SEARCH("NO COTIZA",CT18)))</formula>
    </cfRule>
    <cfRule type="containsText" dxfId="515" priority="550" operator="containsText" text="NO APLICA">
      <formula>NOT(ISERROR(SEARCH("NO APLICA",CT18)))</formula>
    </cfRule>
    <cfRule type="containsText" dxfId="514" priority="551" operator="containsText" text="VALOR ATÍPICO">
      <formula>NOT(ISERROR(SEARCH("VALOR ATÍPICO",CT18)))</formula>
    </cfRule>
    <cfRule type="containsText" dxfId="513" priority="552" stopIfTrue="1" operator="containsText" text="COTIZA">
      <formula>NOT(ISERROR(SEARCH("COTIZA",CT18)))</formula>
    </cfRule>
  </conditionalFormatting>
  <conditionalFormatting sqref="CW4:CW5">
    <cfRule type="cellIs" dxfId="512" priority="530" operator="equal">
      <formula>"NO COTIZA"</formula>
    </cfRule>
    <cfRule type="containsText" dxfId="511" priority="531" stopIfTrue="1" operator="containsText" text="COTIZA">
      <formula>NOT(ISERROR(SEARCH("COTIZA",CW4)))</formula>
    </cfRule>
  </conditionalFormatting>
  <conditionalFormatting sqref="CW4:CY52">
    <cfRule type="containsText" dxfId="510" priority="528" operator="containsText" text="NO COTIZA">
      <formula>NOT(ISERROR(SEARCH("NO COTIZA",CW4)))</formula>
    </cfRule>
  </conditionalFormatting>
  <conditionalFormatting sqref="CX4:CX5">
    <cfRule type="containsText" dxfId="509" priority="524" operator="containsText" text="NO COTIZA">
      <formula>NOT(ISERROR(SEARCH("NO COTIZA",CX4)))</formula>
    </cfRule>
    <cfRule type="containsText" dxfId="508" priority="525" operator="containsText" text="NO APLICA">
      <formula>NOT(ISERROR(SEARCH("NO APLICA",CX4)))</formula>
    </cfRule>
    <cfRule type="containsText" dxfId="507" priority="526" operator="containsText" text="VALOR ATÍPICO">
      <formula>NOT(ISERROR(SEARCH("VALOR ATÍPICO",CX4)))</formula>
    </cfRule>
    <cfRule type="containsText" dxfId="506" priority="527" stopIfTrue="1" operator="containsText" text="COTIZA">
      <formula>NOT(ISERROR(SEARCH("COTIZA",CX4)))</formula>
    </cfRule>
  </conditionalFormatting>
  <conditionalFormatting sqref="CZ11">
    <cfRule type="cellIs" dxfId="505" priority="522" operator="equal">
      <formula>"NO COTIZA"</formula>
    </cfRule>
    <cfRule type="containsText" dxfId="504" priority="523" stopIfTrue="1" operator="containsText" text="COTIZA">
      <formula>NOT(ISERROR(SEARCH("COTIZA",CZ11)))</formula>
    </cfRule>
  </conditionalFormatting>
  <conditionalFormatting sqref="CZ52">
    <cfRule type="cellIs" dxfId="503" priority="514" operator="equal">
      <formula>"NO COTIZA"</formula>
    </cfRule>
    <cfRule type="containsText" dxfId="502" priority="515" stopIfTrue="1" operator="containsText" text="COTIZA">
      <formula>NOT(ISERROR(SEARCH("COTIZA",CZ52)))</formula>
    </cfRule>
  </conditionalFormatting>
  <conditionalFormatting sqref="CZ11:DB11">
    <cfRule type="containsText" dxfId="501" priority="520" operator="containsText" text="NO COTIZA">
      <formula>NOT(ISERROR(SEARCH("NO COTIZA",CZ11)))</formula>
    </cfRule>
  </conditionalFormatting>
  <conditionalFormatting sqref="CZ52:DB52">
    <cfRule type="containsText" dxfId="500" priority="512" operator="containsText" text="NO COTIZA">
      <formula>NOT(ISERROR(SEARCH("NO COTIZA",CZ52)))</formula>
    </cfRule>
  </conditionalFormatting>
  <conditionalFormatting sqref="CZ4:DE10 CZ12:DE51">
    <cfRule type="containsText" dxfId="499" priority="486" operator="containsText" text="NO COTIZA">
      <formula>NOT(ISERROR(SEARCH("NO COTIZA",CZ4)))</formula>
    </cfRule>
    <cfRule type="cellIs" dxfId="498" priority="487" operator="equal">
      <formula>"NO COTIZA"</formula>
    </cfRule>
    <cfRule type="containsText" dxfId="497" priority="488" stopIfTrue="1" operator="containsText" text="COTIZA">
      <formula>NOT(ISERROR(SEARCH("COTIZA",CZ4)))</formula>
    </cfRule>
  </conditionalFormatting>
  <conditionalFormatting sqref="DA11">
    <cfRule type="containsText" dxfId="496" priority="516" operator="containsText" text="NO COTIZA">
      <formula>NOT(ISERROR(SEARCH("NO COTIZA",DA11)))</formula>
    </cfRule>
    <cfRule type="containsText" dxfId="495" priority="517" operator="containsText" text="NO APLICA">
      <formula>NOT(ISERROR(SEARCH("NO APLICA",DA11)))</formula>
    </cfRule>
    <cfRule type="containsText" dxfId="494" priority="518" operator="containsText" text="VALOR ATÍPICO">
      <formula>NOT(ISERROR(SEARCH("VALOR ATÍPICO",DA11)))</formula>
    </cfRule>
    <cfRule type="containsText" dxfId="493" priority="519" stopIfTrue="1" operator="containsText" text="COTIZA">
      <formula>NOT(ISERROR(SEARCH("COTIZA",DA11)))</formula>
    </cfRule>
  </conditionalFormatting>
  <conditionalFormatting sqref="DA52">
    <cfRule type="containsText" dxfId="492" priority="508" operator="containsText" text="NO COTIZA">
      <formula>NOT(ISERROR(SEARCH("NO COTIZA",DA52)))</formula>
    </cfRule>
    <cfRule type="containsText" dxfId="491" priority="509" operator="containsText" text="NO APLICA">
      <formula>NOT(ISERROR(SEARCH("NO APLICA",DA52)))</formula>
    </cfRule>
    <cfRule type="containsText" dxfId="490" priority="510" operator="containsText" text="VALOR ATÍPICO">
      <formula>NOT(ISERROR(SEARCH("VALOR ATÍPICO",DA52)))</formula>
    </cfRule>
    <cfRule type="containsText" dxfId="489" priority="511" stopIfTrue="1" operator="containsText" text="COTIZA">
      <formula>NOT(ISERROR(SEARCH("COTIZA",DA52)))</formula>
    </cfRule>
  </conditionalFormatting>
  <conditionalFormatting sqref="DC11">
    <cfRule type="cellIs" dxfId="488" priority="503" operator="equal">
      <formula>"NO COTIZA"</formula>
    </cfRule>
    <cfRule type="containsText" dxfId="487" priority="504" stopIfTrue="1" operator="containsText" text="COTIZA">
      <formula>NOT(ISERROR(SEARCH("COTIZA",DC11)))</formula>
    </cfRule>
  </conditionalFormatting>
  <conditionalFormatting sqref="DC52">
    <cfRule type="cellIs" dxfId="486" priority="495" operator="equal">
      <formula>"NO COTIZA"</formula>
    </cfRule>
    <cfRule type="containsText" dxfId="485" priority="496" stopIfTrue="1" operator="containsText" text="COTIZA">
      <formula>NOT(ISERROR(SEARCH("COTIZA",DC52)))</formula>
    </cfRule>
  </conditionalFormatting>
  <conditionalFormatting sqref="DC11:DE11">
    <cfRule type="containsText" dxfId="484" priority="501" operator="containsText" text="NO COTIZA">
      <formula>NOT(ISERROR(SEARCH("NO COTIZA",DC11)))</formula>
    </cfRule>
  </conditionalFormatting>
  <conditionalFormatting sqref="DC52:DE52">
    <cfRule type="containsText" dxfId="483" priority="493" operator="containsText" text="NO COTIZA">
      <formula>NOT(ISERROR(SEARCH("NO COTIZA",DC52)))</formula>
    </cfRule>
  </conditionalFormatting>
  <conditionalFormatting sqref="DD11">
    <cfRule type="containsText" dxfId="482" priority="497" operator="containsText" text="NO COTIZA">
      <formula>NOT(ISERROR(SEARCH("NO COTIZA",DD11)))</formula>
    </cfRule>
    <cfRule type="containsText" dxfId="481" priority="498" operator="containsText" text="NO APLICA">
      <formula>NOT(ISERROR(SEARCH("NO APLICA",DD11)))</formula>
    </cfRule>
    <cfRule type="containsText" dxfId="480" priority="499" operator="containsText" text="VALOR ATÍPICO">
      <formula>NOT(ISERROR(SEARCH("VALOR ATÍPICO",DD11)))</formula>
    </cfRule>
    <cfRule type="containsText" dxfId="479" priority="500" stopIfTrue="1" operator="containsText" text="COTIZA">
      <formula>NOT(ISERROR(SEARCH("COTIZA",DD11)))</formula>
    </cfRule>
  </conditionalFormatting>
  <conditionalFormatting sqref="DD52">
    <cfRule type="containsText" dxfId="478" priority="489" operator="containsText" text="NO COTIZA">
      <formula>NOT(ISERROR(SEARCH("NO COTIZA",DD52)))</formula>
    </cfRule>
    <cfRule type="containsText" dxfId="477" priority="490" operator="containsText" text="NO APLICA">
      <formula>NOT(ISERROR(SEARCH("NO APLICA",DD52)))</formula>
    </cfRule>
    <cfRule type="containsText" dxfId="476" priority="491" operator="containsText" text="VALOR ATÍPICO">
      <formula>NOT(ISERROR(SEARCH("VALOR ATÍPICO",DD52)))</formula>
    </cfRule>
    <cfRule type="containsText" dxfId="475" priority="492" stopIfTrue="1" operator="containsText" text="COTIZA">
      <formula>NOT(ISERROR(SEARCH("COTIZA",DD52)))</formula>
    </cfRule>
  </conditionalFormatting>
  <conditionalFormatting sqref="DF12:DF13">
    <cfRule type="cellIs" dxfId="474" priority="468" operator="equal">
      <formula>"NO COTIZA"</formula>
    </cfRule>
    <cfRule type="containsText" dxfId="473" priority="469" stopIfTrue="1" operator="containsText" text="COTIZA">
      <formula>NOT(ISERROR(SEARCH("COTIZA",DF12)))</formula>
    </cfRule>
  </conditionalFormatting>
  <conditionalFormatting sqref="DF4:DH11">
    <cfRule type="containsText" dxfId="472" priority="459" operator="containsText" text="NO COTIZA">
      <formula>NOT(ISERROR(SEARCH("NO COTIZA",DF4)))</formula>
    </cfRule>
    <cfRule type="cellIs" dxfId="471" priority="460" operator="equal">
      <formula>"NO COTIZA"</formula>
    </cfRule>
    <cfRule type="containsText" dxfId="470" priority="461" stopIfTrue="1" operator="containsText" text="COTIZA">
      <formula>NOT(ISERROR(SEARCH("COTIZA",DF4)))</formula>
    </cfRule>
  </conditionalFormatting>
  <conditionalFormatting sqref="DF12:DH63">
    <cfRule type="containsText" dxfId="469" priority="466" operator="containsText" text="NO COTIZA">
      <formula>NOT(ISERROR(SEARCH("NO COTIZA",DF12)))</formula>
    </cfRule>
  </conditionalFormatting>
  <conditionalFormatting sqref="DG12:DG13">
    <cfRule type="containsText" dxfId="468" priority="462" operator="containsText" text="NO COTIZA">
      <formula>NOT(ISERROR(SEARCH("NO COTIZA",DG12)))</formula>
    </cfRule>
    <cfRule type="containsText" dxfId="467" priority="463" operator="containsText" text="NO APLICA">
      <formula>NOT(ISERROR(SEARCH("NO APLICA",DG12)))</formula>
    </cfRule>
    <cfRule type="containsText" dxfId="466" priority="464" operator="containsText" text="VALOR ATÍPICO">
      <formula>NOT(ISERROR(SEARCH("VALOR ATÍPICO",DG12)))</formula>
    </cfRule>
    <cfRule type="containsText" dxfId="465" priority="465" stopIfTrue="1" operator="containsText" text="COTIZA">
      <formula>NOT(ISERROR(SEARCH("COTIZA",DG12)))</formula>
    </cfRule>
  </conditionalFormatting>
  <conditionalFormatting sqref="DI4:DK63">
    <cfRule type="cellIs" dxfId="464" priority="310" operator="equal">
      <formula>"NO COTIZA"</formula>
    </cfRule>
    <cfRule type="containsText" dxfId="463" priority="311" stopIfTrue="1" operator="containsText" text="COTIZA">
      <formula>NOT(ISERROR(SEARCH("COTIZA",DI4)))</formula>
    </cfRule>
  </conditionalFormatting>
  <conditionalFormatting sqref="DI4:DQ63">
    <cfRule type="containsText" dxfId="462" priority="96" operator="containsText" text="NO COTIZA">
      <formula>NOT(ISERROR(SEARCH("NO COTIZA",DI4)))</formula>
    </cfRule>
  </conditionalFormatting>
  <conditionalFormatting sqref="DL4:DN60">
    <cfRule type="cellIs" dxfId="461" priority="394" operator="equal">
      <formula>"NO COTIZA"</formula>
    </cfRule>
    <cfRule type="containsText" dxfId="460" priority="395" stopIfTrue="1" operator="containsText" text="COTIZA">
      <formula>NOT(ISERROR(SEARCH("COTIZA",DL4)))</formula>
    </cfRule>
  </conditionalFormatting>
  <conditionalFormatting sqref="DL61:DN61">
    <cfRule type="containsText" dxfId="459" priority="94" operator="containsText" text="NO APLICA">
      <formula>NOT(ISERROR(SEARCH("NO APLICA",DL61)))</formula>
    </cfRule>
    <cfRule type="containsText" dxfId="458" priority="95" operator="containsText" text="VALOR ATÍPICO">
      <formula>NOT(ISERROR(SEARCH("VALOR ATÍPICO",DL61)))</formula>
    </cfRule>
    <cfRule type="containsText" dxfId="457" priority="97" stopIfTrue="1" operator="containsText" text="COTIZA">
      <formula>NOT(ISERROR(SEARCH("COTIZA",DL61)))</formula>
    </cfRule>
  </conditionalFormatting>
  <conditionalFormatting sqref="DO4:DQ17">
    <cfRule type="cellIs" dxfId="456" priority="389" operator="equal">
      <formula>"NO COTIZA"</formula>
    </cfRule>
    <cfRule type="containsText" dxfId="455" priority="390" stopIfTrue="1" operator="containsText" text="COTIZA">
      <formula>NOT(ISERROR(SEARCH("COTIZA",DO4)))</formula>
    </cfRule>
  </conditionalFormatting>
  <conditionalFormatting sqref="DR4:DT63">
    <cfRule type="containsText" dxfId="454" priority="92" operator="containsText" text="NO COTIZA">
      <formula>NOT(ISERROR(SEARCH("NO COTIZA",DR4)))</formula>
    </cfRule>
  </conditionalFormatting>
  <conditionalFormatting sqref="DR58:DT58 DR60:DT60 DR63:DT63">
    <cfRule type="containsText" dxfId="453" priority="90" operator="containsText" text="NO APLICA">
      <formula>NOT(ISERROR(SEARCH("NO APLICA",DR58)))</formula>
    </cfRule>
    <cfRule type="containsText" dxfId="452" priority="91" operator="containsText" text="VALOR ATÍPICO">
      <formula>NOT(ISERROR(SEARCH("VALOR ATÍPICO",DR58)))</formula>
    </cfRule>
    <cfRule type="containsText" dxfId="451" priority="93" stopIfTrue="1" operator="containsText" text="COTIZA">
      <formula>NOT(ISERROR(SEARCH("COTIZA",DR58)))</formula>
    </cfRule>
  </conditionalFormatting>
  <conditionalFormatting sqref="DU4:DW52">
    <cfRule type="containsText" dxfId="450" priority="364" operator="containsText" text="NO COTIZA">
      <formula>NOT(ISERROR(SEARCH("NO COTIZA",DU4)))</formula>
    </cfRule>
    <cfRule type="cellIs" dxfId="449" priority="365" operator="equal">
      <formula>"NO COTIZA"</formula>
    </cfRule>
    <cfRule type="containsText" dxfId="448" priority="366" stopIfTrue="1" operator="containsText" text="COTIZA">
      <formula>NOT(ISERROR(SEARCH("COTIZA",DU4)))</formula>
    </cfRule>
  </conditionalFormatting>
  <conditionalFormatting sqref="DX21:DZ52">
    <cfRule type="containsText" dxfId="447" priority="385" operator="containsText" text="NO COTIZA">
      <formula>NOT(ISERROR(SEARCH("NO COTIZA",DX21)))</formula>
    </cfRule>
  </conditionalFormatting>
  <conditionalFormatting sqref="DX4:EC20">
    <cfRule type="containsText" dxfId="446" priority="318" operator="containsText" text="NO COTIZA">
      <formula>NOT(ISERROR(SEARCH("NO COTIZA",DX4)))</formula>
    </cfRule>
    <cfRule type="cellIs" dxfId="445" priority="319" operator="equal">
      <formula>"NO COTIZA"</formula>
    </cfRule>
    <cfRule type="containsText" dxfId="444" priority="320" stopIfTrue="1" operator="containsText" text="COTIZA">
      <formula>NOT(ISERROR(SEARCH("COTIZA",DX4)))</formula>
    </cfRule>
  </conditionalFormatting>
  <conditionalFormatting sqref="EA21:EC63 CT23:CV52 CN24:CP52 EG25:EI63 EJ39:EO63 AF40:AK52 CQ40:CS52 FE45:FP63 H49:S52 H53:AN63 CN53:DE63 DU53:DZ63 BS4:BX55 BP4:BR59 CW6:CY52 W11:Y52 AC11:AE52 BM14:BO55 DF14:DH63 DO23:DQ63 ED42:EF63 EV42:EX63 AO43:AQ63 EY43:FA63 EP52:EU63">
    <cfRule type="containsText" dxfId="443" priority="907" stopIfTrue="1" operator="containsText" text="COTIZA">
      <formula>NOT(ISERROR(SEARCH("COTIZA",H4)))</formula>
    </cfRule>
  </conditionalFormatting>
  <conditionalFormatting sqref="ED9">
    <cfRule type="cellIs" dxfId="442" priority="338" operator="equal">
      <formula>"NO COTIZA"</formula>
    </cfRule>
    <cfRule type="containsText" dxfId="441" priority="339" stopIfTrue="1" operator="containsText" text="COTIZA">
      <formula>NOT(ISERROR(SEARCH("COTIZA",ED9)))</formula>
    </cfRule>
  </conditionalFormatting>
  <conditionalFormatting sqref="ED13">
    <cfRule type="cellIs" dxfId="440" priority="346" operator="equal">
      <formula>"NO COTIZA"</formula>
    </cfRule>
    <cfRule type="containsText" dxfId="439" priority="347" stopIfTrue="1" operator="containsText" text="COTIZA">
      <formula>NOT(ISERROR(SEARCH("COTIZA",ED13)))</formula>
    </cfRule>
  </conditionalFormatting>
  <conditionalFormatting sqref="ED41">
    <cfRule type="cellIs" dxfId="438" priority="330" operator="equal">
      <formula>"NO COTIZA"</formula>
    </cfRule>
    <cfRule type="containsText" dxfId="437" priority="331" stopIfTrue="1" operator="containsText" text="COTIZA">
      <formula>NOT(ISERROR(SEARCH("COTIZA",ED41)))</formula>
    </cfRule>
  </conditionalFormatting>
  <conditionalFormatting sqref="ED4:EF8 DR4:DT57 ED10:EF12 DX21:DZ52 DR59:DT59 DR61:DT62">
    <cfRule type="cellIs" dxfId="436" priority="386" operator="equal">
      <formula>"NO COTIZA"</formula>
    </cfRule>
    <cfRule type="containsText" dxfId="435" priority="387" stopIfTrue="1" operator="containsText" text="COTIZA">
      <formula>NOT(ISERROR(SEARCH("COTIZA",DR4)))</formula>
    </cfRule>
  </conditionalFormatting>
  <conditionalFormatting sqref="ED4:EF9">
    <cfRule type="containsText" dxfId="434" priority="336" operator="containsText" text="NO COTIZA">
      <formula>NOT(ISERROR(SEARCH("NO COTIZA",ED4)))</formula>
    </cfRule>
  </conditionalFormatting>
  <conditionalFormatting sqref="ED10:EF13">
    <cfRule type="containsText" dxfId="433" priority="344" operator="containsText" text="NO COTIZA">
      <formula>NOT(ISERROR(SEARCH("NO COTIZA",ED10)))</formula>
    </cfRule>
  </conditionalFormatting>
  <conditionalFormatting sqref="ED14:EF40">
    <cfRule type="containsText" dxfId="432" priority="321" operator="containsText" text="NO COTIZA">
      <formula>NOT(ISERROR(SEARCH("NO COTIZA",ED14)))</formula>
    </cfRule>
    <cfRule type="cellIs" dxfId="431" priority="322" operator="equal">
      <formula>"NO COTIZA"</formula>
    </cfRule>
    <cfRule type="containsText" dxfId="430" priority="323" stopIfTrue="1" operator="containsText" text="COTIZA">
      <formula>NOT(ISERROR(SEARCH("COTIZA",ED14)))</formula>
    </cfRule>
  </conditionalFormatting>
  <conditionalFormatting sqref="ED41:EF63">
    <cfRule type="containsText" dxfId="429" priority="328" operator="containsText" text="NO COTIZA">
      <formula>NOT(ISERROR(SEARCH("NO COTIZA",ED41)))</formula>
    </cfRule>
  </conditionalFormatting>
  <conditionalFormatting sqref="EE9">
    <cfRule type="containsText" dxfId="428" priority="332" operator="containsText" text="NO COTIZA">
      <formula>NOT(ISERROR(SEARCH("NO COTIZA",EE9)))</formula>
    </cfRule>
    <cfRule type="containsText" dxfId="427" priority="333" operator="containsText" text="NO APLICA">
      <formula>NOT(ISERROR(SEARCH("NO APLICA",EE9)))</formula>
    </cfRule>
    <cfRule type="containsText" dxfId="426" priority="334" operator="containsText" text="VALOR ATÍPICO">
      <formula>NOT(ISERROR(SEARCH("VALOR ATÍPICO",EE9)))</formula>
    </cfRule>
    <cfRule type="containsText" dxfId="425" priority="335" stopIfTrue="1" operator="containsText" text="COTIZA">
      <formula>NOT(ISERROR(SEARCH("COTIZA",EE9)))</formula>
    </cfRule>
  </conditionalFormatting>
  <conditionalFormatting sqref="EE13">
    <cfRule type="containsText" dxfId="424" priority="340" operator="containsText" text="NO COTIZA">
      <formula>NOT(ISERROR(SEARCH("NO COTIZA",EE13)))</formula>
    </cfRule>
    <cfRule type="containsText" dxfId="423" priority="341" operator="containsText" text="NO APLICA">
      <formula>NOT(ISERROR(SEARCH("NO APLICA",EE13)))</formula>
    </cfRule>
    <cfRule type="containsText" dxfId="422" priority="342" operator="containsText" text="VALOR ATÍPICO">
      <formula>NOT(ISERROR(SEARCH("VALOR ATÍPICO",EE13)))</formula>
    </cfRule>
    <cfRule type="containsText" dxfId="421" priority="343" stopIfTrue="1" operator="containsText" text="COTIZA">
      <formula>NOT(ISERROR(SEARCH("COTIZA",EE13)))</formula>
    </cfRule>
  </conditionalFormatting>
  <conditionalFormatting sqref="EE41">
    <cfRule type="containsText" dxfId="420" priority="324" operator="containsText" text="NO COTIZA">
      <formula>NOT(ISERROR(SEARCH("NO COTIZA",EE41)))</formula>
    </cfRule>
    <cfRule type="containsText" dxfId="419" priority="325" operator="containsText" text="NO APLICA">
      <formula>NOT(ISERROR(SEARCH("NO APLICA",EE41)))</formula>
    </cfRule>
    <cfRule type="containsText" dxfId="418" priority="326" operator="containsText" text="VALOR ATÍPICO">
      <formula>NOT(ISERROR(SEARCH("VALOR ATÍPICO",EE41)))</formula>
    </cfRule>
    <cfRule type="containsText" dxfId="417" priority="327" stopIfTrue="1" operator="containsText" text="COTIZA">
      <formula>NOT(ISERROR(SEARCH("COTIZA",EE41)))</formula>
    </cfRule>
  </conditionalFormatting>
  <conditionalFormatting sqref="EG4:EI23">
    <cfRule type="containsText" dxfId="416" priority="67" operator="containsText" text="NO COTIZA">
      <formula>NOT(ISERROR(SEARCH("NO COTIZA",EG4)))</formula>
    </cfRule>
    <cfRule type="cellIs" dxfId="415" priority="68" operator="equal">
      <formula>"NO COTIZA"</formula>
    </cfRule>
    <cfRule type="containsText" dxfId="414" priority="69" stopIfTrue="1" operator="containsText" text="COTIZA">
      <formula>NOT(ISERROR(SEARCH("COTIZA",EG4)))</formula>
    </cfRule>
  </conditionalFormatting>
  <conditionalFormatting sqref="EG24:EI24">
    <cfRule type="containsText" dxfId="413" priority="70" operator="containsText" text="NO COTIZA">
      <formula>NOT(ISERROR(SEARCH("NO COTIZA",EG24)))</formula>
    </cfRule>
    <cfRule type="containsText" dxfId="412" priority="71" operator="containsText" text="NO APLICA">
      <formula>NOT(ISERROR(SEARCH("NO APLICA",EG24)))</formula>
    </cfRule>
    <cfRule type="containsText" dxfId="411" priority="72" operator="containsText" text="VALOR ATÍPICO">
      <formula>NOT(ISERROR(SEARCH("VALOR ATÍPICO",EG24)))</formula>
    </cfRule>
    <cfRule type="containsText" dxfId="410" priority="73" stopIfTrue="1" operator="containsText" text="COTIZA">
      <formula>NOT(ISERROR(SEARCH("COTIZA",EG24)))</formula>
    </cfRule>
  </conditionalFormatting>
  <conditionalFormatting sqref="EJ4:EL38">
    <cfRule type="containsText" dxfId="409" priority="1" operator="containsText" text="NO COTIZA">
      <formula>NOT(ISERROR(SEARCH("NO COTIZA",EJ4)))</formula>
    </cfRule>
    <cfRule type="cellIs" dxfId="408" priority="2" operator="equal">
      <formula>"NO COTIZA"</formula>
    </cfRule>
    <cfRule type="containsText" dxfId="407" priority="3" stopIfTrue="1" operator="containsText" text="COTIZA">
      <formula>NOT(ISERROR(SEARCH("COTIZA",EJ4)))</formula>
    </cfRule>
  </conditionalFormatting>
  <conditionalFormatting sqref="EM4:EO37">
    <cfRule type="cellIs" dxfId="406" priority="313" operator="equal">
      <formula>"NO COTIZA"</formula>
    </cfRule>
    <cfRule type="containsText" dxfId="405" priority="314" stopIfTrue="1" operator="containsText" text="COTIZA">
      <formula>NOT(ISERROR(SEARCH("COTIZA",EM4)))</formula>
    </cfRule>
  </conditionalFormatting>
  <conditionalFormatting sqref="EM4:EO38">
    <cfRule type="containsText" dxfId="404" priority="88" operator="containsText" text="NO COTIZA">
      <formula>NOT(ISERROR(SEARCH("NO COTIZA",EM4)))</formula>
    </cfRule>
  </conditionalFormatting>
  <conditionalFormatting sqref="EM38:EO38">
    <cfRule type="containsText" dxfId="403" priority="86" operator="containsText" text="NO APLICA">
      <formula>NOT(ISERROR(SEARCH("NO APLICA",EM38)))</formula>
    </cfRule>
    <cfRule type="containsText" dxfId="402" priority="87" operator="containsText" text="VALOR ATÍPICO">
      <formula>NOT(ISERROR(SEARCH("VALOR ATÍPICO",EM38)))</formula>
    </cfRule>
    <cfRule type="containsText" dxfId="401" priority="89" stopIfTrue="1" operator="containsText" text="COTIZA">
      <formula>NOT(ISERROR(SEARCH("COTIZA",EM38)))</formula>
    </cfRule>
  </conditionalFormatting>
  <conditionalFormatting sqref="EP50:ER51">
    <cfRule type="cellIs" dxfId="400" priority="301" operator="equal">
      <formula>"NO COTIZA"</formula>
    </cfRule>
    <cfRule type="containsText" dxfId="399" priority="302" stopIfTrue="1" operator="containsText" text="COTIZA">
      <formula>NOT(ISERROR(SEARCH("COTIZA",EP50)))</formula>
    </cfRule>
  </conditionalFormatting>
  <conditionalFormatting sqref="EP40:EU63">
    <cfRule type="containsText" dxfId="398" priority="84" operator="containsText" text="NO COTIZA">
      <formula>NOT(ISERROR(SEARCH("NO COTIZA",EP40)))</formula>
    </cfRule>
  </conditionalFormatting>
  <conditionalFormatting sqref="EP4:EX39 EP40:EU49">
    <cfRule type="cellIs" dxfId="397" priority="307" operator="equal">
      <formula>"NO COTIZA"</formula>
    </cfRule>
    <cfRule type="containsText" dxfId="396" priority="308" stopIfTrue="1" operator="containsText" text="COTIZA">
      <formula>NOT(ISERROR(SEARCH("COTIZA",EP4)))</formula>
    </cfRule>
  </conditionalFormatting>
  <conditionalFormatting sqref="EP4:EX39">
    <cfRule type="containsText" dxfId="395" priority="306" operator="containsText" text="NO COTIZA">
      <formula>NOT(ISERROR(SEARCH("NO COTIZA",EP4)))</formula>
    </cfRule>
  </conditionalFormatting>
  <conditionalFormatting sqref="ES50:EU50">
    <cfRule type="containsText" dxfId="394" priority="82" operator="containsText" text="NO APLICA">
      <formula>NOT(ISERROR(SEARCH("NO APLICA",ES50)))</formula>
    </cfRule>
    <cfRule type="containsText" dxfId="393" priority="83" operator="containsText" text="VALOR ATÍPICO">
      <formula>NOT(ISERROR(SEARCH("VALOR ATÍPICO",ES50)))</formula>
    </cfRule>
    <cfRule type="containsText" dxfId="392" priority="85" stopIfTrue="1" operator="containsText" text="COTIZA">
      <formula>NOT(ISERROR(SEARCH("COTIZA",ES50)))</formula>
    </cfRule>
  </conditionalFormatting>
  <conditionalFormatting sqref="ES51:EU51">
    <cfRule type="cellIs" dxfId="391" priority="295" operator="equal">
      <formula>"NO COTIZA"</formula>
    </cfRule>
    <cfRule type="containsText" dxfId="390" priority="296" stopIfTrue="1" operator="containsText" text="COTIZA">
      <formula>NOT(ISERROR(SEARCH("COTIZA",ES51)))</formula>
    </cfRule>
  </conditionalFormatting>
  <conditionalFormatting sqref="EV41">
    <cfRule type="cellIs" dxfId="389" priority="230" operator="equal">
      <formula>"NO COTIZA"</formula>
    </cfRule>
    <cfRule type="containsText" dxfId="388" priority="231" stopIfTrue="1" operator="containsText" text="COTIZA">
      <formula>NOT(ISERROR(SEARCH("COTIZA",EV41)))</formula>
    </cfRule>
  </conditionalFormatting>
  <conditionalFormatting sqref="EV40:EX40">
    <cfRule type="containsText" dxfId="387" priority="78" operator="containsText" text="NO APLICA">
      <formula>NOT(ISERROR(SEARCH("NO APLICA",EV40)))</formula>
    </cfRule>
    <cfRule type="containsText" dxfId="386" priority="79" operator="containsText" text="VALOR ATÍPICO">
      <formula>NOT(ISERROR(SEARCH("VALOR ATÍPICO",EV40)))</formula>
    </cfRule>
    <cfRule type="containsText" dxfId="385" priority="80" operator="containsText" text="NO COTIZA">
      <formula>NOT(ISERROR(SEARCH("NO COTIZA",EV40)))</formula>
    </cfRule>
    <cfRule type="containsText" dxfId="384" priority="81" stopIfTrue="1" operator="containsText" text="COTIZA">
      <formula>NOT(ISERROR(SEARCH("COTIZA",EV40)))</formula>
    </cfRule>
  </conditionalFormatting>
  <conditionalFormatting sqref="EV41:EX41">
    <cfRule type="containsText" dxfId="383" priority="228" operator="containsText" text="NO COTIZA">
      <formula>NOT(ISERROR(SEARCH("NO COTIZA",EV41)))</formula>
    </cfRule>
  </conditionalFormatting>
  <conditionalFormatting sqref="EV42:FA63">
    <cfRule type="containsText" dxfId="382" priority="282" operator="containsText" text="NO COTIZA">
      <formula>NOT(ISERROR(SEARCH("NO COTIZA",EV42)))</formula>
    </cfRule>
  </conditionalFormatting>
  <conditionalFormatting sqref="EW41">
    <cfRule type="containsText" dxfId="381" priority="224" operator="containsText" text="NO COTIZA">
      <formula>NOT(ISERROR(SEARCH("NO COTIZA",EW41)))</formula>
    </cfRule>
    <cfRule type="containsText" dxfId="380" priority="225" operator="containsText" text="NO APLICA">
      <formula>NOT(ISERROR(SEARCH("NO APLICA",EW41)))</formula>
    </cfRule>
    <cfRule type="containsText" dxfId="379" priority="226" operator="containsText" text="VALOR ATÍPICO">
      <formula>NOT(ISERROR(SEARCH("VALOR ATÍPICO",EW41)))</formula>
    </cfRule>
    <cfRule type="containsText" dxfId="378" priority="227" stopIfTrue="1" operator="containsText" text="COTIZA">
      <formula>NOT(ISERROR(SEARCH("COTIZA",EW41)))</formula>
    </cfRule>
  </conditionalFormatting>
  <conditionalFormatting sqref="EY42">
    <cfRule type="cellIs" dxfId="377" priority="284" operator="equal">
      <formula>"NO COTIZA"</formula>
    </cfRule>
    <cfRule type="containsText" dxfId="376" priority="285" stopIfTrue="1" operator="containsText" text="COTIZA">
      <formula>NOT(ISERROR(SEARCH("COTIZA",EY42)))</formula>
    </cfRule>
  </conditionalFormatting>
  <conditionalFormatting sqref="EY4:FA41">
    <cfRule type="containsText" dxfId="375" priority="275" operator="containsText" text="NO COTIZA">
      <formula>NOT(ISERROR(SEARCH("NO COTIZA",EY4)))</formula>
    </cfRule>
    <cfRule type="cellIs" dxfId="374" priority="276" operator="equal">
      <formula>"NO COTIZA"</formula>
    </cfRule>
    <cfRule type="containsText" dxfId="373" priority="277" stopIfTrue="1" operator="containsText" text="COTIZA">
      <formula>NOT(ISERROR(SEARCH("COTIZA",EY4)))</formula>
    </cfRule>
  </conditionalFormatting>
  <conditionalFormatting sqref="EZ42">
    <cfRule type="containsText" dxfId="372" priority="278" operator="containsText" text="NO COTIZA">
      <formula>NOT(ISERROR(SEARCH("NO COTIZA",EZ42)))</formula>
    </cfRule>
    <cfRule type="containsText" dxfId="371" priority="279" operator="containsText" text="NO APLICA">
      <formula>NOT(ISERROR(SEARCH("NO APLICA",EZ42)))</formula>
    </cfRule>
    <cfRule type="containsText" dxfId="370" priority="280" operator="containsText" text="VALOR ATÍPICO">
      <formula>NOT(ISERROR(SEARCH("VALOR ATÍPICO",EZ42)))</formula>
    </cfRule>
    <cfRule type="containsText" dxfId="369" priority="281" stopIfTrue="1" operator="containsText" text="COTIZA">
      <formula>NOT(ISERROR(SEARCH("COTIZA",EZ42)))</formula>
    </cfRule>
  </conditionalFormatting>
  <conditionalFormatting sqref="FB4:FD44">
    <cfRule type="cellIs" dxfId="368" priority="273" operator="equal">
      <formula>"NO COTIZA"</formula>
    </cfRule>
    <cfRule type="containsText" dxfId="367" priority="274" stopIfTrue="1" operator="containsText" text="COTIZA">
      <formula>NOT(ISERROR(SEARCH("COTIZA",FB4)))</formula>
    </cfRule>
  </conditionalFormatting>
  <conditionalFormatting sqref="FB4:FD63">
    <cfRule type="containsText" dxfId="366" priority="76" operator="containsText" text="NO COTIZA">
      <formula>NOT(ISERROR(SEARCH("NO COTIZA",FB4)))</formula>
    </cfRule>
  </conditionalFormatting>
  <conditionalFormatting sqref="FB45:FD45">
    <cfRule type="containsText" dxfId="365" priority="74" operator="containsText" text="NO APLICA">
      <formula>NOT(ISERROR(SEARCH("NO APLICA",FB45)))</formula>
    </cfRule>
    <cfRule type="containsText" dxfId="364" priority="75" operator="containsText" text="VALOR ATÍPICO">
      <formula>NOT(ISERROR(SEARCH("VALOR ATÍPICO",FB45)))</formula>
    </cfRule>
    <cfRule type="containsText" dxfId="363" priority="77" stopIfTrue="1" operator="containsText" text="COTIZA">
      <formula>NOT(ISERROR(SEARCH("COTIZA",FB45)))</formula>
    </cfRule>
  </conditionalFormatting>
  <conditionalFormatting sqref="FB46:FD63">
    <cfRule type="cellIs" dxfId="362" priority="200" operator="equal">
      <formula>"NO COTIZA"</formula>
    </cfRule>
    <cfRule type="containsText" dxfId="361" priority="201" stopIfTrue="1" operator="containsText" text="COTIZA">
      <formula>NOT(ISERROR(SEARCH("COTIZA",FB46)))</formula>
    </cfRule>
  </conditionalFormatting>
  <conditionalFormatting sqref="FE4:FG22 FE24:FG44">
    <cfRule type="containsText" dxfId="360" priority="265" operator="containsText" text="NO COTIZA">
      <formula>NOT(ISERROR(SEARCH("NO COTIZA",FE4)))</formula>
    </cfRule>
    <cfRule type="cellIs" dxfId="359" priority="266" operator="equal">
      <formula>"NO COTIZA"</formula>
    </cfRule>
    <cfRule type="containsText" dxfId="358" priority="267" stopIfTrue="1" operator="containsText" text="COTIZA">
      <formula>NOT(ISERROR(SEARCH("COTIZA",FE4)))</formula>
    </cfRule>
  </conditionalFormatting>
  <conditionalFormatting sqref="FE23:FG23">
    <cfRule type="containsText" dxfId="357" priority="268" operator="containsText" text="NO COTIZA">
      <formula>NOT(ISERROR(SEARCH("NO COTIZA",FE23)))</formula>
    </cfRule>
    <cfRule type="containsText" dxfId="356" priority="269" operator="containsText" text="NO APLICA">
      <formula>NOT(ISERROR(SEARCH("NO APLICA",FE23)))</formula>
    </cfRule>
    <cfRule type="containsText" dxfId="355" priority="270" operator="containsText" text="VALOR ATÍPICO">
      <formula>NOT(ISERROR(SEARCH("VALOR ATÍPICO",FE23)))</formula>
    </cfRule>
    <cfRule type="containsText" dxfId="354" priority="271" stopIfTrue="1" operator="containsText" text="COTIZA">
      <formula>NOT(ISERROR(SEARCH("COTIZA",FE23)))</formula>
    </cfRule>
  </conditionalFormatting>
  <conditionalFormatting sqref="FH4:FP43">
    <cfRule type="containsText" dxfId="353" priority="249" operator="containsText" text="NO COTIZA">
      <formula>NOT(ISERROR(SEARCH("NO COTIZA",FH4)))</formula>
    </cfRule>
    <cfRule type="cellIs" dxfId="352" priority="250" operator="equal">
      <formula>"NO COTIZA"</formula>
    </cfRule>
    <cfRule type="containsText" dxfId="351" priority="251" stopIfTrue="1" operator="containsText" text="COTIZA">
      <formula>NOT(ISERROR(SEARCH("COTIZA",FH4)))</formula>
    </cfRule>
  </conditionalFormatting>
  <conditionalFormatting sqref="FH44:FP44">
    <cfRule type="containsText" dxfId="350" priority="258" operator="containsText" text="NO COTIZA">
      <formula>NOT(ISERROR(SEARCH("NO COTIZA",FH44)))</formula>
    </cfRule>
    <cfRule type="containsText" dxfId="349" priority="259" operator="containsText" text="NO APLICA">
      <formula>NOT(ISERROR(SEARCH("NO APLICA",FH44)))</formula>
    </cfRule>
    <cfRule type="containsText" dxfId="348" priority="260" operator="containsText" text="VALOR ATÍPICO">
      <formula>NOT(ISERROR(SEARCH("VALOR ATÍPICO",FH44)))</formula>
    </cfRule>
    <cfRule type="containsText" dxfId="347" priority="261" stopIfTrue="1" operator="containsText" text="COTIZA">
      <formula>NOT(ISERROR(SEARCH("COTIZA",FH44)))</formula>
    </cfRule>
  </conditionalFormatting>
  <conditionalFormatting sqref="FQ4:FS63">
    <cfRule type="containsText" dxfId="346" priority="239" operator="containsText" text="NO COTIZA">
      <formula>NOT(ISERROR(SEARCH("NO COTIZA",FQ4)))</formula>
    </cfRule>
    <cfRule type="cellIs" dxfId="345" priority="240" operator="equal">
      <formula>"NO COTIZA"</formula>
    </cfRule>
    <cfRule type="containsText" dxfId="344" priority="241" stopIfTrue="1" operator="containsText" text="COTIZA">
      <formula>NOT(ISERROR(SEARCH("COTIZA",FQ4)))</formula>
    </cfRule>
  </conditionalFormatting>
  <conditionalFormatting sqref="FQ42:FS42">
    <cfRule type="containsText" dxfId="343" priority="238" operator="containsText" text="VALOR ATÍPICO">
      <formula>NOT(ISERROR(SEARCH("VALOR ATÍPICO",FQ42)))</formula>
    </cfRule>
  </conditionalFormatting>
  <conditionalFormatting sqref="FT4:FV62">
    <cfRule type="containsText" dxfId="342" priority="235" operator="containsText" text="NO COTIZA">
      <formula>NOT(ISERROR(SEARCH("NO COTIZA",FT4)))</formula>
    </cfRule>
    <cfRule type="cellIs" dxfId="341" priority="236" operator="equal">
      <formula>"NO COTIZA"</formula>
    </cfRule>
    <cfRule type="containsText" dxfId="340" priority="237" stopIfTrue="1" operator="containsText" text="COTIZA">
      <formula>NOT(ISERROR(SEARCH("COTIZA",FT4)))</formula>
    </cfRule>
  </conditionalFormatting>
  <printOptions horizontalCentered="1"/>
  <pageMargins left="0.25" right="0.25" top="0.75" bottom="0.75" header="0.3" footer="0.3"/>
  <pageSetup scale="72" firstPageNumber="0" orientation="landscape" verticalDpi="300"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tabColor theme="0"/>
  </sheetPr>
  <dimension ref="A1:JU105"/>
  <sheetViews>
    <sheetView view="pageBreakPreview" zoomScale="70" zoomScaleNormal="70" zoomScaleSheetLayoutView="70" workbookViewId="0">
      <pane xSplit="8" ySplit="3" topLeftCell="I99" activePane="bottomRight" state="frozen"/>
      <selection activeCell="C4" sqref="C4:L7"/>
      <selection pane="topRight" activeCell="C4" sqref="C4:L7"/>
      <selection pane="bottomLeft" activeCell="C4" sqref="C4:L7"/>
      <selection pane="bottomRight" activeCell="C4" sqref="C4:L7"/>
    </sheetView>
  </sheetViews>
  <sheetFormatPr baseColWidth="10" defaultColWidth="11.42578125" defaultRowHeight="15" x14ac:dyDescent="0.2"/>
  <cols>
    <col min="1" max="1" width="5" style="81" customWidth="1"/>
    <col min="2" max="2" width="6.7109375" style="84" customWidth="1"/>
    <col min="3" max="3" width="24.42578125" style="59" customWidth="1"/>
    <col min="4" max="4" width="22.28515625" style="189" customWidth="1"/>
    <col min="5" max="5" width="14.7109375" style="59" customWidth="1"/>
    <col min="6" max="6" width="88.42578125" style="81" customWidth="1"/>
    <col min="7" max="7" width="10.140625" style="81" customWidth="1"/>
    <col min="8" max="8" width="26.85546875" style="190" customWidth="1"/>
    <col min="9" max="9" width="19.85546875" style="191" hidden="1" customWidth="1"/>
    <col min="10" max="10" width="16.42578125" style="192" hidden="1" customWidth="1"/>
    <col min="11" max="11" width="18.85546875" style="193" hidden="1" customWidth="1"/>
    <col min="12" max="12" width="18.28515625" style="81" hidden="1" customWidth="1"/>
    <col min="13" max="13" width="18.28515625" style="192" hidden="1" customWidth="1"/>
    <col min="14" max="14" width="16.28515625" style="193" hidden="1" customWidth="1"/>
    <col min="15" max="15" width="16.28515625" style="81" hidden="1" customWidth="1"/>
    <col min="16" max="16" width="15.85546875" style="192" hidden="1" customWidth="1"/>
    <col min="17" max="17" width="18.85546875" style="193" hidden="1" customWidth="1"/>
    <col min="18" max="18" width="19" style="81" hidden="1" customWidth="1"/>
    <col min="19" max="19" width="16.42578125" style="192" hidden="1" customWidth="1"/>
    <col min="20" max="20" width="18.85546875" style="193" hidden="1" customWidth="1"/>
    <col min="21" max="21" width="19" style="81" hidden="1" customWidth="1"/>
    <col min="22" max="22" width="17" style="192" hidden="1" customWidth="1"/>
    <col min="23" max="23" width="18.85546875" style="193" hidden="1" customWidth="1"/>
    <col min="24" max="24" width="21.7109375" style="81" hidden="1" customWidth="1"/>
    <col min="25" max="25" width="18.7109375" style="192" hidden="1" customWidth="1"/>
    <col min="26" max="26" width="18.85546875" style="193" hidden="1" customWidth="1"/>
    <col min="27" max="27" width="18.28515625" style="81" hidden="1" customWidth="1"/>
    <col min="28" max="28" width="19.28515625" style="192" hidden="1" customWidth="1"/>
    <col min="29" max="29" width="18.85546875" style="193" hidden="1" customWidth="1"/>
    <col min="30" max="30" width="18" style="81" hidden="1" customWidth="1"/>
    <col min="31" max="31" width="18" style="192" hidden="1" customWidth="1"/>
    <col min="32" max="32" width="18" style="193" hidden="1" customWidth="1"/>
    <col min="33" max="33" width="18" style="81" hidden="1" customWidth="1"/>
    <col min="34" max="34" width="18" style="192" hidden="1" customWidth="1"/>
    <col min="35" max="35" width="18" style="193" hidden="1" customWidth="1"/>
    <col min="36" max="36" width="18" style="81" hidden="1" customWidth="1"/>
    <col min="37" max="37" width="18" style="192" hidden="1" customWidth="1"/>
    <col min="38" max="38" width="18" style="193" hidden="1" customWidth="1"/>
    <col min="39" max="39" width="18" style="81" hidden="1" customWidth="1"/>
    <col min="40" max="40" width="18" style="192" hidden="1" customWidth="1"/>
    <col min="41" max="41" width="18" style="193" hidden="1" customWidth="1"/>
    <col min="42" max="42" width="18" style="81" hidden="1" customWidth="1"/>
    <col min="43" max="43" width="18" style="192" hidden="1" customWidth="1"/>
    <col min="44" max="44" width="18" style="193" hidden="1" customWidth="1"/>
    <col min="45" max="45" width="18" style="81" hidden="1" customWidth="1"/>
    <col min="46" max="46" width="18" style="192" hidden="1" customWidth="1"/>
    <col min="47" max="48" width="18" style="81" hidden="1" customWidth="1"/>
    <col min="49" max="49" width="18" style="192" hidden="1" customWidth="1"/>
    <col min="50" max="50" width="18" style="193" hidden="1" customWidth="1"/>
    <col min="51" max="51" width="18" style="81" hidden="1" customWidth="1"/>
    <col min="52" max="52" width="18" style="192" hidden="1" customWidth="1"/>
    <col min="53" max="53" width="18" style="193" hidden="1" customWidth="1"/>
    <col min="54" max="54" width="18" style="81" hidden="1" customWidth="1"/>
    <col min="55" max="55" width="18" style="192" hidden="1" customWidth="1"/>
    <col min="56" max="56" width="18" style="193" hidden="1" customWidth="1"/>
    <col min="57" max="57" width="18" style="81" hidden="1" customWidth="1"/>
    <col min="58" max="58" width="18" style="192" hidden="1" customWidth="1"/>
    <col min="59" max="59" width="18" style="193" hidden="1" customWidth="1"/>
    <col min="60" max="60" width="18" style="81" hidden="1" customWidth="1"/>
    <col min="61" max="61" width="18" style="192" hidden="1" customWidth="1"/>
    <col min="62" max="62" width="18" style="193" hidden="1" customWidth="1"/>
    <col min="63" max="63" width="18" style="81" hidden="1" customWidth="1"/>
    <col min="64" max="64" width="18" style="192" hidden="1" customWidth="1"/>
    <col min="65" max="65" width="18" style="193" hidden="1" customWidth="1"/>
    <col min="66" max="66" width="18" style="81" hidden="1" customWidth="1"/>
    <col min="67" max="67" width="18" style="192" hidden="1" customWidth="1"/>
    <col min="68" max="68" width="18" style="193" hidden="1" customWidth="1"/>
    <col min="69" max="69" width="17.42578125" style="81" hidden="1" customWidth="1"/>
    <col min="70" max="70" width="17.42578125" style="192" hidden="1" customWidth="1"/>
    <col min="71" max="71" width="17.42578125" style="193" hidden="1" customWidth="1"/>
    <col min="72" max="72" width="17.42578125" style="81" hidden="1" customWidth="1"/>
    <col min="73" max="73" width="17.42578125" style="192" hidden="1" customWidth="1"/>
    <col min="74" max="74" width="17.42578125" style="193" hidden="1" customWidth="1"/>
    <col min="75" max="75" width="17.42578125" style="81" hidden="1" customWidth="1"/>
    <col min="76" max="76" width="17.42578125" style="192" hidden="1" customWidth="1"/>
    <col min="77" max="77" width="17.42578125" style="193" hidden="1" customWidth="1"/>
    <col min="78" max="78" width="17.42578125" style="81" hidden="1" customWidth="1"/>
    <col min="79" max="79" width="17.42578125" style="192" hidden="1" customWidth="1"/>
    <col min="80" max="80" width="17.42578125" style="193" hidden="1" customWidth="1"/>
    <col min="81" max="81" width="17.42578125" style="81" hidden="1" customWidth="1"/>
    <col min="82" max="82" width="17.42578125" style="192" hidden="1" customWidth="1"/>
    <col min="83" max="83" width="17.42578125" style="81" hidden="1" customWidth="1"/>
    <col min="84" max="85" width="17.42578125" style="192" hidden="1" customWidth="1"/>
    <col min="86" max="87" width="17.42578125" style="81" hidden="1" customWidth="1"/>
    <col min="88" max="88" width="17.42578125" style="192" hidden="1" customWidth="1"/>
    <col min="89" max="89" width="17.42578125" style="193" hidden="1" customWidth="1"/>
    <col min="90" max="90" width="17.42578125" style="81" hidden="1" customWidth="1"/>
    <col min="91" max="91" width="17.42578125" style="192" hidden="1" customWidth="1"/>
    <col min="92" max="93" width="17.42578125" style="81" hidden="1" customWidth="1"/>
    <col min="94" max="94" width="17.42578125" style="192" hidden="1" customWidth="1"/>
    <col min="95" max="96" width="17.42578125" style="81" hidden="1" customWidth="1"/>
    <col min="97" max="97" width="17.42578125" style="192" hidden="1" customWidth="1"/>
    <col min="98" max="98" width="17.42578125" style="193" hidden="1" customWidth="1"/>
    <col min="99" max="106" width="17.42578125" style="81" hidden="1" customWidth="1"/>
    <col min="107" max="107" width="17.42578125" style="193" hidden="1" customWidth="1"/>
    <col min="108" max="109" width="17.42578125" style="81" hidden="1" customWidth="1"/>
    <col min="110" max="110" width="17.42578125" style="193" hidden="1" customWidth="1"/>
    <col min="111" max="112" width="17.42578125" style="81" hidden="1" customWidth="1"/>
    <col min="113" max="113" width="17.42578125" style="193" hidden="1" customWidth="1"/>
    <col min="114" max="115" width="17.42578125" style="81" hidden="1" customWidth="1"/>
    <col min="116" max="116" width="17.42578125" style="193" hidden="1" customWidth="1"/>
    <col min="117" max="118" width="17.42578125" style="81" hidden="1" customWidth="1"/>
    <col min="119" max="119" width="17.42578125" style="193" hidden="1" customWidth="1"/>
    <col min="120" max="120" width="21.28515625" style="81" hidden="1" customWidth="1"/>
    <col min="121" max="121" width="18.42578125" style="192" hidden="1" customWidth="1"/>
    <col min="122" max="131" width="17.42578125" style="193" hidden="1" customWidth="1"/>
    <col min="132" max="133" width="17.42578125" style="81" hidden="1" customWidth="1"/>
    <col min="134" max="135" width="17.42578125" style="193" hidden="1" customWidth="1"/>
    <col min="136" max="136" width="17.42578125" style="81" hidden="1" customWidth="1"/>
    <col min="137" max="145" width="17.42578125" style="193" hidden="1" customWidth="1"/>
    <col min="146" max="146" width="19.85546875" style="193" hidden="1" customWidth="1"/>
    <col min="147" max="155" width="17.42578125" style="193" hidden="1" customWidth="1"/>
    <col min="156" max="158" width="17.42578125" style="81" hidden="1" customWidth="1"/>
    <col min="159" max="159" width="21.85546875" style="193" hidden="1" customWidth="1"/>
    <col min="160" max="160" width="14.85546875" style="193" hidden="1" customWidth="1"/>
    <col min="161" max="161" width="21.85546875" style="193" hidden="1" customWidth="1"/>
    <col min="162" max="273" width="17.42578125" style="193" hidden="1" customWidth="1"/>
    <col min="274" max="274" width="14.42578125" style="193" hidden="1" customWidth="1"/>
    <col min="275" max="275" width="17.42578125" style="193" hidden="1" customWidth="1"/>
    <col min="276" max="276" width="20.42578125" style="81" customWidth="1"/>
    <col min="277" max="277" width="19.85546875" style="81" customWidth="1"/>
    <col min="278" max="278" width="18.85546875" style="59" customWidth="1"/>
    <col min="279" max="279" width="18.7109375" style="194" customWidth="1"/>
    <col min="280" max="280" width="23.42578125" style="193" customWidth="1"/>
    <col min="281" max="281" width="18.7109375" style="196" customWidth="1"/>
    <col min="282" max="16384" width="11.42578125" style="24"/>
  </cols>
  <sheetData>
    <row r="1" spans="1:281" ht="17.850000000000001" customHeight="1" x14ac:dyDescent="0.2">
      <c r="A1" s="273" t="s">
        <v>375</v>
      </c>
      <c r="B1" s="274"/>
      <c r="C1" s="274"/>
      <c r="D1" s="274"/>
      <c r="E1" s="274"/>
      <c r="F1" s="275"/>
      <c r="G1" s="274"/>
      <c r="H1" s="276"/>
      <c r="I1" s="277" t="s">
        <v>376</v>
      </c>
      <c r="J1" s="277"/>
      <c r="K1" s="277"/>
      <c r="L1" s="278" t="s">
        <v>377</v>
      </c>
      <c r="M1" s="278"/>
      <c r="N1" s="278"/>
      <c r="O1" s="277" t="s">
        <v>378</v>
      </c>
      <c r="P1" s="277"/>
      <c r="Q1" s="277"/>
      <c r="R1" s="277" t="s">
        <v>379</v>
      </c>
      <c r="S1" s="277"/>
      <c r="T1" s="277"/>
      <c r="U1" s="277" t="s">
        <v>380</v>
      </c>
      <c r="V1" s="277"/>
      <c r="W1" s="277"/>
      <c r="X1" s="278" t="s">
        <v>381</v>
      </c>
      <c r="Y1" s="278"/>
      <c r="Z1" s="278"/>
      <c r="AA1" s="277" t="s">
        <v>382</v>
      </c>
      <c r="AB1" s="277"/>
      <c r="AC1" s="277"/>
      <c r="AD1" s="278" t="s">
        <v>383</v>
      </c>
      <c r="AE1" s="278"/>
      <c r="AF1" s="278"/>
      <c r="AG1" s="277" t="s">
        <v>384</v>
      </c>
      <c r="AH1" s="277"/>
      <c r="AI1" s="277"/>
      <c r="AJ1" s="278" t="s">
        <v>385</v>
      </c>
      <c r="AK1" s="278"/>
      <c r="AL1" s="278"/>
      <c r="AM1" s="277" t="s">
        <v>386</v>
      </c>
      <c r="AN1" s="277"/>
      <c r="AO1" s="277"/>
      <c r="AP1" s="278" t="s">
        <v>387</v>
      </c>
      <c r="AQ1" s="278"/>
      <c r="AR1" s="278"/>
      <c r="AS1" s="277" t="s">
        <v>388</v>
      </c>
      <c r="AT1" s="277"/>
      <c r="AU1" s="279"/>
      <c r="AV1" s="277" t="s">
        <v>389</v>
      </c>
      <c r="AW1" s="277"/>
      <c r="AX1" s="277"/>
      <c r="AY1" s="278" t="s">
        <v>390</v>
      </c>
      <c r="AZ1" s="278"/>
      <c r="BA1" s="278"/>
      <c r="BB1" s="277" t="s">
        <v>391</v>
      </c>
      <c r="BC1" s="277"/>
      <c r="BD1" s="277"/>
      <c r="BE1" s="278" t="s">
        <v>392</v>
      </c>
      <c r="BF1" s="278"/>
      <c r="BG1" s="278"/>
      <c r="BH1" s="277" t="s">
        <v>393</v>
      </c>
      <c r="BI1" s="277"/>
      <c r="BJ1" s="277"/>
      <c r="BK1" s="277" t="s">
        <v>396</v>
      </c>
      <c r="BL1" s="277"/>
      <c r="BM1" s="277"/>
      <c r="BN1" s="277" t="s">
        <v>397</v>
      </c>
      <c r="BO1" s="277"/>
      <c r="BP1" s="277"/>
      <c r="BQ1" s="278" t="s">
        <v>401</v>
      </c>
      <c r="BR1" s="278"/>
      <c r="BS1" s="278"/>
      <c r="BT1" s="278" t="s">
        <v>403</v>
      </c>
      <c r="BU1" s="278"/>
      <c r="BV1" s="278"/>
      <c r="BW1" s="278" t="s">
        <v>404</v>
      </c>
      <c r="BX1" s="278"/>
      <c r="BY1" s="278"/>
      <c r="BZ1" s="277" t="s">
        <v>405</v>
      </c>
      <c r="CA1" s="277"/>
      <c r="CB1" s="277"/>
      <c r="CC1" s="277" t="s">
        <v>406</v>
      </c>
      <c r="CD1" s="277"/>
      <c r="CE1" s="279"/>
      <c r="CF1" s="278" t="s">
        <v>407</v>
      </c>
      <c r="CG1" s="278"/>
      <c r="CH1" s="280"/>
      <c r="CI1" s="277" t="s">
        <v>408</v>
      </c>
      <c r="CJ1" s="277"/>
      <c r="CK1" s="277"/>
      <c r="CL1" s="278" t="s">
        <v>409</v>
      </c>
      <c r="CM1" s="278"/>
      <c r="CN1" s="280"/>
      <c r="CO1" s="277" t="s">
        <v>410</v>
      </c>
      <c r="CP1" s="277"/>
      <c r="CQ1" s="279"/>
      <c r="CR1" s="277" t="s">
        <v>411</v>
      </c>
      <c r="CS1" s="277"/>
      <c r="CT1" s="277"/>
      <c r="CU1" s="277" t="s">
        <v>413</v>
      </c>
      <c r="CV1" s="277"/>
      <c r="CW1" s="277"/>
      <c r="CX1" s="278" t="s">
        <v>414</v>
      </c>
      <c r="CY1" s="278"/>
      <c r="CZ1" s="278"/>
      <c r="DA1" s="278" t="s">
        <v>415</v>
      </c>
      <c r="DB1" s="278"/>
      <c r="DC1" s="278"/>
      <c r="DD1" s="278" t="s">
        <v>416</v>
      </c>
      <c r="DE1" s="278"/>
      <c r="DF1" s="278"/>
      <c r="DG1" s="277" t="s">
        <v>417</v>
      </c>
      <c r="DH1" s="277"/>
      <c r="DI1" s="277"/>
      <c r="DJ1" s="277" t="s">
        <v>419</v>
      </c>
      <c r="DK1" s="277"/>
      <c r="DL1" s="277"/>
      <c r="DM1" s="278" t="s">
        <v>420</v>
      </c>
      <c r="DN1" s="278"/>
      <c r="DO1" s="278"/>
      <c r="DP1" s="278" t="s">
        <v>421</v>
      </c>
      <c r="DQ1" s="278"/>
      <c r="DR1" s="278"/>
      <c r="DS1" s="277" t="s">
        <v>422</v>
      </c>
      <c r="DT1" s="277"/>
      <c r="DU1" s="277"/>
      <c r="DV1" s="277" t="s">
        <v>424</v>
      </c>
      <c r="DW1" s="277"/>
      <c r="DX1" s="277"/>
      <c r="DY1" s="277" t="s">
        <v>425</v>
      </c>
      <c r="DZ1" s="277"/>
      <c r="EA1" s="277"/>
      <c r="EB1" s="277" t="s">
        <v>427</v>
      </c>
      <c r="EC1" s="277"/>
      <c r="ED1" s="277"/>
      <c r="EE1" s="277" t="s">
        <v>428</v>
      </c>
      <c r="EF1" s="279"/>
      <c r="EG1" s="277"/>
      <c r="EH1" s="277" t="s">
        <v>429</v>
      </c>
      <c r="EI1" s="277"/>
      <c r="EJ1" s="277"/>
      <c r="EK1" s="278" t="s">
        <v>528</v>
      </c>
      <c r="EL1" s="278"/>
      <c r="EM1" s="278"/>
      <c r="EN1" s="277" t="s">
        <v>529</v>
      </c>
      <c r="EO1" s="277"/>
      <c r="EP1" s="277"/>
      <c r="EQ1" s="277" t="s">
        <v>530</v>
      </c>
      <c r="ER1" s="277"/>
      <c r="ES1" s="277"/>
      <c r="ET1" s="278" t="s">
        <v>531</v>
      </c>
      <c r="EU1" s="278"/>
      <c r="EV1" s="278"/>
      <c r="EW1" s="278" t="s">
        <v>532</v>
      </c>
      <c r="EX1" s="278"/>
      <c r="EY1" s="278"/>
      <c r="EZ1" s="277" t="s">
        <v>533</v>
      </c>
      <c r="FA1" s="277"/>
      <c r="FB1" s="277"/>
      <c r="FC1" s="278" t="s">
        <v>534</v>
      </c>
      <c r="FD1" s="278"/>
      <c r="FE1" s="278"/>
      <c r="FF1" s="277" t="s">
        <v>535</v>
      </c>
      <c r="FG1" s="277"/>
      <c r="FH1" s="277"/>
      <c r="FI1" s="278" t="s">
        <v>536</v>
      </c>
      <c r="FJ1" s="278"/>
      <c r="FK1" s="278"/>
      <c r="FL1" s="277" t="s">
        <v>537</v>
      </c>
      <c r="FM1" s="277"/>
      <c r="FN1" s="277"/>
      <c r="FO1" s="278" t="s">
        <v>538</v>
      </c>
      <c r="FP1" s="278"/>
      <c r="FQ1" s="278"/>
      <c r="FR1" s="277" t="s">
        <v>539</v>
      </c>
      <c r="FS1" s="277"/>
      <c r="FT1" s="277"/>
      <c r="FU1" s="278" t="s">
        <v>540</v>
      </c>
      <c r="FV1" s="278"/>
      <c r="FW1" s="278"/>
      <c r="FX1" s="278" t="s">
        <v>541</v>
      </c>
      <c r="FY1" s="278"/>
      <c r="FZ1" s="278"/>
      <c r="GA1" s="278" t="s">
        <v>542</v>
      </c>
      <c r="GB1" s="278"/>
      <c r="GC1" s="278"/>
      <c r="GD1" s="278" t="s">
        <v>543</v>
      </c>
      <c r="GE1" s="278"/>
      <c r="GF1" s="278"/>
      <c r="GG1" s="278" t="s">
        <v>544</v>
      </c>
      <c r="GH1" s="278"/>
      <c r="GI1" s="278"/>
      <c r="GJ1" s="278" t="s">
        <v>545</v>
      </c>
      <c r="GK1" s="278"/>
      <c r="GL1" s="278"/>
      <c r="GM1" s="278" t="s">
        <v>546</v>
      </c>
      <c r="GN1" s="278"/>
      <c r="GO1" s="278"/>
      <c r="GP1" s="278" t="s">
        <v>547</v>
      </c>
      <c r="GQ1" s="278"/>
      <c r="GR1" s="278"/>
      <c r="GS1" s="278" t="s">
        <v>548</v>
      </c>
      <c r="GT1" s="278"/>
      <c r="GU1" s="278"/>
      <c r="GV1" s="277" t="s">
        <v>549</v>
      </c>
      <c r="GW1" s="277"/>
      <c r="GX1" s="277"/>
      <c r="GY1" s="281" t="s">
        <v>550</v>
      </c>
      <c r="GZ1" s="282"/>
      <c r="HA1" s="281"/>
      <c r="HB1" s="281" t="s">
        <v>551</v>
      </c>
      <c r="HC1" s="282"/>
      <c r="HD1" s="281"/>
      <c r="HE1" s="281" t="s">
        <v>552</v>
      </c>
      <c r="HF1" s="282"/>
      <c r="HG1" s="281"/>
      <c r="HH1" s="277" t="s">
        <v>553</v>
      </c>
      <c r="HI1" s="277"/>
      <c r="HJ1" s="277"/>
      <c r="HK1" s="277" t="s">
        <v>554</v>
      </c>
      <c r="HL1" s="277"/>
      <c r="HM1" s="277"/>
      <c r="HN1" s="277" t="s">
        <v>555</v>
      </c>
      <c r="HO1" s="277"/>
      <c r="HP1" s="277"/>
      <c r="HQ1" s="277" t="s">
        <v>556</v>
      </c>
      <c r="HR1" s="277"/>
      <c r="HS1" s="277"/>
      <c r="HT1" s="277" t="s">
        <v>557</v>
      </c>
      <c r="HU1" s="277"/>
      <c r="HV1" s="277"/>
      <c r="HW1" s="277" t="s">
        <v>558</v>
      </c>
      <c r="HX1" s="277"/>
      <c r="HY1" s="277"/>
      <c r="HZ1" s="277" t="s">
        <v>559</v>
      </c>
      <c r="IA1" s="277"/>
      <c r="IB1" s="277"/>
      <c r="IC1" s="277" t="s">
        <v>560</v>
      </c>
      <c r="ID1" s="277"/>
      <c r="IE1" s="277"/>
      <c r="IF1" s="277" t="s">
        <v>561</v>
      </c>
      <c r="IG1" s="277"/>
      <c r="IH1" s="277"/>
      <c r="II1" s="277" t="s">
        <v>562</v>
      </c>
      <c r="IJ1" s="277"/>
      <c r="IK1" s="277"/>
      <c r="IL1" s="277" t="s">
        <v>563</v>
      </c>
      <c r="IM1" s="277"/>
      <c r="IN1" s="277"/>
      <c r="IO1" s="277" t="s">
        <v>564</v>
      </c>
      <c r="IP1" s="277"/>
      <c r="IQ1" s="277"/>
      <c r="IR1" s="277" t="s">
        <v>565</v>
      </c>
      <c r="IS1" s="277"/>
      <c r="IT1" s="277"/>
      <c r="IU1" s="278" t="s">
        <v>566</v>
      </c>
      <c r="IV1" s="278"/>
      <c r="IW1" s="278"/>
      <c r="IX1" s="277" t="s">
        <v>567</v>
      </c>
      <c r="IY1" s="277"/>
      <c r="IZ1" s="277"/>
      <c r="JA1" s="277" t="s">
        <v>568</v>
      </c>
      <c r="JB1" s="277"/>
      <c r="JC1" s="277"/>
      <c r="JD1" s="277" t="s">
        <v>569</v>
      </c>
      <c r="JE1" s="277"/>
      <c r="JF1" s="277"/>
      <c r="JG1" s="277" t="s">
        <v>570</v>
      </c>
      <c r="JH1" s="277"/>
      <c r="JI1" s="277"/>
      <c r="JJ1" s="278" t="s">
        <v>571</v>
      </c>
      <c r="JK1" s="278"/>
      <c r="JL1" s="278"/>
      <c r="JM1" s="278" t="s">
        <v>572</v>
      </c>
      <c r="JN1" s="278"/>
      <c r="JO1" s="278"/>
      <c r="JP1" s="283" t="s">
        <v>573</v>
      </c>
      <c r="JQ1" s="255" t="s">
        <v>574</v>
      </c>
      <c r="JR1" s="266" t="s">
        <v>433</v>
      </c>
      <c r="JS1" s="286" t="s">
        <v>434</v>
      </c>
      <c r="JT1" s="199" t="s">
        <v>435</v>
      </c>
      <c r="JU1" s="86"/>
    </row>
    <row r="2" spans="1:281" ht="107.25" customHeight="1" x14ac:dyDescent="0.2">
      <c r="A2" s="197" t="s">
        <v>575</v>
      </c>
      <c r="B2" s="198"/>
      <c r="C2" s="198"/>
      <c r="D2" s="198"/>
      <c r="E2" s="198"/>
      <c r="F2" s="198"/>
      <c r="G2" s="198"/>
      <c r="H2" s="198"/>
      <c r="I2" s="288" t="s">
        <v>576</v>
      </c>
      <c r="J2" s="288"/>
      <c r="K2" s="288"/>
      <c r="L2" s="289" t="s">
        <v>577</v>
      </c>
      <c r="M2" s="289"/>
      <c r="N2" s="289"/>
      <c r="O2" s="288" t="s">
        <v>578</v>
      </c>
      <c r="P2" s="288"/>
      <c r="Q2" s="288"/>
      <c r="R2" s="288" t="s">
        <v>579</v>
      </c>
      <c r="S2" s="288"/>
      <c r="T2" s="288"/>
      <c r="U2" s="288" t="s">
        <v>580</v>
      </c>
      <c r="V2" s="288"/>
      <c r="W2" s="288"/>
      <c r="X2" s="289" t="s">
        <v>581</v>
      </c>
      <c r="Y2" s="289"/>
      <c r="Z2" s="289"/>
      <c r="AA2" s="288" t="s">
        <v>582</v>
      </c>
      <c r="AB2" s="288"/>
      <c r="AC2" s="288"/>
      <c r="AD2" s="289" t="s">
        <v>583</v>
      </c>
      <c r="AE2" s="289"/>
      <c r="AF2" s="289"/>
      <c r="AG2" s="288" t="s">
        <v>584</v>
      </c>
      <c r="AH2" s="288"/>
      <c r="AI2" s="288"/>
      <c r="AJ2" s="289" t="s">
        <v>585</v>
      </c>
      <c r="AK2" s="289"/>
      <c r="AL2" s="289"/>
      <c r="AM2" s="288" t="s">
        <v>586</v>
      </c>
      <c r="AN2" s="288"/>
      <c r="AO2" s="288"/>
      <c r="AP2" s="289" t="s">
        <v>587</v>
      </c>
      <c r="AQ2" s="289"/>
      <c r="AR2" s="289"/>
      <c r="AS2" s="288" t="s">
        <v>588</v>
      </c>
      <c r="AT2" s="288"/>
      <c r="AU2" s="290"/>
      <c r="AV2" s="288" t="s">
        <v>589</v>
      </c>
      <c r="AW2" s="288"/>
      <c r="AX2" s="288"/>
      <c r="AY2" s="291" t="s">
        <v>590</v>
      </c>
      <c r="AZ2" s="291"/>
      <c r="BA2" s="291"/>
      <c r="BB2" s="288" t="s">
        <v>591</v>
      </c>
      <c r="BC2" s="288"/>
      <c r="BD2" s="288"/>
      <c r="BE2" s="289" t="s">
        <v>592</v>
      </c>
      <c r="BF2" s="289"/>
      <c r="BG2" s="289"/>
      <c r="BH2" s="295" t="s">
        <v>593</v>
      </c>
      <c r="BI2" s="295"/>
      <c r="BJ2" s="295"/>
      <c r="BK2" s="288" t="s">
        <v>594</v>
      </c>
      <c r="BL2" s="288"/>
      <c r="BM2" s="288"/>
      <c r="BN2" s="288" t="s">
        <v>595</v>
      </c>
      <c r="BO2" s="288"/>
      <c r="BP2" s="288"/>
      <c r="BQ2" s="289" t="s">
        <v>596</v>
      </c>
      <c r="BR2" s="289"/>
      <c r="BS2" s="289"/>
      <c r="BT2" s="289" t="s">
        <v>597</v>
      </c>
      <c r="BU2" s="289"/>
      <c r="BV2" s="289"/>
      <c r="BW2" s="289" t="s">
        <v>490</v>
      </c>
      <c r="BX2" s="289"/>
      <c r="BY2" s="289"/>
      <c r="BZ2" s="288" t="s">
        <v>598</v>
      </c>
      <c r="CA2" s="288"/>
      <c r="CB2" s="288"/>
      <c r="CC2" s="292" t="s">
        <v>599</v>
      </c>
      <c r="CD2" s="288"/>
      <c r="CE2" s="290"/>
      <c r="CF2" s="293" t="s">
        <v>600</v>
      </c>
      <c r="CG2" s="289"/>
      <c r="CH2" s="294"/>
      <c r="CI2" s="288" t="s">
        <v>491</v>
      </c>
      <c r="CJ2" s="288"/>
      <c r="CK2" s="288"/>
      <c r="CL2" s="289" t="s">
        <v>492</v>
      </c>
      <c r="CM2" s="289"/>
      <c r="CN2" s="294"/>
      <c r="CO2" s="288" t="s">
        <v>601</v>
      </c>
      <c r="CP2" s="288"/>
      <c r="CQ2" s="290"/>
      <c r="CR2" s="288" t="s">
        <v>602</v>
      </c>
      <c r="CS2" s="288"/>
      <c r="CT2" s="288"/>
      <c r="CU2" s="289" t="s">
        <v>603</v>
      </c>
      <c r="CV2" s="289"/>
      <c r="CW2" s="289"/>
      <c r="CX2" s="289" t="s">
        <v>604</v>
      </c>
      <c r="CY2" s="289"/>
      <c r="CZ2" s="289"/>
      <c r="DA2" s="289" t="s">
        <v>605</v>
      </c>
      <c r="DB2" s="289"/>
      <c r="DC2" s="289"/>
      <c r="DD2" s="289" t="s">
        <v>606</v>
      </c>
      <c r="DE2" s="289"/>
      <c r="DF2" s="289"/>
      <c r="DG2" s="288" t="s">
        <v>607</v>
      </c>
      <c r="DH2" s="288"/>
      <c r="DI2" s="288"/>
      <c r="DJ2" s="288" t="s">
        <v>608</v>
      </c>
      <c r="DK2" s="288"/>
      <c r="DL2" s="288"/>
      <c r="DM2" s="289" t="s">
        <v>609</v>
      </c>
      <c r="DN2" s="289"/>
      <c r="DO2" s="289"/>
      <c r="DP2" s="289" t="s">
        <v>610</v>
      </c>
      <c r="DQ2" s="289"/>
      <c r="DR2" s="289"/>
      <c r="DS2" s="288" t="s">
        <v>611</v>
      </c>
      <c r="DT2" s="288"/>
      <c r="DU2" s="288"/>
      <c r="DV2" s="288" t="s">
        <v>612</v>
      </c>
      <c r="DW2" s="288"/>
      <c r="DX2" s="288"/>
      <c r="DY2" s="288" t="s">
        <v>613</v>
      </c>
      <c r="DZ2" s="288"/>
      <c r="EA2" s="288"/>
      <c r="EB2" s="288" t="s">
        <v>614</v>
      </c>
      <c r="EC2" s="288"/>
      <c r="ED2" s="288"/>
      <c r="EE2" s="288" t="s">
        <v>615</v>
      </c>
      <c r="EF2" s="290"/>
      <c r="EG2" s="288"/>
      <c r="EH2" s="288" t="s">
        <v>616</v>
      </c>
      <c r="EI2" s="288"/>
      <c r="EJ2" s="288"/>
      <c r="EK2" s="289" t="s">
        <v>617</v>
      </c>
      <c r="EL2" s="289"/>
      <c r="EM2" s="289"/>
      <c r="EN2" s="288" t="s">
        <v>618</v>
      </c>
      <c r="EO2" s="288"/>
      <c r="EP2" s="288"/>
      <c r="EQ2" s="288" t="s">
        <v>619</v>
      </c>
      <c r="ER2" s="288"/>
      <c r="ES2" s="288"/>
      <c r="ET2" s="289" t="s">
        <v>620</v>
      </c>
      <c r="EU2" s="289"/>
      <c r="EV2" s="289"/>
      <c r="EW2" s="289" t="s">
        <v>621</v>
      </c>
      <c r="EX2" s="289"/>
      <c r="EY2" s="289"/>
      <c r="EZ2" s="288" t="s">
        <v>622</v>
      </c>
      <c r="FA2" s="288"/>
      <c r="FB2" s="288"/>
      <c r="FC2" s="289" t="s">
        <v>623</v>
      </c>
      <c r="FD2" s="289"/>
      <c r="FE2" s="289"/>
      <c r="FF2" s="288" t="s">
        <v>624</v>
      </c>
      <c r="FG2" s="288"/>
      <c r="FH2" s="288"/>
      <c r="FI2" s="289" t="s">
        <v>625</v>
      </c>
      <c r="FJ2" s="289"/>
      <c r="FK2" s="289"/>
      <c r="FL2" s="288" t="s">
        <v>626</v>
      </c>
      <c r="FM2" s="288"/>
      <c r="FN2" s="288"/>
      <c r="FO2" s="289" t="s">
        <v>627</v>
      </c>
      <c r="FP2" s="289"/>
      <c r="FQ2" s="289"/>
      <c r="FR2" s="288" t="s">
        <v>461</v>
      </c>
      <c r="FS2" s="288"/>
      <c r="FT2" s="288"/>
      <c r="FU2" s="289" t="s">
        <v>628</v>
      </c>
      <c r="FV2" s="289"/>
      <c r="FW2" s="289"/>
      <c r="FX2" s="289" t="s">
        <v>464</v>
      </c>
      <c r="FY2" s="289"/>
      <c r="FZ2" s="289"/>
      <c r="GA2" s="289" t="s">
        <v>629</v>
      </c>
      <c r="GB2" s="289"/>
      <c r="GC2" s="289"/>
      <c r="GD2" s="289" t="s">
        <v>630</v>
      </c>
      <c r="GE2" s="289"/>
      <c r="GF2" s="289"/>
      <c r="GG2" s="289" t="s">
        <v>631</v>
      </c>
      <c r="GH2" s="289"/>
      <c r="GI2" s="289"/>
      <c r="GJ2" s="289" t="s">
        <v>632</v>
      </c>
      <c r="GK2" s="289"/>
      <c r="GL2" s="289"/>
      <c r="GM2" s="289" t="s">
        <v>633</v>
      </c>
      <c r="GN2" s="289"/>
      <c r="GO2" s="289"/>
      <c r="GP2" s="289" t="s">
        <v>634</v>
      </c>
      <c r="GQ2" s="289"/>
      <c r="GR2" s="289"/>
      <c r="GS2" s="289" t="s">
        <v>635</v>
      </c>
      <c r="GT2" s="294"/>
      <c r="GU2" s="289"/>
      <c r="GV2" s="288" t="s">
        <v>636</v>
      </c>
      <c r="GW2" s="290"/>
      <c r="GX2" s="288"/>
      <c r="GY2" s="288" t="s">
        <v>637</v>
      </c>
      <c r="GZ2" s="290"/>
      <c r="HA2" s="288"/>
      <c r="HB2" s="296" t="s">
        <v>638</v>
      </c>
      <c r="HC2" s="297"/>
      <c r="HD2" s="296"/>
      <c r="HE2" s="296" t="s">
        <v>639</v>
      </c>
      <c r="HF2" s="297"/>
      <c r="HG2" s="296"/>
      <c r="HH2" s="289" t="s">
        <v>640</v>
      </c>
      <c r="HI2" s="289"/>
      <c r="HJ2" s="289"/>
      <c r="HK2" s="288" t="s">
        <v>641</v>
      </c>
      <c r="HL2" s="288"/>
      <c r="HM2" s="288"/>
      <c r="HN2" s="289" t="s">
        <v>642</v>
      </c>
      <c r="HO2" s="289"/>
      <c r="HP2" s="289"/>
      <c r="HQ2" s="288" t="s">
        <v>643</v>
      </c>
      <c r="HR2" s="288"/>
      <c r="HS2" s="288"/>
      <c r="HT2" s="288" t="s">
        <v>644</v>
      </c>
      <c r="HU2" s="288"/>
      <c r="HV2" s="288"/>
      <c r="HW2" s="288" t="s">
        <v>482</v>
      </c>
      <c r="HX2" s="288"/>
      <c r="HY2" s="288"/>
      <c r="HZ2" s="288" t="s">
        <v>645</v>
      </c>
      <c r="IA2" s="288"/>
      <c r="IB2" s="288"/>
      <c r="IC2" s="288" t="s">
        <v>646</v>
      </c>
      <c r="ID2" s="288"/>
      <c r="IE2" s="288"/>
      <c r="IF2" s="288" t="s">
        <v>647</v>
      </c>
      <c r="IG2" s="288"/>
      <c r="IH2" s="288"/>
      <c r="II2" s="288" t="s">
        <v>648</v>
      </c>
      <c r="IJ2" s="288"/>
      <c r="IK2" s="288"/>
      <c r="IL2" s="288" t="s">
        <v>649</v>
      </c>
      <c r="IM2" s="288"/>
      <c r="IN2" s="288"/>
      <c r="IO2" s="288" t="s">
        <v>650</v>
      </c>
      <c r="IP2" s="288"/>
      <c r="IQ2" s="288"/>
      <c r="IR2" s="288" t="s">
        <v>651</v>
      </c>
      <c r="IS2" s="288"/>
      <c r="IT2" s="288"/>
      <c r="IU2" s="288" t="s">
        <v>652</v>
      </c>
      <c r="IV2" s="288"/>
      <c r="IW2" s="288"/>
      <c r="IX2" s="288" t="s">
        <v>653</v>
      </c>
      <c r="IY2" s="288"/>
      <c r="IZ2" s="288"/>
      <c r="JA2" s="288" t="s">
        <v>654</v>
      </c>
      <c r="JB2" s="288"/>
      <c r="JC2" s="288"/>
      <c r="JD2" s="288" t="s">
        <v>655</v>
      </c>
      <c r="JE2" s="288"/>
      <c r="JF2" s="288"/>
      <c r="JG2" s="288" t="s">
        <v>656</v>
      </c>
      <c r="JH2" s="288"/>
      <c r="JI2" s="288"/>
      <c r="JJ2" s="289" t="s">
        <v>657</v>
      </c>
      <c r="JK2" s="289"/>
      <c r="JL2" s="289"/>
      <c r="JM2" s="289" t="s">
        <v>658</v>
      </c>
      <c r="JN2" s="289"/>
      <c r="JO2" s="289"/>
      <c r="JP2" s="284"/>
      <c r="JQ2" s="256"/>
      <c r="JR2" s="285"/>
      <c r="JS2" s="287"/>
      <c r="JT2" s="200"/>
      <c r="JU2" s="86"/>
    </row>
    <row r="3" spans="1:281" s="38" customFormat="1" ht="48" customHeight="1" thickBot="1" x14ac:dyDescent="0.25">
      <c r="A3" s="87" t="s">
        <v>0</v>
      </c>
      <c r="B3" s="87" t="s">
        <v>659</v>
      </c>
      <c r="C3" s="88" t="s">
        <v>10</v>
      </c>
      <c r="D3" s="88" t="s">
        <v>494</v>
      </c>
      <c r="E3" s="88" t="s">
        <v>495</v>
      </c>
      <c r="F3" s="88" t="s">
        <v>496</v>
      </c>
      <c r="G3" s="88" t="s">
        <v>4</v>
      </c>
      <c r="H3" s="89" t="s">
        <v>497</v>
      </c>
      <c r="I3" s="90" t="s">
        <v>498</v>
      </c>
      <c r="J3" s="91" t="s">
        <v>499</v>
      </c>
      <c r="K3" s="90" t="s">
        <v>500</v>
      </c>
      <c r="L3" s="92" t="s">
        <v>498</v>
      </c>
      <c r="M3" s="93" t="s">
        <v>499</v>
      </c>
      <c r="N3" s="92" t="s">
        <v>500</v>
      </c>
      <c r="O3" s="90" t="s">
        <v>498</v>
      </c>
      <c r="P3" s="91" t="s">
        <v>499</v>
      </c>
      <c r="Q3" s="90" t="s">
        <v>500</v>
      </c>
      <c r="R3" s="90" t="s">
        <v>498</v>
      </c>
      <c r="S3" s="91" t="s">
        <v>499</v>
      </c>
      <c r="T3" s="90" t="s">
        <v>500</v>
      </c>
      <c r="U3" s="90" t="s">
        <v>498</v>
      </c>
      <c r="V3" s="91" t="s">
        <v>660</v>
      </c>
      <c r="W3" s="90" t="s">
        <v>500</v>
      </c>
      <c r="X3" s="92" t="s">
        <v>498</v>
      </c>
      <c r="Y3" s="93" t="s">
        <v>499</v>
      </c>
      <c r="Z3" s="92" t="s">
        <v>500</v>
      </c>
      <c r="AA3" s="90" t="s">
        <v>498</v>
      </c>
      <c r="AB3" s="91" t="s">
        <v>499</v>
      </c>
      <c r="AC3" s="90" t="s">
        <v>500</v>
      </c>
      <c r="AD3" s="92" t="s">
        <v>498</v>
      </c>
      <c r="AE3" s="93" t="s">
        <v>499</v>
      </c>
      <c r="AF3" s="92" t="s">
        <v>500</v>
      </c>
      <c r="AG3" s="90" t="s">
        <v>498</v>
      </c>
      <c r="AH3" s="91" t="s">
        <v>499</v>
      </c>
      <c r="AI3" s="90" t="s">
        <v>500</v>
      </c>
      <c r="AJ3" s="92" t="s">
        <v>498</v>
      </c>
      <c r="AK3" s="93" t="s">
        <v>499</v>
      </c>
      <c r="AL3" s="92" t="s">
        <v>500</v>
      </c>
      <c r="AM3" s="90" t="s">
        <v>498</v>
      </c>
      <c r="AN3" s="91" t="s">
        <v>499</v>
      </c>
      <c r="AO3" s="90" t="s">
        <v>500</v>
      </c>
      <c r="AP3" s="92" t="s">
        <v>498</v>
      </c>
      <c r="AQ3" s="93" t="s">
        <v>499</v>
      </c>
      <c r="AR3" s="92" t="s">
        <v>500</v>
      </c>
      <c r="AS3" s="90" t="s">
        <v>498</v>
      </c>
      <c r="AT3" s="91" t="s">
        <v>499</v>
      </c>
      <c r="AU3" s="90" t="s">
        <v>500</v>
      </c>
      <c r="AV3" s="90" t="s">
        <v>498</v>
      </c>
      <c r="AW3" s="91" t="s">
        <v>499</v>
      </c>
      <c r="AX3" s="90" t="s">
        <v>500</v>
      </c>
      <c r="AY3" s="92" t="s">
        <v>498</v>
      </c>
      <c r="AZ3" s="93" t="s">
        <v>499</v>
      </c>
      <c r="BA3" s="92" t="s">
        <v>500</v>
      </c>
      <c r="BB3" s="90" t="s">
        <v>498</v>
      </c>
      <c r="BC3" s="91" t="s">
        <v>499</v>
      </c>
      <c r="BD3" s="90" t="s">
        <v>500</v>
      </c>
      <c r="BE3" s="92" t="s">
        <v>498</v>
      </c>
      <c r="BF3" s="93" t="s">
        <v>661</v>
      </c>
      <c r="BG3" s="92" t="s">
        <v>500</v>
      </c>
      <c r="BH3" s="90" t="s">
        <v>498</v>
      </c>
      <c r="BI3" s="91" t="s">
        <v>499</v>
      </c>
      <c r="BJ3" s="90" t="s">
        <v>500</v>
      </c>
      <c r="BK3" s="90" t="s">
        <v>498</v>
      </c>
      <c r="BL3" s="91" t="s">
        <v>499</v>
      </c>
      <c r="BM3" s="90" t="s">
        <v>500</v>
      </c>
      <c r="BN3" s="90" t="s">
        <v>498</v>
      </c>
      <c r="BO3" s="91" t="s">
        <v>499</v>
      </c>
      <c r="BP3" s="90" t="s">
        <v>500</v>
      </c>
      <c r="BQ3" s="92" t="s">
        <v>498</v>
      </c>
      <c r="BR3" s="93" t="s">
        <v>499</v>
      </c>
      <c r="BS3" s="92" t="s">
        <v>500</v>
      </c>
      <c r="BT3" s="92" t="s">
        <v>498</v>
      </c>
      <c r="BU3" s="93" t="s">
        <v>499</v>
      </c>
      <c r="BV3" s="92" t="s">
        <v>500</v>
      </c>
      <c r="BW3" s="92" t="s">
        <v>498</v>
      </c>
      <c r="BX3" s="93" t="s">
        <v>499</v>
      </c>
      <c r="BY3" s="92" t="s">
        <v>500</v>
      </c>
      <c r="BZ3" s="90" t="s">
        <v>498</v>
      </c>
      <c r="CA3" s="91" t="s">
        <v>499</v>
      </c>
      <c r="CB3" s="90" t="s">
        <v>500</v>
      </c>
      <c r="CC3" s="90" t="s">
        <v>498</v>
      </c>
      <c r="CD3" s="91" t="s">
        <v>499</v>
      </c>
      <c r="CE3" s="90" t="s">
        <v>500</v>
      </c>
      <c r="CF3" s="93" t="s">
        <v>498</v>
      </c>
      <c r="CG3" s="93" t="s">
        <v>499</v>
      </c>
      <c r="CH3" s="92" t="s">
        <v>500</v>
      </c>
      <c r="CI3" s="90" t="s">
        <v>498</v>
      </c>
      <c r="CJ3" s="91" t="s">
        <v>499</v>
      </c>
      <c r="CK3" s="90" t="s">
        <v>500</v>
      </c>
      <c r="CL3" s="92" t="s">
        <v>498</v>
      </c>
      <c r="CM3" s="93" t="s">
        <v>499</v>
      </c>
      <c r="CN3" s="92" t="s">
        <v>500</v>
      </c>
      <c r="CO3" s="90" t="s">
        <v>498</v>
      </c>
      <c r="CP3" s="91" t="s">
        <v>499</v>
      </c>
      <c r="CQ3" s="90" t="s">
        <v>500</v>
      </c>
      <c r="CR3" s="90" t="s">
        <v>498</v>
      </c>
      <c r="CS3" s="91" t="s">
        <v>499</v>
      </c>
      <c r="CT3" s="90" t="s">
        <v>500</v>
      </c>
      <c r="CU3" s="90" t="s">
        <v>498</v>
      </c>
      <c r="CV3" s="91" t="s">
        <v>499</v>
      </c>
      <c r="CW3" s="90" t="s">
        <v>500</v>
      </c>
      <c r="CX3" s="92" t="s">
        <v>498</v>
      </c>
      <c r="CY3" s="93" t="s">
        <v>499</v>
      </c>
      <c r="CZ3" s="92" t="s">
        <v>500</v>
      </c>
      <c r="DA3" s="92" t="s">
        <v>498</v>
      </c>
      <c r="DB3" s="93" t="s">
        <v>499</v>
      </c>
      <c r="DC3" s="92" t="s">
        <v>500</v>
      </c>
      <c r="DD3" s="92" t="s">
        <v>498</v>
      </c>
      <c r="DE3" s="93" t="s">
        <v>499</v>
      </c>
      <c r="DF3" s="92" t="s">
        <v>500</v>
      </c>
      <c r="DG3" s="90" t="s">
        <v>498</v>
      </c>
      <c r="DH3" s="91" t="s">
        <v>499</v>
      </c>
      <c r="DI3" s="90" t="s">
        <v>500</v>
      </c>
      <c r="DJ3" s="90" t="s">
        <v>498</v>
      </c>
      <c r="DK3" s="91" t="s">
        <v>499</v>
      </c>
      <c r="DL3" s="90" t="s">
        <v>500</v>
      </c>
      <c r="DM3" s="92" t="s">
        <v>498</v>
      </c>
      <c r="DN3" s="93" t="s">
        <v>499</v>
      </c>
      <c r="DO3" s="92" t="s">
        <v>500</v>
      </c>
      <c r="DP3" s="92" t="s">
        <v>498</v>
      </c>
      <c r="DQ3" s="93" t="s">
        <v>499</v>
      </c>
      <c r="DR3" s="92" t="s">
        <v>500</v>
      </c>
      <c r="DS3" s="90" t="s">
        <v>498</v>
      </c>
      <c r="DT3" s="91" t="s">
        <v>499</v>
      </c>
      <c r="DU3" s="90" t="s">
        <v>500</v>
      </c>
      <c r="DV3" s="90" t="s">
        <v>498</v>
      </c>
      <c r="DW3" s="91" t="s">
        <v>499</v>
      </c>
      <c r="DX3" s="90" t="s">
        <v>500</v>
      </c>
      <c r="DY3" s="90" t="s">
        <v>498</v>
      </c>
      <c r="DZ3" s="91" t="s">
        <v>499</v>
      </c>
      <c r="EA3" s="90" t="s">
        <v>500</v>
      </c>
      <c r="EB3" s="90" t="s">
        <v>498</v>
      </c>
      <c r="EC3" s="91" t="s">
        <v>499</v>
      </c>
      <c r="ED3" s="90" t="s">
        <v>500</v>
      </c>
      <c r="EE3" s="90" t="s">
        <v>498</v>
      </c>
      <c r="EF3" s="94" t="s">
        <v>499</v>
      </c>
      <c r="EG3" s="90" t="s">
        <v>500</v>
      </c>
      <c r="EH3" s="90" t="s">
        <v>498</v>
      </c>
      <c r="EI3" s="91" t="s">
        <v>499</v>
      </c>
      <c r="EJ3" s="90" t="s">
        <v>500</v>
      </c>
      <c r="EK3" s="92" t="s">
        <v>498</v>
      </c>
      <c r="EL3" s="93" t="s">
        <v>499</v>
      </c>
      <c r="EM3" s="92" t="s">
        <v>500</v>
      </c>
      <c r="EN3" s="90" t="s">
        <v>498</v>
      </c>
      <c r="EO3" s="91" t="s">
        <v>499</v>
      </c>
      <c r="EP3" s="90" t="s">
        <v>500</v>
      </c>
      <c r="EQ3" s="90" t="s">
        <v>498</v>
      </c>
      <c r="ER3" s="91" t="s">
        <v>499</v>
      </c>
      <c r="ES3" s="90" t="s">
        <v>500</v>
      </c>
      <c r="ET3" s="92" t="s">
        <v>498</v>
      </c>
      <c r="EU3" s="93" t="s">
        <v>499</v>
      </c>
      <c r="EV3" s="92" t="s">
        <v>500</v>
      </c>
      <c r="EW3" s="92" t="s">
        <v>498</v>
      </c>
      <c r="EX3" s="93" t="s">
        <v>499</v>
      </c>
      <c r="EY3" s="92" t="s">
        <v>500</v>
      </c>
      <c r="EZ3" s="90" t="s">
        <v>498</v>
      </c>
      <c r="FA3" s="91" t="s">
        <v>499</v>
      </c>
      <c r="FB3" s="90" t="s">
        <v>500</v>
      </c>
      <c r="FC3" s="92" t="s">
        <v>498</v>
      </c>
      <c r="FD3" s="93" t="s">
        <v>499</v>
      </c>
      <c r="FE3" s="92" t="s">
        <v>500</v>
      </c>
      <c r="FF3" s="90" t="s">
        <v>498</v>
      </c>
      <c r="FG3" s="91" t="s">
        <v>499</v>
      </c>
      <c r="FH3" s="90" t="s">
        <v>500</v>
      </c>
      <c r="FI3" s="92" t="s">
        <v>498</v>
      </c>
      <c r="FJ3" s="93" t="s">
        <v>499</v>
      </c>
      <c r="FK3" s="92" t="s">
        <v>500</v>
      </c>
      <c r="FL3" s="90" t="s">
        <v>498</v>
      </c>
      <c r="FM3" s="91" t="s">
        <v>499</v>
      </c>
      <c r="FN3" s="90" t="s">
        <v>500</v>
      </c>
      <c r="FO3" s="92" t="s">
        <v>498</v>
      </c>
      <c r="FP3" s="93" t="s">
        <v>499</v>
      </c>
      <c r="FQ3" s="92" t="s">
        <v>500</v>
      </c>
      <c r="FR3" s="90" t="s">
        <v>498</v>
      </c>
      <c r="FS3" s="91" t="s">
        <v>499</v>
      </c>
      <c r="FT3" s="90" t="s">
        <v>500</v>
      </c>
      <c r="FU3" s="92" t="s">
        <v>498</v>
      </c>
      <c r="FV3" s="93" t="s">
        <v>499</v>
      </c>
      <c r="FW3" s="92" t="s">
        <v>500</v>
      </c>
      <c r="FX3" s="92" t="s">
        <v>498</v>
      </c>
      <c r="FY3" s="93" t="s">
        <v>499</v>
      </c>
      <c r="FZ3" s="92" t="s">
        <v>500</v>
      </c>
      <c r="GA3" s="92" t="s">
        <v>498</v>
      </c>
      <c r="GB3" s="93" t="s">
        <v>499</v>
      </c>
      <c r="GC3" s="92" t="s">
        <v>500</v>
      </c>
      <c r="GD3" s="92" t="s">
        <v>498</v>
      </c>
      <c r="GE3" s="93" t="s">
        <v>499</v>
      </c>
      <c r="GF3" s="92" t="s">
        <v>500</v>
      </c>
      <c r="GG3" s="92" t="s">
        <v>498</v>
      </c>
      <c r="GH3" s="93" t="s">
        <v>499</v>
      </c>
      <c r="GI3" s="92" t="s">
        <v>500</v>
      </c>
      <c r="GJ3" s="92" t="s">
        <v>498</v>
      </c>
      <c r="GK3" s="93" t="s">
        <v>499</v>
      </c>
      <c r="GL3" s="92" t="s">
        <v>500</v>
      </c>
      <c r="GM3" s="92" t="s">
        <v>498</v>
      </c>
      <c r="GN3" s="93" t="s">
        <v>499</v>
      </c>
      <c r="GO3" s="92" t="s">
        <v>500</v>
      </c>
      <c r="GP3" s="92" t="s">
        <v>498</v>
      </c>
      <c r="GQ3" s="93" t="s">
        <v>499</v>
      </c>
      <c r="GR3" s="92" t="s">
        <v>500</v>
      </c>
      <c r="GS3" s="92" t="s">
        <v>498</v>
      </c>
      <c r="GT3" s="93" t="s">
        <v>499</v>
      </c>
      <c r="GU3" s="92" t="s">
        <v>500</v>
      </c>
      <c r="GV3" s="90" t="s">
        <v>498</v>
      </c>
      <c r="GW3" s="91" t="s">
        <v>499</v>
      </c>
      <c r="GX3" s="90" t="s">
        <v>500</v>
      </c>
      <c r="GY3" s="90" t="s">
        <v>498</v>
      </c>
      <c r="GZ3" s="91" t="s">
        <v>499</v>
      </c>
      <c r="HA3" s="90" t="s">
        <v>500</v>
      </c>
      <c r="HB3" s="90" t="s">
        <v>498</v>
      </c>
      <c r="HC3" s="91" t="s">
        <v>499</v>
      </c>
      <c r="HD3" s="90" t="s">
        <v>500</v>
      </c>
      <c r="HE3" s="90" t="s">
        <v>498</v>
      </c>
      <c r="HF3" s="91" t="s">
        <v>499</v>
      </c>
      <c r="HG3" s="90" t="s">
        <v>500</v>
      </c>
      <c r="HH3" s="90" t="s">
        <v>498</v>
      </c>
      <c r="HI3" s="91" t="s">
        <v>499</v>
      </c>
      <c r="HJ3" s="90" t="s">
        <v>500</v>
      </c>
      <c r="HK3" s="90" t="s">
        <v>498</v>
      </c>
      <c r="HL3" s="91" t="s">
        <v>499</v>
      </c>
      <c r="HM3" s="90" t="s">
        <v>500</v>
      </c>
      <c r="HN3" s="90" t="s">
        <v>498</v>
      </c>
      <c r="HO3" s="91" t="s">
        <v>499</v>
      </c>
      <c r="HP3" s="90" t="s">
        <v>500</v>
      </c>
      <c r="HQ3" s="90" t="s">
        <v>498</v>
      </c>
      <c r="HR3" s="91" t="s">
        <v>499</v>
      </c>
      <c r="HS3" s="90" t="s">
        <v>500</v>
      </c>
      <c r="HT3" s="90" t="s">
        <v>498</v>
      </c>
      <c r="HU3" s="91" t="s">
        <v>499</v>
      </c>
      <c r="HV3" s="90" t="s">
        <v>500</v>
      </c>
      <c r="HW3" s="90" t="s">
        <v>498</v>
      </c>
      <c r="HX3" s="91" t="s">
        <v>499</v>
      </c>
      <c r="HY3" s="90" t="s">
        <v>500</v>
      </c>
      <c r="HZ3" s="90" t="s">
        <v>498</v>
      </c>
      <c r="IA3" s="91" t="s">
        <v>499</v>
      </c>
      <c r="IB3" s="90" t="s">
        <v>500</v>
      </c>
      <c r="IC3" s="90" t="s">
        <v>498</v>
      </c>
      <c r="ID3" s="91" t="s">
        <v>499</v>
      </c>
      <c r="IE3" s="90" t="s">
        <v>500</v>
      </c>
      <c r="IF3" s="90" t="s">
        <v>498</v>
      </c>
      <c r="IG3" s="91" t="s">
        <v>499</v>
      </c>
      <c r="IH3" s="90" t="s">
        <v>500</v>
      </c>
      <c r="II3" s="90" t="s">
        <v>498</v>
      </c>
      <c r="IJ3" s="91" t="s">
        <v>499</v>
      </c>
      <c r="IK3" s="90" t="s">
        <v>500</v>
      </c>
      <c r="IL3" s="90" t="s">
        <v>498</v>
      </c>
      <c r="IM3" s="91" t="s">
        <v>499</v>
      </c>
      <c r="IN3" s="90" t="s">
        <v>500</v>
      </c>
      <c r="IO3" s="90" t="s">
        <v>498</v>
      </c>
      <c r="IP3" s="91" t="s">
        <v>499</v>
      </c>
      <c r="IQ3" s="90" t="s">
        <v>500</v>
      </c>
      <c r="IR3" s="90" t="s">
        <v>498</v>
      </c>
      <c r="IS3" s="91" t="s">
        <v>499</v>
      </c>
      <c r="IT3" s="90" t="s">
        <v>500</v>
      </c>
      <c r="IU3" s="92" t="s">
        <v>498</v>
      </c>
      <c r="IV3" s="93" t="s">
        <v>499</v>
      </c>
      <c r="IW3" s="92" t="s">
        <v>500</v>
      </c>
      <c r="IX3" s="90" t="s">
        <v>498</v>
      </c>
      <c r="IY3" s="91" t="s">
        <v>499</v>
      </c>
      <c r="IZ3" s="90" t="s">
        <v>500</v>
      </c>
      <c r="JA3" s="90" t="s">
        <v>498</v>
      </c>
      <c r="JB3" s="91" t="s">
        <v>499</v>
      </c>
      <c r="JC3" s="90" t="s">
        <v>500</v>
      </c>
      <c r="JD3" s="90" t="s">
        <v>498</v>
      </c>
      <c r="JE3" s="91" t="s">
        <v>499</v>
      </c>
      <c r="JF3" s="90" t="s">
        <v>500</v>
      </c>
      <c r="JG3" s="90" t="s">
        <v>498</v>
      </c>
      <c r="JH3" s="91" t="s">
        <v>499</v>
      </c>
      <c r="JI3" s="90" t="s">
        <v>500</v>
      </c>
      <c r="JJ3" s="92" t="s">
        <v>498</v>
      </c>
      <c r="JK3" s="93" t="s">
        <v>499</v>
      </c>
      <c r="JL3" s="92" t="s">
        <v>500</v>
      </c>
      <c r="JM3" s="92" t="s">
        <v>498</v>
      </c>
      <c r="JN3" s="93" t="s">
        <v>499</v>
      </c>
      <c r="JO3" s="92" t="s">
        <v>500</v>
      </c>
      <c r="JP3" s="95" t="s">
        <v>573</v>
      </c>
      <c r="JQ3" s="96" t="s">
        <v>574</v>
      </c>
      <c r="JR3" s="34" t="s">
        <v>433</v>
      </c>
      <c r="JS3" s="97" t="s">
        <v>434</v>
      </c>
      <c r="JT3" s="36" t="s">
        <v>435</v>
      </c>
      <c r="JU3" s="85"/>
    </row>
    <row r="4" spans="1:281" ht="82.5" customHeight="1" x14ac:dyDescent="0.2">
      <c r="A4" s="98">
        <v>1</v>
      </c>
      <c r="B4" s="99">
        <v>1</v>
      </c>
      <c r="C4" s="39" t="s">
        <v>662</v>
      </c>
      <c r="D4" s="100" t="s">
        <v>67</v>
      </c>
      <c r="E4" s="39">
        <v>46182010</v>
      </c>
      <c r="F4" s="101" t="s">
        <v>663</v>
      </c>
      <c r="G4" s="102" t="s">
        <v>85</v>
      </c>
      <c r="H4" s="103" t="s">
        <v>501</v>
      </c>
      <c r="I4" s="104" t="s">
        <v>503</v>
      </c>
      <c r="J4" s="104" t="s">
        <v>503</v>
      </c>
      <c r="K4" s="104" t="s">
        <v>503</v>
      </c>
      <c r="L4" s="104" t="s">
        <v>503</v>
      </c>
      <c r="M4" s="104" t="s">
        <v>503</v>
      </c>
      <c r="N4" s="104" t="s">
        <v>503</v>
      </c>
      <c r="O4" s="104" t="s">
        <v>503</v>
      </c>
      <c r="P4" s="104" t="s">
        <v>503</v>
      </c>
      <c r="Q4" s="104" t="s">
        <v>503</v>
      </c>
      <c r="R4" s="104" t="s">
        <v>503</v>
      </c>
      <c r="S4" s="104" t="s">
        <v>503</v>
      </c>
      <c r="T4" s="104" t="s">
        <v>503</v>
      </c>
      <c r="U4" s="104" t="s">
        <v>503</v>
      </c>
      <c r="V4" s="104" t="s">
        <v>503</v>
      </c>
      <c r="W4" s="104" t="s">
        <v>503</v>
      </c>
      <c r="X4" s="104" t="s">
        <v>503</v>
      </c>
      <c r="Y4" s="104" t="s">
        <v>503</v>
      </c>
      <c r="Z4" s="104" t="s">
        <v>503</v>
      </c>
      <c r="AA4" s="105">
        <v>11538.66</v>
      </c>
      <c r="AB4" s="106">
        <f>+AA4*19%</f>
        <v>2192.3454000000002</v>
      </c>
      <c r="AC4" s="107">
        <f>+AA4+AB4</f>
        <v>13731.0054</v>
      </c>
      <c r="AD4" s="104" t="s">
        <v>503</v>
      </c>
      <c r="AE4" s="104" t="s">
        <v>503</v>
      </c>
      <c r="AF4" s="104" t="s">
        <v>503</v>
      </c>
      <c r="AG4" s="104" t="s">
        <v>503</v>
      </c>
      <c r="AH4" s="104" t="s">
        <v>503</v>
      </c>
      <c r="AI4" s="104" t="s">
        <v>503</v>
      </c>
      <c r="AJ4" s="104" t="s">
        <v>503</v>
      </c>
      <c r="AK4" s="104" t="s">
        <v>503</v>
      </c>
      <c r="AL4" s="104" t="s">
        <v>503</v>
      </c>
      <c r="AM4" s="107">
        <v>11050</v>
      </c>
      <c r="AN4" s="106">
        <f>+AM4*19%</f>
        <v>2099.5</v>
      </c>
      <c r="AO4" s="107">
        <f>+AM4+AN4</f>
        <v>13149.5</v>
      </c>
      <c r="AP4" s="107">
        <v>12349</v>
      </c>
      <c r="AQ4" s="106">
        <f>+AP4*19%</f>
        <v>2346.31</v>
      </c>
      <c r="AR4" s="107">
        <f>+AP4+AQ4</f>
        <v>14695.31</v>
      </c>
      <c r="AS4" s="104" t="s">
        <v>503</v>
      </c>
      <c r="AT4" s="104" t="s">
        <v>503</v>
      </c>
      <c r="AU4" s="104" t="s">
        <v>503</v>
      </c>
      <c r="AV4" s="104" t="s">
        <v>503</v>
      </c>
      <c r="AW4" s="104" t="s">
        <v>503</v>
      </c>
      <c r="AX4" s="104" t="s">
        <v>503</v>
      </c>
      <c r="AY4" s="104" t="s">
        <v>503</v>
      </c>
      <c r="AZ4" s="104" t="s">
        <v>503</v>
      </c>
      <c r="BA4" s="104" t="s">
        <v>503</v>
      </c>
      <c r="BB4" s="104" t="s">
        <v>503</v>
      </c>
      <c r="BC4" s="104" t="s">
        <v>503</v>
      </c>
      <c r="BD4" s="104" t="s">
        <v>503</v>
      </c>
      <c r="BE4" s="104" t="s">
        <v>503</v>
      </c>
      <c r="BF4" s="104" t="s">
        <v>503</v>
      </c>
      <c r="BG4" s="104" t="s">
        <v>503</v>
      </c>
      <c r="BH4" s="104" t="s">
        <v>503</v>
      </c>
      <c r="BI4" s="104" t="s">
        <v>503</v>
      </c>
      <c r="BJ4" s="104" t="s">
        <v>503</v>
      </c>
      <c r="BK4" s="108" t="s">
        <v>503</v>
      </c>
      <c r="BL4" s="108" t="s">
        <v>503</v>
      </c>
      <c r="BM4" s="108" t="s">
        <v>503</v>
      </c>
      <c r="BN4" s="107">
        <v>12000</v>
      </c>
      <c r="BO4" s="106">
        <f>+BN4*19%</f>
        <v>2280</v>
      </c>
      <c r="BP4" s="107">
        <f>+BN4+BO4</f>
        <v>14280</v>
      </c>
      <c r="BQ4" s="108" t="s">
        <v>503</v>
      </c>
      <c r="BR4" s="108" t="s">
        <v>503</v>
      </c>
      <c r="BS4" s="108" t="s">
        <v>503</v>
      </c>
      <c r="BT4" s="104" t="s">
        <v>503</v>
      </c>
      <c r="BU4" s="104" t="s">
        <v>503</v>
      </c>
      <c r="BV4" s="104" t="s">
        <v>503</v>
      </c>
      <c r="BW4" s="104" t="s">
        <v>503</v>
      </c>
      <c r="BX4" s="104" t="s">
        <v>503</v>
      </c>
      <c r="BY4" s="104" t="s">
        <v>503</v>
      </c>
      <c r="BZ4" s="104" t="s">
        <v>503</v>
      </c>
      <c r="CA4" s="104" t="s">
        <v>503</v>
      </c>
      <c r="CB4" s="104" t="s">
        <v>503</v>
      </c>
      <c r="CC4" s="104" t="s">
        <v>503</v>
      </c>
      <c r="CD4" s="104" t="s">
        <v>503</v>
      </c>
      <c r="CE4" s="104" t="s">
        <v>503</v>
      </c>
      <c r="CF4" s="104" t="s">
        <v>503</v>
      </c>
      <c r="CG4" s="104" t="s">
        <v>503</v>
      </c>
      <c r="CH4" s="104" t="s">
        <v>503</v>
      </c>
      <c r="CI4" s="104" t="s">
        <v>503</v>
      </c>
      <c r="CJ4" s="104" t="s">
        <v>503</v>
      </c>
      <c r="CK4" s="104" t="s">
        <v>503</v>
      </c>
      <c r="CL4" s="104" t="s">
        <v>503</v>
      </c>
      <c r="CM4" s="104" t="s">
        <v>503</v>
      </c>
      <c r="CN4" s="104" t="s">
        <v>503</v>
      </c>
      <c r="CO4" s="104" t="s">
        <v>503</v>
      </c>
      <c r="CP4" s="104" t="s">
        <v>503</v>
      </c>
      <c r="CQ4" s="104" t="s">
        <v>503</v>
      </c>
      <c r="CR4" s="104" t="s">
        <v>503</v>
      </c>
      <c r="CS4" s="104" t="s">
        <v>503</v>
      </c>
      <c r="CT4" s="104" t="s">
        <v>503</v>
      </c>
      <c r="CU4" s="104" t="s">
        <v>503</v>
      </c>
      <c r="CV4" s="104" t="s">
        <v>503</v>
      </c>
      <c r="CW4" s="104" t="s">
        <v>503</v>
      </c>
      <c r="CX4" s="104" t="s">
        <v>503</v>
      </c>
      <c r="CY4" s="104" t="s">
        <v>503</v>
      </c>
      <c r="CZ4" s="104" t="s">
        <v>503</v>
      </c>
      <c r="DA4" s="104" t="s">
        <v>503</v>
      </c>
      <c r="DB4" s="104" t="s">
        <v>503</v>
      </c>
      <c r="DC4" s="104" t="s">
        <v>503</v>
      </c>
      <c r="DD4" s="104" t="s">
        <v>503</v>
      </c>
      <c r="DE4" s="104" t="s">
        <v>503</v>
      </c>
      <c r="DF4" s="104" t="s">
        <v>503</v>
      </c>
      <c r="DG4" s="104" t="s">
        <v>503</v>
      </c>
      <c r="DH4" s="104" t="s">
        <v>503</v>
      </c>
      <c r="DI4" s="104" t="s">
        <v>503</v>
      </c>
      <c r="DJ4" s="104" t="s">
        <v>503</v>
      </c>
      <c r="DK4" s="104" t="s">
        <v>503</v>
      </c>
      <c r="DL4" s="104" t="s">
        <v>503</v>
      </c>
      <c r="DM4" s="104" t="s">
        <v>503</v>
      </c>
      <c r="DN4" s="104" t="s">
        <v>503</v>
      </c>
      <c r="DO4" s="104" t="s">
        <v>503</v>
      </c>
      <c r="DP4" s="104" t="s">
        <v>503</v>
      </c>
      <c r="DQ4" s="104" t="s">
        <v>503</v>
      </c>
      <c r="DR4" s="104" t="s">
        <v>503</v>
      </c>
      <c r="DS4" s="104" t="s">
        <v>503</v>
      </c>
      <c r="DT4" s="104" t="s">
        <v>503</v>
      </c>
      <c r="DU4" s="104" t="s">
        <v>503</v>
      </c>
      <c r="DV4" s="104" t="s">
        <v>503</v>
      </c>
      <c r="DW4" s="104" t="s">
        <v>503</v>
      </c>
      <c r="DX4" s="104" t="s">
        <v>503</v>
      </c>
      <c r="DY4" s="104" t="s">
        <v>503</v>
      </c>
      <c r="DZ4" s="104" t="s">
        <v>503</v>
      </c>
      <c r="EA4" s="104" t="s">
        <v>503</v>
      </c>
      <c r="EB4" s="104" t="s">
        <v>503</v>
      </c>
      <c r="EC4" s="104" t="s">
        <v>503</v>
      </c>
      <c r="ED4" s="104" t="s">
        <v>503</v>
      </c>
      <c r="EE4" s="104" t="s">
        <v>503</v>
      </c>
      <c r="EF4" s="104" t="s">
        <v>503</v>
      </c>
      <c r="EG4" s="104" t="s">
        <v>503</v>
      </c>
      <c r="EH4" s="104" t="s">
        <v>503</v>
      </c>
      <c r="EI4" s="104" t="s">
        <v>503</v>
      </c>
      <c r="EJ4" s="104" t="s">
        <v>503</v>
      </c>
      <c r="EK4" s="104" t="s">
        <v>503</v>
      </c>
      <c r="EL4" s="104" t="s">
        <v>503</v>
      </c>
      <c r="EM4" s="104" t="s">
        <v>503</v>
      </c>
      <c r="EN4" s="104" t="s">
        <v>503</v>
      </c>
      <c r="EO4" s="104" t="s">
        <v>503</v>
      </c>
      <c r="EP4" s="104" t="s">
        <v>503</v>
      </c>
      <c r="EQ4" s="104" t="s">
        <v>503</v>
      </c>
      <c r="ER4" s="104" t="s">
        <v>503</v>
      </c>
      <c r="ES4" s="104" t="s">
        <v>503</v>
      </c>
      <c r="ET4" s="104" t="s">
        <v>503</v>
      </c>
      <c r="EU4" s="104" t="s">
        <v>503</v>
      </c>
      <c r="EV4" s="104" t="s">
        <v>503</v>
      </c>
      <c r="EW4" s="104" t="s">
        <v>503</v>
      </c>
      <c r="EX4" s="104" t="s">
        <v>503</v>
      </c>
      <c r="EY4" s="104" t="s">
        <v>503</v>
      </c>
      <c r="EZ4" s="104" t="s">
        <v>503</v>
      </c>
      <c r="FA4" s="104" t="s">
        <v>503</v>
      </c>
      <c r="FB4" s="104" t="s">
        <v>503</v>
      </c>
      <c r="FC4" s="104" t="s">
        <v>664</v>
      </c>
      <c r="FD4" s="104" t="s">
        <v>664</v>
      </c>
      <c r="FE4" s="104" t="s">
        <v>664</v>
      </c>
      <c r="FF4" s="104" t="s">
        <v>503</v>
      </c>
      <c r="FG4" s="104" t="s">
        <v>503</v>
      </c>
      <c r="FH4" s="104" t="s">
        <v>503</v>
      </c>
      <c r="FI4" s="104" t="s">
        <v>503</v>
      </c>
      <c r="FJ4" s="104" t="s">
        <v>503</v>
      </c>
      <c r="FK4" s="104" t="s">
        <v>503</v>
      </c>
      <c r="FL4" s="104" t="s">
        <v>503</v>
      </c>
      <c r="FM4" s="104" t="s">
        <v>503</v>
      </c>
      <c r="FN4" s="104" t="s">
        <v>503</v>
      </c>
      <c r="FO4" s="104" t="s">
        <v>503</v>
      </c>
      <c r="FP4" s="104" t="s">
        <v>503</v>
      </c>
      <c r="FQ4" s="104" t="s">
        <v>503</v>
      </c>
      <c r="FR4" s="104" t="s">
        <v>503</v>
      </c>
      <c r="FS4" s="104" t="s">
        <v>503</v>
      </c>
      <c r="FT4" s="104" t="s">
        <v>503</v>
      </c>
      <c r="FU4" s="104" t="s">
        <v>503</v>
      </c>
      <c r="FV4" s="104" t="s">
        <v>503</v>
      </c>
      <c r="FW4" s="104" t="s">
        <v>503</v>
      </c>
      <c r="FX4" s="104" t="s">
        <v>502</v>
      </c>
      <c r="FY4" s="104" t="s">
        <v>502</v>
      </c>
      <c r="FZ4" s="104" t="s">
        <v>502</v>
      </c>
      <c r="GA4" s="104" t="s">
        <v>503</v>
      </c>
      <c r="GB4" s="104" t="s">
        <v>503</v>
      </c>
      <c r="GC4" s="104" t="s">
        <v>503</v>
      </c>
      <c r="GD4" s="104" t="s">
        <v>503</v>
      </c>
      <c r="GE4" s="104" t="s">
        <v>503</v>
      </c>
      <c r="GF4" s="104" t="s">
        <v>503</v>
      </c>
      <c r="GG4" s="104" t="s">
        <v>503</v>
      </c>
      <c r="GH4" s="104" t="s">
        <v>503</v>
      </c>
      <c r="GI4" s="104" t="s">
        <v>503</v>
      </c>
      <c r="GJ4" s="104" t="s">
        <v>503</v>
      </c>
      <c r="GK4" s="104" t="s">
        <v>503</v>
      </c>
      <c r="GL4" s="104" t="s">
        <v>503</v>
      </c>
      <c r="GM4" s="104" t="s">
        <v>503</v>
      </c>
      <c r="GN4" s="104" t="s">
        <v>503</v>
      </c>
      <c r="GO4" s="104" t="s">
        <v>503</v>
      </c>
      <c r="GP4" s="104" t="s">
        <v>664</v>
      </c>
      <c r="GQ4" s="104" t="s">
        <v>664</v>
      </c>
      <c r="GR4" s="104" t="s">
        <v>664</v>
      </c>
      <c r="GS4" s="104" t="s">
        <v>664</v>
      </c>
      <c r="GT4" s="104" t="s">
        <v>664</v>
      </c>
      <c r="GU4" s="104" t="s">
        <v>664</v>
      </c>
      <c r="GV4" s="104" t="s">
        <v>664</v>
      </c>
      <c r="GW4" s="104" t="s">
        <v>664</v>
      </c>
      <c r="GX4" s="104" t="s">
        <v>664</v>
      </c>
      <c r="GY4" s="104" t="s">
        <v>664</v>
      </c>
      <c r="GZ4" s="104" t="s">
        <v>664</v>
      </c>
      <c r="HA4" s="104" t="s">
        <v>664</v>
      </c>
      <c r="HB4" s="104" t="s">
        <v>664</v>
      </c>
      <c r="HC4" s="104" t="s">
        <v>664</v>
      </c>
      <c r="HD4" s="104" t="s">
        <v>664</v>
      </c>
      <c r="HE4" s="104" t="s">
        <v>664</v>
      </c>
      <c r="HF4" s="104" t="s">
        <v>664</v>
      </c>
      <c r="HG4" s="104" t="s">
        <v>664</v>
      </c>
      <c r="HH4" s="104" t="s">
        <v>664</v>
      </c>
      <c r="HI4" s="104" t="s">
        <v>664</v>
      </c>
      <c r="HJ4" s="104" t="s">
        <v>664</v>
      </c>
      <c r="HK4" s="104" t="s">
        <v>664</v>
      </c>
      <c r="HL4" s="104" t="s">
        <v>664</v>
      </c>
      <c r="HM4" s="104" t="s">
        <v>664</v>
      </c>
      <c r="HN4" s="104" t="s">
        <v>664</v>
      </c>
      <c r="HO4" s="104" t="s">
        <v>664</v>
      </c>
      <c r="HP4" s="104" t="s">
        <v>664</v>
      </c>
      <c r="HQ4" s="104" t="s">
        <v>664</v>
      </c>
      <c r="HR4" s="104" t="s">
        <v>664</v>
      </c>
      <c r="HS4" s="104" t="s">
        <v>664</v>
      </c>
      <c r="HT4" s="104" t="s">
        <v>664</v>
      </c>
      <c r="HU4" s="104" t="s">
        <v>664</v>
      </c>
      <c r="HV4" s="104" t="s">
        <v>664</v>
      </c>
      <c r="HW4" s="104" t="s">
        <v>664</v>
      </c>
      <c r="HX4" s="104" t="s">
        <v>664</v>
      </c>
      <c r="HY4" s="104" t="s">
        <v>664</v>
      </c>
      <c r="HZ4" s="104" t="s">
        <v>664</v>
      </c>
      <c r="IA4" s="104" t="s">
        <v>664</v>
      </c>
      <c r="IB4" s="104" t="s">
        <v>664</v>
      </c>
      <c r="IC4" s="104" t="s">
        <v>664</v>
      </c>
      <c r="ID4" s="104" t="s">
        <v>664</v>
      </c>
      <c r="IE4" s="104" t="s">
        <v>664</v>
      </c>
      <c r="IF4" s="104" t="s">
        <v>664</v>
      </c>
      <c r="IG4" s="104" t="s">
        <v>664</v>
      </c>
      <c r="IH4" s="104" t="s">
        <v>664</v>
      </c>
      <c r="II4" s="104" t="s">
        <v>664</v>
      </c>
      <c r="IJ4" s="104" t="s">
        <v>664</v>
      </c>
      <c r="IK4" s="104" t="s">
        <v>664</v>
      </c>
      <c r="IL4" s="104" t="s">
        <v>664</v>
      </c>
      <c r="IM4" s="104" t="s">
        <v>664</v>
      </c>
      <c r="IN4" s="104" t="s">
        <v>664</v>
      </c>
      <c r="IO4" s="109" t="s">
        <v>503</v>
      </c>
      <c r="IP4" s="109" t="s">
        <v>503</v>
      </c>
      <c r="IQ4" s="109" t="s">
        <v>503</v>
      </c>
      <c r="IR4" s="109" t="s">
        <v>664</v>
      </c>
      <c r="IS4" s="109" t="s">
        <v>664</v>
      </c>
      <c r="IT4" s="109" t="s">
        <v>664</v>
      </c>
      <c r="IU4" s="109" t="s">
        <v>503</v>
      </c>
      <c r="IV4" s="109" t="s">
        <v>503</v>
      </c>
      <c r="IW4" s="109" t="s">
        <v>503</v>
      </c>
      <c r="IX4" s="109" t="s">
        <v>503</v>
      </c>
      <c r="IY4" s="109" t="s">
        <v>503</v>
      </c>
      <c r="IZ4" s="109" t="s">
        <v>503</v>
      </c>
      <c r="JA4" s="109" t="s">
        <v>503</v>
      </c>
      <c r="JB4" s="109" t="s">
        <v>503</v>
      </c>
      <c r="JC4" s="109" t="s">
        <v>503</v>
      </c>
      <c r="JD4" s="109" t="s">
        <v>664</v>
      </c>
      <c r="JE4" s="109" t="s">
        <v>664</v>
      </c>
      <c r="JF4" s="109" t="s">
        <v>664</v>
      </c>
      <c r="JG4" s="109" t="s">
        <v>664</v>
      </c>
      <c r="JH4" s="109" t="s">
        <v>664</v>
      </c>
      <c r="JI4" s="109" t="s">
        <v>664</v>
      </c>
      <c r="JJ4" s="109" t="s">
        <v>664</v>
      </c>
      <c r="JK4" s="109" t="s">
        <v>664</v>
      </c>
      <c r="JL4" s="109" t="s">
        <v>664</v>
      </c>
      <c r="JM4" s="109" t="s">
        <v>664</v>
      </c>
      <c r="JN4" s="109" t="s">
        <v>664</v>
      </c>
      <c r="JO4" s="109" t="s">
        <v>664</v>
      </c>
      <c r="JP4" s="110">
        <v>22700</v>
      </c>
      <c r="JQ4" s="111">
        <v>27121.357088000001</v>
      </c>
      <c r="JR4" s="112">
        <f>COUNT(K4,N4,Q4,T4,W4,Z4,AC4,AF4,AI4,AL4,AO4,AR4,AU4,AX4,BA4,BD4,BG4,BJ4,BM4,BP4,BS4,BV4,BY4,CB4,CE4,CH4,CK4,CN4,CQ4,CT4,CW4,CZ4,DC4,DF4,DI4,DL4,DO4,DR4,DU4,DX4,EA4,ED4,EG4,EJ4,EM4,EP4,ES4,EV4,EY4,FB4,FE4,FH4,FK4,FN4,FQ4,FT4,FW4,FZ4,GC4,GF4,GI4,GL4,GO4,GR4,GU4,GX4,HA4,HD4,HG4,HJ4,HM4,HP4,HS4,HV4,HY4,IB4,IE4,IH4,IK4,IN4,IQ4,IT4,IW4,IZ4,JC4,JF4,JI4,JL4,JO4)</f>
        <v>4</v>
      </c>
      <c r="JS4" s="113">
        <f>AVERAGE(K4,N4,Q4,T4,W4,Z4,AC4,AF4,AI4,AL4,AO4,AR4,AU4,AX4,BA4,BD4,BG4,BJ4,BM4,BP4,BS4,BV4,BY4,CB4,CE4,CH4,CK4,CN4,CQ4,CT4,CW4,CZ4,DC4,DF4,DI4,DL4,DO4,DR4,DU4,DX4,EA4,ED4,EG4,EJ4,EM4,EP4,ES4,EV4,EY4,FB4,FE4,FH4,FK4,FN4,FQ4,FT4,FW4,FZ4,GC4,GF4,GI4,GL4,GO4,GR4,GU4,GX4,HA4,HD4,HG4,HJ4,HM4,HP4,HS4,HV4,HY4,IB4,IE4,IH4,IK4,IN4,IQ4,IT4,IW4,IZ4,JC4,JF4,JI4,JL4,JO4)</f>
        <v>13963.95385</v>
      </c>
      <c r="JT4" s="114">
        <f>_xlfn.CEILING.MATH(JS4,50)</f>
        <v>14000</v>
      </c>
      <c r="JU4" s="115"/>
    </row>
    <row r="5" spans="1:281" ht="101.25" customHeight="1" x14ac:dyDescent="0.2">
      <c r="A5" s="98">
        <v>2</v>
      </c>
      <c r="B5" s="99">
        <v>2</v>
      </c>
      <c r="C5" s="39" t="s">
        <v>662</v>
      </c>
      <c r="D5" s="100" t="s">
        <v>665</v>
      </c>
      <c r="E5" s="39">
        <v>4618804</v>
      </c>
      <c r="F5" s="101" t="s">
        <v>666</v>
      </c>
      <c r="G5" s="102" t="s">
        <v>85</v>
      </c>
      <c r="H5" s="103" t="s">
        <v>501</v>
      </c>
      <c r="I5" s="108" t="s">
        <v>503</v>
      </c>
      <c r="J5" s="108" t="s">
        <v>503</v>
      </c>
      <c r="K5" s="108" t="s">
        <v>503</v>
      </c>
      <c r="L5" s="108" t="s">
        <v>503</v>
      </c>
      <c r="M5" s="108" t="s">
        <v>503</v>
      </c>
      <c r="N5" s="108" t="s">
        <v>503</v>
      </c>
      <c r="O5" s="108" t="s">
        <v>503</v>
      </c>
      <c r="P5" s="108" t="s">
        <v>503</v>
      </c>
      <c r="Q5" s="108" t="s">
        <v>503</v>
      </c>
      <c r="R5" s="108" t="s">
        <v>503</v>
      </c>
      <c r="S5" s="108" t="s">
        <v>503</v>
      </c>
      <c r="T5" s="108" t="s">
        <v>503</v>
      </c>
      <c r="U5" s="108" t="s">
        <v>503</v>
      </c>
      <c r="V5" s="108" t="s">
        <v>503</v>
      </c>
      <c r="W5" s="108" t="s">
        <v>503</v>
      </c>
      <c r="X5" s="108" t="s">
        <v>503</v>
      </c>
      <c r="Y5" s="108" t="s">
        <v>503</v>
      </c>
      <c r="Z5" s="108" t="s">
        <v>503</v>
      </c>
      <c r="AA5" s="116">
        <v>34546.22</v>
      </c>
      <c r="AB5" s="117">
        <f>+AA5*19%</f>
        <v>6563.7818000000007</v>
      </c>
      <c r="AC5" s="71">
        <f>+AA5+AB5</f>
        <v>41110.001799999998</v>
      </c>
      <c r="AD5" s="108" t="s">
        <v>503</v>
      </c>
      <c r="AE5" s="108" t="s">
        <v>503</v>
      </c>
      <c r="AF5" s="108" t="s">
        <v>503</v>
      </c>
      <c r="AG5" s="108" t="s">
        <v>503</v>
      </c>
      <c r="AH5" s="108" t="s">
        <v>503</v>
      </c>
      <c r="AI5" s="108" t="s">
        <v>503</v>
      </c>
      <c r="AJ5" s="108" t="s">
        <v>503</v>
      </c>
      <c r="AK5" s="108" t="s">
        <v>503</v>
      </c>
      <c r="AL5" s="108" t="s">
        <v>503</v>
      </c>
      <c r="AM5" s="118">
        <v>33980</v>
      </c>
      <c r="AN5" s="119">
        <f>+AM5*19%</f>
        <v>6456.2</v>
      </c>
      <c r="AO5" s="118">
        <f>+AM5+AN5</f>
        <v>40436.199999999997</v>
      </c>
      <c r="AP5" s="118">
        <v>34560</v>
      </c>
      <c r="AQ5" s="119">
        <f>+AP5*19%</f>
        <v>6566.4</v>
      </c>
      <c r="AR5" s="118">
        <f>+AP5+AQ5</f>
        <v>41126.400000000001</v>
      </c>
      <c r="AS5" s="108" t="s">
        <v>503</v>
      </c>
      <c r="AT5" s="108" t="s">
        <v>503</v>
      </c>
      <c r="AU5" s="108" t="s">
        <v>503</v>
      </c>
      <c r="AV5" s="108" t="s">
        <v>503</v>
      </c>
      <c r="AW5" s="108" t="s">
        <v>503</v>
      </c>
      <c r="AX5" s="108" t="s">
        <v>503</v>
      </c>
      <c r="AY5" s="108" t="s">
        <v>503</v>
      </c>
      <c r="AZ5" s="108" t="s">
        <v>503</v>
      </c>
      <c r="BA5" s="108" t="s">
        <v>503</v>
      </c>
      <c r="BB5" s="108" t="s">
        <v>503</v>
      </c>
      <c r="BC5" s="108" t="s">
        <v>503</v>
      </c>
      <c r="BD5" s="108" t="s">
        <v>503</v>
      </c>
      <c r="BE5" s="108" t="s">
        <v>503</v>
      </c>
      <c r="BF5" s="108" t="s">
        <v>503</v>
      </c>
      <c r="BG5" s="108" t="s">
        <v>503</v>
      </c>
      <c r="BH5" s="108" t="s">
        <v>503</v>
      </c>
      <c r="BI5" s="108" t="s">
        <v>503</v>
      </c>
      <c r="BJ5" s="108" t="s">
        <v>503</v>
      </c>
      <c r="BK5" s="108" t="s">
        <v>503</v>
      </c>
      <c r="BL5" s="108" t="s">
        <v>503</v>
      </c>
      <c r="BM5" s="108" t="s">
        <v>503</v>
      </c>
      <c r="BN5" s="108" t="s">
        <v>503</v>
      </c>
      <c r="BO5" s="108" t="s">
        <v>503</v>
      </c>
      <c r="BP5" s="108" t="s">
        <v>503</v>
      </c>
      <c r="BQ5" s="108" t="s">
        <v>503</v>
      </c>
      <c r="BR5" s="108" t="s">
        <v>503</v>
      </c>
      <c r="BS5" s="108" t="s">
        <v>503</v>
      </c>
      <c r="BT5" s="108" t="s">
        <v>503</v>
      </c>
      <c r="BU5" s="108" t="s">
        <v>503</v>
      </c>
      <c r="BV5" s="108" t="s">
        <v>503</v>
      </c>
      <c r="BW5" s="108" t="s">
        <v>503</v>
      </c>
      <c r="BX5" s="108" t="s">
        <v>503</v>
      </c>
      <c r="BY5" s="108" t="s">
        <v>503</v>
      </c>
      <c r="BZ5" s="108" t="s">
        <v>503</v>
      </c>
      <c r="CA5" s="108" t="s">
        <v>503</v>
      </c>
      <c r="CB5" s="108" t="s">
        <v>503</v>
      </c>
      <c r="CC5" s="108" t="s">
        <v>503</v>
      </c>
      <c r="CD5" s="108" t="s">
        <v>503</v>
      </c>
      <c r="CE5" s="108" t="s">
        <v>503</v>
      </c>
      <c r="CF5" s="108" t="s">
        <v>503</v>
      </c>
      <c r="CG5" s="108" t="s">
        <v>503</v>
      </c>
      <c r="CH5" s="108" t="s">
        <v>503</v>
      </c>
      <c r="CI5" s="108" t="s">
        <v>503</v>
      </c>
      <c r="CJ5" s="108" t="s">
        <v>503</v>
      </c>
      <c r="CK5" s="108" t="s">
        <v>503</v>
      </c>
      <c r="CL5" s="108" t="s">
        <v>503</v>
      </c>
      <c r="CM5" s="108" t="s">
        <v>503</v>
      </c>
      <c r="CN5" s="108" t="s">
        <v>503</v>
      </c>
      <c r="CO5" s="108" t="s">
        <v>503</v>
      </c>
      <c r="CP5" s="108" t="s">
        <v>503</v>
      </c>
      <c r="CQ5" s="108" t="s">
        <v>503</v>
      </c>
      <c r="CR5" s="108" t="s">
        <v>503</v>
      </c>
      <c r="CS5" s="108" t="s">
        <v>503</v>
      </c>
      <c r="CT5" s="108" t="s">
        <v>503</v>
      </c>
      <c r="CU5" s="108" t="s">
        <v>503</v>
      </c>
      <c r="CV5" s="108" t="s">
        <v>503</v>
      </c>
      <c r="CW5" s="108" t="s">
        <v>503</v>
      </c>
      <c r="CX5" s="108" t="s">
        <v>503</v>
      </c>
      <c r="CY5" s="108" t="s">
        <v>503</v>
      </c>
      <c r="CZ5" s="108" t="s">
        <v>503</v>
      </c>
      <c r="DA5" s="108" t="s">
        <v>503</v>
      </c>
      <c r="DB5" s="108" t="s">
        <v>503</v>
      </c>
      <c r="DC5" s="108" t="s">
        <v>503</v>
      </c>
      <c r="DD5" s="108" t="s">
        <v>503</v>
      </c>
      <c r="DE5" s="108" t="s">
        <v>503</v>
      </c>
      <c r="DF5" s="108" t="s">
        <v>503</v>
      </c>
      <c r="DG5" s="108" t="s">
        <v>503</v>
      </c>
      <c r="DH5" s="108" t="s">
        <v>503</v>
      </c>
      <c r="DI5" s="108" t="s">
        <v>503</v>
      </c>
      <c r="DJ5" s="108" t="s">
        <v>503</v>
      </c>
      <c r="DK5" s="108" t="s">
        <v>503</v>
      </c>
      <c r="DL5" s="108" t="s">
        <v>503</v>
      </c>
      <c r="DM5" s="108" t="s">
        <v>503</v>
      </c>
      <c r="DN5" s="108" t="s">
        <v>503</v>
      </c>
      <c r="DO5" s="108" t="s">
        <v>503</v>
      </c>
      <c r="DP5" s="108" t="s">
        <v>503</v>
      </c>
      <c r="DQ5" s="108" t="s">
        <v>503</v>
      </c>
      <c r="DR5" s="108" t="s">
        <v>503</v>
      </c>
      <c r="DS5" s="108" t="s">
        <v>503</v>
      </c>
      <c r="DT5" s="108" t="s">
        <v>503</v>
      </c>
      <c r="DU5" s="108" t="s">
        <v>503</v>
      </c>
      <c r="DV5" s="108" t="s">
        <v>503</v>
      </c>
      <c r="DW5" s="108" t="s">
        <v>503</v>
      </c>
      <c r="DX5" s="108" t="s">
        <v>503</v>
      </c>
      <c r="DY5" s="108" t="s">
        <v>503</v>
      </c>
      <c r="DZ5" s="108" t="s">
        <v>503</v>
      </c>
      <c r="EA5" s="108" t="s">
        <v>503</v>
      </c>
      <c r="EB5" s="108" t="s">
        <v>503</v>
      </c>
      <c r="EC5" s="108" t="s">
        <v>503</v>
      </c>
      <c r="ED5" s="108" t="s">
        <v>503</v>
      </c>
      <c r="EE5" s="108" t="s">
        <v>503</v>
      </c>
      <c r="EF5" s="108" t="s">
        <v>503</v>
      </c>
      <c r="EG5" s="108" t="s">
        <v>503</v>
      </c>
      <c r="EH5" s="108" t="s">
        <v>503</v>
      </c>
      <c r="EI5" s="108" t="s">
        <v>503</v>
      </c>
      <c r="EJ5" s="108" t="s">
        <v>503</v>
      </c>
      <c r="EK5" s="108" t="s">
        <v>503</v>
      </c>
      <c r="EL5" s="108" t="s">
        <v>503</v>
      </c>
      <c r="EM5" s="108" t="s">
        <v>503</v>
      </c>
      <c r="EN5" s="108" t="s">
        <v>503</v>
      </c>
      <c r="EO5" s="108" t="s">
        <v>503</v>
      </c>
      <c r="EP5" s="108" t="s">
        <v>503</v>
      </c>
      <c r="EQ5" s="108" t="s">
        <v>503</v>
      </c>
      <c r="ER5" s="108" t="s">
        <v>503</v>
      </c>
      <c r="ES5" s="108" t="s">
        <v>503</v>
      </c>
      <c r="ET5" s="108" t="s">
        <v>503</v>
      </c>
      <c r="EU5" s="108" t="s">
        <v>503</v>
      </c>
      <c r="EV5" s="108" t="s">
        <v>503</v>
      </c>
      <c r="EW5" s="108" t="s">
        <v>503</v>
      </c>
      <c r="EX5" s="108" t="s">
        <v>503</v>
      </c>
      <c r="EY5" s="108" t="s">
        <v>503</v>
      </c>
      <c r="EZ5" s="108" t="s">
        <v>503</v>
      </c>
      <c r="FA5" s="108" t="s">
        <v>503</v>
      </c>
      <c r="FB5" s="108" t="s">
        <v>503</v>
      </c>
      <c r="FC5" s="108" t="s">
        <v>664</v>
      </c>
      <c r="FD5" s="108" t="s">
        <v>664</v>
      </c>
      <c r="FE5" s="108" t="s">
        <v>664</v>
      </c>
      <c r="FF5" s="108" t="s">
        <v>503</v>
      </c>
      <c r="FG5" s="108" t="s">
        <v>503</v>
      </c>
      <c r="FH5" s="108" t="s">
        <v>503</v>
      </c>
      <c r="FI5" s="108" t="s">
        <v>503</v>
      </c>
      <c r="FJ5" s="108" t="s">
        <v>503</v>
      </c>
      <c r="FK5" s="108" t="s">
        <v>503</v>
      </c>
      <c r="FL5" s="108" t="s">
        <v>503</v>
      </c>
      <c r="FM5" s="108" t="s">
        <v>503</v>
      </c>
      <c r="FN5" s="108" t="s">
        <v>503</v>
      </c>
      <c r="FO5" s="108" t="s">
        <v>503</v>
      </c>
      <c r="FP5" s="108" t="s">
        <v>503</v>
      </c>
      <c r="FQ5" s="108" t="s">
        <v>503</v>
      </c>
      <c r="FR5" s="108" t="s">
        <v>503</v>
      </c>
      <c r="FS5" s="108" t="s">
        <v>503</v>
      </c>
      <c r="FT5" s="108" t="s">
        <v>503</v>
      </c>
      <c r="FU5" s="108" t="s">
        <v>503</v>
      </c>
      <c r="FV5" s="108" t="s">
        <v>503</v>
      </c>
      <c r="FW5" s="108" t="s">
        <v>503</v>
      </c>
      <c r="FX5" s="108" t="s">
        <v>503</v>
      </c>
      <c r="FY5" s="108" t="s">
        <v>503</v>
      </c>
      <c r="FZ5" s="108" t="s">
        <v>503</v>
      </c>
      <c r="GA5" s="108" t="s">
        <v>503</v>
      </c>
      <c r="GB5" s="108" t="s">
        <v>503</v>
      </c>
      <c r="GC5" s="108" t="s">
        <v>503</v>
      </c>
      <c r="GD5" s="108" t="s">
        <v>503</v>
      </c>
      <c r="GE5" s="108" t="s">
        <v>503</v>
      </c>
      <c r="GF5" s="108" t="s">
        <v>503</v>
      </c>
      <c r="GG5" s="108" t="s">
        <v>503</v>
      </c>
      <c r="GH5" s="108" t="s">
        <v>503</v>
      </c>
      <c r="GI5" s="108" t="s">
        <v>503</v>
      </c>
      <c r="GJ5" s="108" t="s">
        <v>503</v>
      </c>
      <c r="GK5" s="108" t="s">
        <v>503</v>
      </c>
      <c r="GL5" s="108" t="s">
        <v>503</v>
      </c>
      <c r="GM5" s="108" t="s">
        <v>503</v>
      </c>
      <c r="GN5" s="108" t="s">
        <v>503</v>
      </c>
      <c r="GO5" s="108" t="s">
        <v>503</v>
      </c>
      <c r="GP5" s="108" t="s">
        <v>664</v>
      </c>
      <c r="GQ5" s="108" t="s">
        <v>664</v>
      </c>
      <c r="GR5" s="108" t="s">
        <v>664</v>
      </c>
      <c r="GS5" s="108" t="s">
        <v>664</v>
      </c>
      <c r="GT5" s="108" t="s">
        <v>664</v>
      </c>
      <c r="GU5" s="108" t="s">
        <v>664</v>
      </c>
      <c r="GV5" s="108" t="s">
        <v>664</v>
      </c>
      <c r="GW5" s="108" t="s">
        <v>664</v>
      </c>
      <c r="GX5" s="108" t="s">
        <v>664</v>
      </c>
      <c r="GY5" s="108" t="s">
        <v>664</v>
      </c>
      <c r="GZ5" s="108" t="s">
        <v>664</v>
      </c>
      <c r="HA5" s="108" t="s">
        <v>664</v>
      </c>
      <c r="HB5" s="108" t="s">
        <v>664</v>
      </c>
      <c r="HC5" s="108" t="s">
        <v>664</v>
      </c>
      <c r="HD5" s="108" t="s">
        <v>664</v>
      </c>
      <c r="HE5" s="108" t="s">
        <v>664</v>
      </c>
      <c r="HF5" s="108" t="s">
        <v>664</v>
      </c>
      <c r="HG5" s="108" t="s">
        <v>664</v>
      </c>
      <c r="HH5" s="108" t="s">
        <v>664</v>
      </c>
      <c r="HI5" s="108" t="s">
        <v>664</v>
      </c>
      <c r="HJ5" s="108" t="s">
        <v>664</v>
      </c>
      <c r="HK5" s="108" t="s">
        <v>664</v>
      </c>
      <c r="HL5" s="108" t="s">
        <v>664</v>
      </c>
      <c r="HM5" s="108" t="s">
        <v>664</v>
      </c>
      <c r="HN5" s="108" t="s">
        <v>664</v>
      </c>
      <c r="HO5" s="108" t="s">
        <v>664</v>
      </c>
      <c r="HP5" s="108" t="s">
        <v>664</v>
      </c>
      <c r="HQ5" s="108" t="s">
        <v>664</v>
      </c>
      <c r="HR5" s="108" t="s">
        <v>664</v>
      </c>
      <c r="HS5" s="108" t="s">
        <v>664</v>
      </c>
      <c r="HT5" s="108" t="s">
        <v>664</v>
      </c>
      <c r="HU5" s="108" t="s">
        <v>664</v>
      </c>
      <c r="HV5" s="108" t="s">
        <v>664</v>
      </c>
      <c r="HW5" s="108" t="s">
        <v>664</v>
      </c>
      <c r="HX5" s="108" t="s">
        <v>664</v>
      </c>
      <c r="HY5" s="108" t="s">
        <v>664</v>
      </c>
      <c r="HZ5" s="108" t="s">
        <v>664</v>
      </c>
      <c r="IA5" s="108" t="s">
        <v>664</v>
      </c>
      <c r="IB5" s="108" t="s">
        <v>664</v>
      </c>
      <c r="IC5" s="108" t="s">
        <v>664</v>
      </c>
      <c r="ID5" s="108" t="s">
        <v>664</v>
      </c>
      <c r="IE5" s="108" t="s">
        <v>664</v>
      </c>
      <c r="IF5" s="108" t="s">
        <v>664</v>
      </c>
      <c r="IG5" s="108" t="s">
        <v>664</v>
      </c>
      <c r="IH5" s="108" t="s">
        <v>664</v>
      </c>
      <c r="II5" s="108" t="s">
        <v>664</v>
      </c>
      <c r="IJ5" s="108" t="s">
        <v>664</v>
      </c>
      <c r="IK5" s="108" t="s">
        <v>664</v>
      </c>
      <c r="IL5" s="108" t="s">
        <v>664</v>
      </c>
      <c r="IM5" s="108" t="s">
        <v>664</v>
      </c>
      <c r="IN5" s="108" t="s">
        <v>664</v>
      </c>
      <c r="IO5" s="120" t="s">
        <v>503</v>
      </c>
      <c r="IP5" s="120" t="s">
        <v>503</v>
      </c>
      <c r="IQ5" s="120" t="s">
        <v>503</v>
      </c>
      <c r="IR5" s="120" t="s">
        <v>664</v>
      </c>
      <c r="IS5" s="120" t="s">
        <v>664</v>
      </c>
      <c r="IT5" s="120" t="s">
        <v>664</v>
      </c>
      <c r="IU5" s="120" t="s">
        <v>503</v>
      </c>
      <c r="IV5" s="120" t="s">
        <v>503</v>
      </c>
      <c r="IW5" s="120" t="s">
        <v>503</v>
      </c>
      <c r="IX5" s="120" t="s">
        <v>503</v>
      </c>
      <c r="IY5" s="120" t="s">
        <v>503</v>
      </c>
      <c r="IZ5" s="120" t="s">
        <v>503</v>
      </c>
      <c r="JA5" s="120" t="s">
        <v>503</v>
      </c>
      <c r="JB5" s="120" t="s">
        <v>503</v>
      </c>
      <c r="JC5" s="120" t="s">
        <v>503</v>
      </c>
      <c r="JD5" s="120" t="s">
        <v>664</v>
      </c>
      <c r="JE5" s="120" t="s">
        <v>664</v>
      </c>
      <c r="JF5" s="120" t="s">
        <v>664</v>
      </c>
      <c r="JG5" s="120" t="s">
        <v>664</v>
      </c>
      <c r="JH5" s="120" t="s">
        <v>664</v>
      </c>
      <c r="JI5" s="120" t="s">
        <v>664</v>
      </c>
      <c r="JJ5" s="120" t="s">
        <v>664</v>
      </c>
      <c r="JK5" s="120" t="s">
        <v>664</v>
      </c>
      <c r="JL5" s="120" t="s">
        <v>664</v>
      </c>
      <c r="JM5" s="120" t="s">
        <v>664</v>
      </c>
      <c r="JN5" s="120" t="s">
        <v>664</v>
      </c>
      <c r="JO5" s="120" t="s">
        <v>664</v>
      </c>
      <c r="JP5" s="110">
        <v>77550</v>
      </c>
      <c r="JQ5" s="111">
        <v>92654.680271999998</v>
      </c>
      <c r="JR5" s="112">
        <f t="shared" ref="JR5:JR68" si="0">COUNT(K5,N5,Q5,T5,W5,Z5,AC5,AF5,AI5,AL5,AO5,AR5,AU5,AX5,BA5,BD5,BG5,BJ5,BM5,BP5,BS5,BV5,BY5,CB5,CE5,CH5,CK5,CN5,CQ5,CT5,CW5,CZ5,DC5,DF5,DI5,DL5,DO5,DR5,DU5,DX5,EA5,ED5,EG5,EJ5,EM5,EP5,ES5,EV5,EY5,FB5,FE5,FH5,FK5,FN5,FQ5,FT5,FW5,FZ5,GC5,GF5,GI5,GL5,GO5,GR5,GU5,GX5,HA5,HD5,HG5,HJ5,HM5,HP5,HS5,HV5,HY5,IB5,IE5,IH5,IK5,IN5,IQ5,IT5,IW5,IZ5,JC5,JF5,JI5,JL5,JO5)</f>
        <v>3</v>
      </c>
      <c r="JS5" s="113">
        <f t="shared" ref="JS5:JS68" si="1">AVERAGE(K5,N5,Q5,T5,W5,Z5,AC5,AF5,AI5,AL5,AO5,AR5,AU5,AX5,BA5,BD5,BG5,BJ5,BM5,BP5,BS5,BV5,BY5,CB5,CE5,CH5,CK5,CN5,CQ5,CT5,CW5,CZ5,DC5,DF5,DI5,DL5,DO5,DR5,DU5,DX5,EA5,ED5,EG5,EJ5,EM5,EP5,ES5,EV5,EY5,FB5,FE5,FH5,FK5,FN5,FQ5,FT5,FW5,FZ5,GC5,GF5,GI5,GL5,GO5,GR5,GU5,GX5,HA5,HD5,HG5,HJ5,HM5,HP5,HS5,HV5,HY5,IB5,IE5,IH5,IK5,IN5,IQ5,IT5,IW5,IZ5,JC5,JF5,JI5,JL5,JO5)</f>
        <v>40890.867266666668</v>
      </c>
      <c r="JT5" s="114">
        <f t="shared" ref="JT5:JT68" si="2">_xlfn.CEILING.MATH(JS5,50)</f>
        <v>40900</v>
      </c>
      <c r="JU5" s="115"/>
    </row>
    <row r="6" spans="1:281" ht="101.25" customHeight="1" x14ac:dyDescent="0.2">
      <c r="A6" s="98">
        <v>3</v>
      </c>
      <c r="B6" s="99">
        <v>3</v>
      </c>
      <c r="C6" s="39" t="s">
        <v>662</v>
      </c>
      <c r="D6" s="100" t="s">
        <v>667</v>
      </c>
      <c r="E6" s="39">
        <v>51102700</v>
      </c>
      <c r="F6" s="101" t="s">
        <v>668</v>
      </c>
      <c r="G6" s="102" t="s">
        <v>87</v>
      </c>
      <c r="H6" s="103" t="s">
        <v>501</v>
      </c>
      <c r="I6" s="108" t="s">
        <v>503</v>
      </c>
      <c r="J6" s="108" t="s">
        <v>503</v>
      </c>
      <c r="K6" s="108" t="s">
        <v>503</v>
      </c>
      <c r="L6" s="108" t="s">
        <v>503</v>
      </c>
      <c r="M6" s="108" t="s">
        <v>503</v>
      </c>
      <c r="N6" s="108" t="s">
        <v>503</v>
      </c>
      <c r="O6" s="108" t="s">
        <v>503</v>
      </c>
      <c r="P6" s="108" t="s">
        <v>503</v>
      </c>
      <c r="Q6" s="108" t="s">
        <v>503</v>
      </c>
      <c r="R6" s="108" t="s">
        <v>503</v>
      </c>
      <c r="S6" s="108" t="s">
        <v>503</v>
      </c>
      <c r="T6" s="108" t="s">
        <v>503</v>
      </c>
      <c r="U6" s="108" t="s">
        <v>503</v>
      </c>
      <c r="V6" s="108" t="s">
        <v>503</v>
      </c>
      <c r="W6" s="108" t="s">
        <v>503</v>
      </c>
      <c r="X6" s="108" t="s">
        <v>503</v>
      </c>
      <c r="Y6" s="108" t="s">
        <v>503</v>
      </c>
      <c r="Z6" s="108" t="s">
        <v>503</v>
      </c>
      <c r="AA6" s="121" t="s">
        <v>502</v>
      </c>
      <c r="AB6" s="121" t="s">
        <v>502</v>
      </c>
      <c r="AC6" s="121" t="s">
        <v>502</v>
      </c>
      <c r="AD6" s="108" t="s">
        <v>503</v>
      </c>
      <c r="AE6" s="108" t="s">
        <v>503</v>
      </c>
      <c r="AF6" s="108" t="s">
        <v>503</v>
      </c>
      <c r="AG6" s="108" t="s">
        <v>503</v>
      </c>
      <c r="AH6" s="108" t="s">
        <v>503</v>
      </c>
      <c r="AI6" s="108" t="s">
        <v>503</v>
      </c>
      <c r="AJ6" s="108" t="s">
        <v>503</v>
      </c>
      <c r="AK6" s="108" t="s">
        <v>503</v>
      </c>
      <c r="AL6" s="108" t="s">
        <v>503</v>
      </c>
      <c r="AM6" s="118" t="s">
        <v>669</v>
      </c>
      <c r="AN6" s="118" t="s">
        <v>669</v>
      </c>
      <c r="AO6" s="118" t="s">
        <v>669</v>
      </c>
      <c r="AP6" s="118" t="s">
        <v>669</v>
      </c>
      <c r="AQ6" s="118" t="s">
        <v>669</v>
      </c>
      <c r="AR6" s="118" t="s">
        <v>669</v>
      </c>
      <c r="AS6" s="108" t="s">
        <v>503</v>
      </c>
      <c r="AT6" s="108" t="s">
        <v>503</v>
      </c>
      <c r="AU6" s="108" t="s">
        <v>503</v>
      </c>
      <c r="AV6" s="108" t="s">
        <v>503</v>
      </c>
      <c r="AW6" s="108" t="s">
        <v>503</v>
      </c>
      <c r="AX6" s="108" t="s">
        <v>503</v>
      </c>
      <c r="AY6" s="108" t="s">
        <v>503</v>
      </c>
      <c r="AZ6" s="108" t="s">
        <v>503</v>
      </c>
      <c r="BA6" s="108" t="s">
        <v>503</v>
      </c>
      <c r="BB6" s="108" t="s">
        <v>503</v>
      </c>
      <c r="BC6" s="108" t="s">
        <v>503</v>
      </c>
      <c r="BD6" s="108" t="s">
        <v>503</v>
      </c>
      <c r="BE6" s="108" t="s">
        <v>503</v>
      </c>
      <c r="BF6" s="108" t="s">
        <v>503</v>
      </c>
      <c r="BG6" s="108" t="s">
        <v>503</v>
      </c>
      <c r="BH6" s="108" t="s">
        <v>503</v>
      </c>
      <c r="BI6" s="108" t="s">
        <v>503</v>
      </c>
      <c r="BJ6" s="108" t="s">
        <v>503</v>
      </c>
      <c r="BK6" s="118">
        <v>33670</v>
      </c>
      <c r="BL6" s="119">
        <v>0</v>
      </c>
      <c r="BM6" s="118">
        <f>+BK6+BL6</f>
        <v>33670</v>
      </c>
      <c r="BN6" s="118">
        <v>32094</v>
      </c>
      <c r="BO6" s="119">
        <f>+BN6*0%</f>
        <v>0</v>
      </c>
      <c r="BP6" s="118">
        <f>+BN6+BO6</f>
        <v>32094</v>
      </c>
      <c r="BQ6" s="71">
        <v>32000</v>
      </c>
      <c r="BR6" s="117">
        <f>+BQ6*0%</f>
        <v>0</v>
      </c>
      <c r="BS6" s="71">
        <f>+BQ6+BR6</f>
        <v>32000</v>
      </c>
      <c r="BT6" s="108" t="s">
        <v>503</v>
      </c>
      <c r="BU6" s="108" t="s">
        <v>503</v>
      </c>
      <c r="BV6" s="108" t="s">
        <v>503</v>
      </c>
      <c r="BW6" s="108" t="s">
        <v>503</v>
      </c>
      <c r="BX6" s="108" t="s">
        <v>503</v>
      </c>
      <c r="BY6" s="108" t="s">
        <v>503</v>
      </c>
      <c r="BZ6" s="108" t="s">
        <v>503</v>
      </c>
      <c r="CA6" s="108" t="s">
        <v>503</v>
      </c>
      <c r="CB6" s="108" t="s">
        <v>503</v>
      </c>
      <c r="CC6" s="108" t="s">
        <v>503</v>
      </c>
      <c r="CD6" s="108" t="s">
        <v>503</v>
      </c>
      <c r="CE6" s="108" t="s">
        <v>503</v>
      </c>
      <c r="CF6" s="108" t="s">
        <v>503</v>
      </c>
      <c r="CG6" s="108" t="s">
        <v>503</v>
      </c>
      <c r="CH6" s="108" t="s">
        <v>503</v>
      </c>
      <c r="CI6" s="108" t="s">
        <v>503</v>
      </c>
      <c r="CJ6" s="108" t="s">
        <v>503</v>
      </c>
      <c r="CK6" s="108" t="s">
        <v>503</v>
      </c>
      <c r="CL6" s="108" t="s">
        <v>503</v>
      </c>
      <c r="CM6" s="108" t="s">
        <v>503</v>
      </c>
      <c r="CN6" s="108" t="s">
        <v>503</v>
      </c>
      <c r="CO6" s="108" t="s">
        <v>503</v>
      </c>
      <c r="CP6" s="108" t="s">
        <v>503</v>
      </c>
      <c r="CQ6" s="108" t="s">
        <v>503</v>
      </c>
      <c r="CR6" s="108" t="s">
        <v>503</v>
      </c>
      <c r="CS6" s="108" t="s">
        <v>503</v>
      </c>
      <c r="CT6" s="108" t="s">
        <v>503</v>
      </c>
      <c r="CU6" s="108" t="s">
        <v>503</v>
      </c>
      <c r="CV6" s="108" t="s">
        <v>503</v>
      </c>
      <c r="CW6" s="108" t="s">
        <v>503</v>
      </c>
      <c r="CX6" s="108" t="s">
        <v>503</v>
      </c>
      <c r="CY6" s="108" t="s">
        <v>503</v>
      </c>
      <c r="CZ6" s="108" t="s">
        <v>503</v>
      </c>
      <c r="DA6" s="108" t="s">
        <v>503</v>
      </c>
      <c r="DB6" s="108" t="s">
        <v>503</v>
      </c>
      <c r="DC6" s="108" t="s">
        <v>503</v>
      </c>
      <c r="DD6" s="108" t="s">
        <v>503</v>
      </c>
      <c r="DE6" s="108" t="s">
        <v>503</v>
      </c>
      <c r="DF6" s="108" t="s">
        <v>503</v>
      </c>
      <c r="DG6" s="108" t="s">
        <v>503</v>
      </c>
      <c r="DH6" s="108" t="s">
        <v>503</v>
      </c>
      <c r="DI6" s="108" t="s">
        <v>503</v>
      </c>
      <c r="DJ6" s="108" t="s">
        <v>503</v>
      </c>
      <c r="DK6" s="108" t="s">
        <v>503</v>
      </c>
      <c r="DL6" s="108" t="s">
        <v>503</v>
      </c>
      <c r="DM6" s="108" t="s">
        <v>503</v>
      </c>
      <c r="DN6" s="108" t="s">
        <v>503</v>
      </c>
      <c r="DO6" s="108" t="s">
        <v>503</v>
      </c>
      <c r="DP6" s="108" t="s">
        <v>503</v>
      </c>
      <c r="DQ6" s="108" t="s">
        <v>503</v>
      </c>
      <c r="DR6" s="108" t="s">
        <v>503</v>
      </c>
      <c r="DS6" s="108" t="s">
        <v>503</v>
      </c>
      <c r="DT6" s="108" t="s">
        <v>503</v>
      </c>
      <c r="DU6" s="108" t="s">
        <v>503</v>
      </c>
      <c r="DV6" s="108" t="s">
        <v>503</v>
      </c>
      <c r="DW6" s="108" t="s">
        <v>503</v>
      </c>
      <c r="DX6" s="108" t="s">
        <v>503</v>
      </c>
      <c r="DY6" s="108" t="s">
        <v>503</v>
      </c>
      <c r="DZ6" s="108" t="s">
        <v>503</v>
      </c>
      <c r="EA6" s="108" t="s">
        <v>503</v>
      </c>
      <c r="EB6" s="108" t="s">
        <v>503</v>
      </c>
      <c r="EC6" s="108" t="s">
        <v>503</v>
      </c>
      <c r="ED6" s="108" t="s">
        <v>503</v>
      </c>
      <c r="EE6" s="108" t="s">
        <v>503</v>
      </c>
      <c r="EF6" s="108" t="s">
        <v>503</v>
      </c>
      <c r="EG6" s="108" t="s">
        <v>503</v>
      </c>
      <c r="EH6" s="108" t="s">
        <v>503</v>
      </c>
      <c r="EI6" s="108" t="s">
        <v>503</v>
      </c>
      <c r="EJ6" s="108" t="s">
        <v>503</v>
      </c>
      <c r="EK6" s="108" t="s">
        <v>503</v>
      </c>
      <c r="EL6" s="108" t="s">
        <v>503</v>
      </c>
      <c r="EM6" s="108" t="s">
        <v>503</v>
      </c>
      <c r="EN6" s="108" t="s">
        <v>503</v>
      </c>
      <c r="EO6" s="108" t="s">
        <v>503</v>
      </c>
      <c r="EP6" s="108" t="s">
        <v>503</v>
      </c>
      <c r="EQ6" s="108" t="s">
        <v>503</v>
      </c>
      <c r="ER6" s="108" t="s">
        <v>503</v>
      </c>
      <c r="ES6" s="108" t="s">
        <v>503</v>
      </c>
      <c r="ET6" s="108" t="s">
        <v>503</v>
      </c>
      <c r="EU6" s="108" t="s">
        <v>503</v>
      </c>
      <c r="EV6" s="108" t="s">
        <v>503</v>
      </c>
      <c r="EW6" s="108" t="s">
        <v>503</v>
      </c>
      <c r="EX6" s="108" t="s">
        <v>503</v>
      </c>
      <c r="EY6" s="108" t="s">
        <v>503</v>
      </c>
      <c r="EZ6" s="108" t="s">
        <v>503</v>
      </c>
      <c r="FA6" s="108" t="s">
        <v>503</v>
      </c>
      <c r="FB6" s="108" t="s">
        <v>503</v>
      </c>
      <c r="FC6" s="108" t="s">
        <v>664</v>
      </c>
      <c r="FD6" s="108" t="s">
        <v>664</v>
      </c>
      <c r="FE6" s="108" t="s">
        <v>664</v>
      </c>
      <c r="FF6" s="108" t="s">
        <v>503</v>
      </c>
      <c r="FG6" s="108" t="s">
        <v>503</v>
      </c>
      <c r="FH6" s="108" t="s">
        <v>503</v>
      </c>
      <c r="FI6" s="108" t="s">
        <v>503</v>
      </c>
      <c r="FJ6" s="108" t="s">
        <v>503</v>
      </c>
      <c r="FK6" s="108" t="s">
        <v>503</v>
      </c>
      <c r="FL6" s="108" t="s">
        <v>503</v>
      </c>
      <c r="FM6" s="108" t="s">
        <v>503</v>
      </c>
      <c r="FN6" s="108" t="s">
        <v>503</v>
      </c>
      <c r="FO6" s="108" t="s">
        <v>503</v>
      </c>
      <c r="FP6" s="108" t="s">
        <v>503</v>
      </c>
      <c r="FQ6" s="108" t="s">
        <v>503</v>
      </c>
      <c r="FR6" s="108" t="s">
        <v>503</v>
      </c>
      <c r="FS6" s="108" t="s">
        <v>503</v>
      </c>
      <c r="FT6" s="108" t="s">
        <v>503</v>
      </c>
      <c r="FU6" s="108" t="s">
        <v>503</v>
      </c>
      <c r="FV6" s="108" t="s">
        <v>503</v>
      </c>
      <c r="FW6" s="108" t="s">
        <v>503</v>
      </c>
      <c r="FX6" s="108" t="s">
        <v>503</v>
      </c>
      <c r="FY6" s="108" t="s">
        <v>503</v>
      </c>
      <c r="FZ6" s="108" t="s">
        <v>503</v>
      </c>
      <c r="GA6" s="108" t="s">
        <v>503</v>
      </c>
      <c r="GB6" s="108" t="s">
        <v>503</v>
      </c>
      <c r="GC6" s="108" t="s">
        <v>503</v>
      </c>
      <c r="GD6" s="108" t="s">
        <v>503</v>
      </c>
      <c r="GE6" s="108" t="s">
        <v>503</v>
      </c>
      <c r="GF6" s="108" t="s">
        <v>503</v>
      </c>
      <c r="GG6" s="108" t="s">
        <v>503</v>
      </c>
      <c r="GH6" s="108" t="s">
        <v>503</v>
      </c>
      <c r="GI6" s="108" t="s">
        <v>503</v>
      </c>
      <c r="GJ6" s="108" t="s">
        <v>503</v>
      </c>
      <c r="GK6" s="108" t="s">
        <v>503</v>
      </c>
      <c r="GL6" s="108" t="s">
        <v>503</v>
      </c>
      <c r="GM6" s="108" t="s">
        <v>503</v>
      </c>
      <c r="GN6" s="108" t="s">
        <v>503</v>
      </c>
      <c r="GO6" s="108" t="s">
        <v>503</v>
      </c>
      <c r="GP6" s="108" t="s">
        <v>664</v>
      </c>
      <c r="GQ6" s="108" t="s">
        <v>664</v>
      </c>
      <c r="GR6" s="108" t="s">
        <v>664</v>
      </c>
      <c r="GS6" s="108" t="s">
        <v>664</v>
      </c>
      <c r="GT6" s="108" t="s">
        <v>664</v>
      </c>
      <c r="GU6" s="108" t="s">
        <v>664</v>
      </c>
      <c r="GV6" s="108" t="s">
        <v>664</v>
      </c>
      <c r="GW6" s="108" t="s">
        <v>664</v>
      </c>
      <c r="GX6" s="108" t="s">
        <v>664</v>
      </c>
      <c r="GY6" s="108" t="s">
        <v>664</v>
      </c>
      <c r="GZ6" s="108" t="s">
        <v>664</v>
      </c>
      <c r="HA6" s="108" t="s">
        <v>664</v>
      </c>
      <c r="HB6" s="108" t="s">
        <v>664</v>
      </c>
      <c r="HC6" s="108" t="s">
        <v>664</v>
      </c>
      <c r="HD6" s="108" t="s">
        <v>664</v>
      </c>
      <c r="HE6" s="108" t="s">
        <v>664</v>
      </c>
      <c r="HF6" s="108" t="s">
        <v>664</v>
      </c>
      <c r="HG6" s="108" t="s">
        <v>664</v>
      </c>
      <c r="HH6" s="108" t="s">
        <v>664</v>
      </c>
      <c r="HI6" s="108" t="s">
        <v>664</v>
      </c>
      <c r="HJ6" s="108" t="s">
        <v>664</v>
      </c>
      <c r="HK6" s="108" t="s">
        <v>664</v>
      </c>
      <c r="HL6" s="108" t="s">
        <v>664</v>
      </c>
      <c r="HM6" s="108" t="s">
        <v>664</v>
      </c>
      <c r="HN6" s="108" t="s">
        <v>664</v>
      </c>
      <c r="HO6" s="108" t="s">
        <v>664</v>
      </c>
      <c r="HP6" s="108" t="s">
        <v>664</v>
      </c>
      <c r="HQ6" s="108" t="s">
        <v>664</v>
      </c>
      <c r="HR6" s="108" t="s">
        <v>664</v>
      </c>
      <c r="HS6" s="108" t="s">
        <v>664</v>
      </c>
      <c r="HT6" s="108" t="s">
        <v>664</v>
      </c>
      <c r="HU6" s="108" t="s">
        <v>664</v>
      </c>
      <c r="HV6" s="108" t="s">
        <v>664</v>
      </c>
      <c r="HW6" s="108" t="s">
        <v>664</v>
      </c>
      <c r="HX6" s="108" t="s">
        <v>664</v>
      </c>
      <c r="HY6" s="108" t="s">
        <v>664</v>
      </c>
      <c r="HZ6" s="108" t="s">
        <v>664</v>
      </c>
      <c r="IA6" s="108" t="s">
        <v>664</v>
      </c>
      <c r="IB6" s="108" t="s">
        <v>664</v>
      </c>
      <c r="IC6" s="108" t="s">
        <v>664</v>
      </c>
      <c r="ID6" s="108" t="s">
        <v>664</v>
      </c>
      <c r="IE6" s="108" t="s">
        <v>664</v>
      </c>
      <c r="IF6" s="108" t="s">
        <v>664</v>
      </c>
      <c r="IG6" s="108" t="s">
        <v>664</v>
      </c>
      <c r="IH6" s="108" t="s">
        <v>664</v>
      </c>
      <c r="II6" s="108" t="s">
        <v>664</v>
      </c>
      <c r="IJ6" s="108" t="s">
        <v>664</v>
      </c>
      <c r="IK6" s="108" t="s">
        <v>664</v>
      </c>
      <c r="IL6" s="108" t="s">
        <v>664</v>
      </c>
      <c r="IM6" s="108" t="s">
        <v>664</v>
      </c>
      <c r="IN6" s="108" t="s">
        <v>664</v>
      </c>
      <c r="IO6" s="120" t="s">
        <v>503</v>
      </c>
      <c r="IP6" s="120" t="s">
        <v>503</v>
      </c>
      <c r="IQ6" s="120" t="s">
        <v>503</v>
      </c>
      <c r="IR6" s="120" t="s">
        <v>664</v>
      </c>
      <c r="IS6" s="120" t="s">
        <v>664</v>
      </c>
      <c r="IT6" s="120" t="s">
        <v>664</v>
      </c>
      <c r="IU6" s="120" t="s">
        <v>503</v>
      </c>
      <c r="IV6" s="120" t="s">
        <v>503</v>
      </c>
      <c r="IW6" s="120" t="s">
        <v>503</v>
      </c>
      <c r="IX6" s="120" t="s">
        <v>503</v>
      </c>
      <c r="IY6" s="120" t="s">
        <v>503</v>
      </c>
      <c r="IZ6" s="120" t="s">
        <v>503</v>
      </c>
      <c r="JA6" s="120" t="s">
        <v>503</v>
      </c>
      <c r="JB6" s="120" t="s">
        <v>503</v>
      </c>
      <c r="JC6" s="120" t="s">
        <v>503</v>
      </c>
      <c r="JD6" s="120" t="s">
        <v>664</v>
      </c>
      <c r="JE6" s="120" t="s">
        <v>664</v>
      </c>
      <c r="JF6" s="120" t="s">
        <v>664</v>
      </c>
      <c r="JG6" s="120" t="s">
        <v>664</v>
      </c>
      <c r="JH6" s="120" t="s">
        <v>664</v>
      </c>
      <c r="JI6" s="120" t="s">
        <v>664</v>
      </c>
      <c r="JJ6" s="120" t="s">
        <v>664</v>
      </c>
      <c r="JK6" s="120" t="s">
        <v>664</v>
      </c>
      <c r="JL6" s="120" t="s">
        <v>664</v>
      </c>
      <c r="JM6" s="120" t="s">
        <v>664</v>
      </c>
      <c r="JN6" s="120" t="s">
        <v>664</v>
      </c>
      <c r="JO6" s="120" t="s">
        <v>664</v>
      </c>
      <c r="JP6" s="110">
        <v>34600</v>
      </c>
      <c r="JQ6" s="111">
        <v>41339.161024000001</v>
      </c>
      <c r="JR6" s="112">
        <f t="shared" si="0"/>
        <v>3</v>
      </c>
      <c r="JS6" s="113">
        <f t="shared" si="1"/>
        <v>32588</v>
      </c>
      <c r="JT6" s="114">
        <f t="shared" si="2"/>
        <v>32600</v>
      </c>
      <c r="JU6" s="115"/>
    </row>
    <row r="7" spans="1:281" s="127" customFormat="1" ht="101.25" customHeight="1" x14ac:dyDescent="0.2">
      <c r="A7" s="98">
        <v>8</v>
      </c>
      <c r="B7" s="99">
        <v>8</v>
      </c>
      <c r="C7" s="39" t="s">
        <v>670</v>
      </c>
      <c r="D7" s="100" t="s">
        <v>113</v>
      </c>
      <c r="E7" s="53">
        <v>82101500</v>
      </c>
      <c r="F7" s="53">
        <v>82101500</v>
      </c>
      <c r="G7" s="102" t="s">
        <v>86</v>
      </c>
      <c r="H7" s="103" t="s">
        <v>501</v>
      </c>
      <c r="I7" s="108" t="s">
        <v>503</v>
      </c>
      <c r="J7" s="108" t="s">
        <v>503</v>
      </c>
      <c r="K7" s="108" t="s">
        <v>503</v>
      </c>
      <c r="L7" s="108" t="s">
        <v>503</v>
      </c>
      <c r="M7" s="108" t="s">
        <v>503</v>
      </c>
      <c r="N7" s="108" t="s">
        <v>503</v>
      </c>
      <c r="O7" s="108" t="s">
        <v>503</v>
      </c>
      <c r="P7" s="108" t="s">
        <v>503</v>
      </c>
      <c r="Q7" s="108" t="s">
        <v>503</v>
      </c>
      <c r="R7" s="108" t="s">
        <v>503</v>
      </c>
      <c r="S7" s="108" t="s">
        <v>503</v>
      </c>
      <c r="T7" s="108" t="s">
        <v>503</v>
      </c>
      <c r="U7" s="108" t="s">
        <v>503</v>
      </c>
      <c r="V7" s="108" t="s">
        <v>503</v>
      </c>
      <c r="W7" s="108" t="s">
        <v>503</v>
      </c>
      <c r="X7" s="108" t="s">
        <v>503</v>
      </c>
      <c r="Y7" s="108" t="s">
        <v>503</v>
      </c>
      <c r="Z7" s="108" t="s">
        <v>503</v>
      </c>
      <c r="AA7" s="108" t="s">
        <v>503</v>
      </c>
      <c r="AB7" s="108" t="s">
        <v>503</v>
      </c>
      <c r="AC7" s="108" t="s">
        <v>503</v>
      </c>
      <c r="AD7" s="108" t="s">
        <v>503</v>
      </c>
      <c r="AE7" s="108" t="s">
        <v>503</v>
      </c>
      <c r="AF7" s="108" t="s">
        <v>503</v>
      </c>
      <c r="AG7" s="108" t="s">
        <v>503</v>
      </c>
      <c r="AH7" s="108" t="s">
        <v>503</v>
      </c>
      <c r="AI7" s="108" t="s">
        <v>503</v>
      </c>
      <c r="AJ7" s="56">
        <v>375</v>
      </c>
      <c r="AK7" s="117">
        <f t="shared" ref="AK7" si="3">+AJ7*19%</f>
        <v>71.25</v>
      </c>
      <c r="AL7" s="71">
        <f t="shared" ref="AL7" si="4">+AJ7+AK7</f>
        <v>446.25</v>
      </c>
      <c r="AM7" s="108" t="s">
        <v>503</v>
      </c>
      <c r="AN7" s="108" t="s">
        <v>503</v>
      </c>
      <c r="AO7" s="108" t="s">
        <v>503</v>
      </c>
      <c r="AP7" s="108" t="s">
        <v>503</v>
      </c>
      <c r="AQ7" s="108" t="s">
        <v>503</v>
      </c>
      <c r="AR7" s="108" t="s">
        <v>503</v>
      </c>
      <c r="AS7" s="108" t="s">
        <v>503</v>
      </c>
      <c r="AT7" s="108" t="s">
        <v>503</v>
      </c>
      <c r="AU7" s="108" t="s">
        <v>503</v>
      </c>
      <c r="AV7" s="108" t="s">
        <v>503</v>
      </c>
      <c r="AW7" s="108" t="s">
        <v>503</v>
      </c>
      <c r="AX7" s="108" t="s">
        <v>503</v>
      </c>
      <c r="AY7" s="108" t="s">
        <v>503</v>
      </c>
      <c r="AZ7" s="108" t="s">
        <v>503</v>
      </c>
      <c r="BA7" s="108" t="s">
        <v>503</v>
      </c>
      <c r="BB7" s="108" t="s">
        <v>503</v>
      </c>
      <c r="BC7" s="108" t="s">
        <v>503</v>
      </c>
      <c r="BD7" s="108" t="s">
        <v>503</v>
      </c>
      <c r="BE7" s="108" t="s">
        <v>503</v>
      </c>
      <c r="BF7" s="108" t="s">
        <v>503</v>
      </c>
      <c r="BG7" s="108" t="s">
        <v>503</v>
      </c>
      <c r="BH7" s="108" t="s">
        <v>503</v>
      </c>
      <c r="BI7" s="108" t="s">
        <v>503</v>
      </c>
      <c r="BJ7" s="108" t="s">
        <v>503</v>
      </c>
      <c r="BK7" s="108" t="s">
        <v>503</v>
      </c>
      <c r="BL7" s="108" t="s">
        <v>503</v>
      </c>
      <c r="BM7" s="108" t="s">
        <v>503</v>
      </c>
      <c r="BN7" s="108" t="s">
        <v>503</v>
      </c>
      <c r="BO7" s="108" t="s">
        <v>503</v>
      </c>
      <c r="BP7" s="108" t="s">
        <v>503</v>
      </c>
      <c r="BQ7" s="108" t="s">
        <v>503</v>
      </c>
      <c r="BR7" s="108" t="s">
        <v>503</v>
      </c>
      <c r="BS7" s="108" t="s">
        <v>503</v>
      </c>
      <c r="BT7" s="108" t="s">
        <v>503</v>
      </c>
      <c r="BU7" s="108" t="s">
        <v>503</v>
      </c>
      <c r="BV7" s="108" t="s">
        <v>503</v>
      </c>
      <c r="BW7" s="108" t="s">
        <v>503</v>
      </c>
      <c r="BX7" s="108" t="s">
        <v>503</v>
      </c>
      <c r="BY7" s="108" t="s">
        <v>503</v>
      </c>
      <c r="BZ7" s="108" t="s">
        <v>503</v>
      </c>
      <c r="CA7" s="108" t="s">
        <v>503</v>
      </c>
      <c r="CB7" s="108" t="s">
        <v>503</v>
      </c>
      <c r="CC7" s="108" t="s">
        <v>503</v>
      </c>
      <c r="CD7" s="108" t="s">
        <v>503</v>
      </c>
      <c r="CE7" s="108" t="s">
        <v>503</v>
      </c>
      <c r="CF7" s="122">
        <v>575</v>
      </c>
      <c r="CG7" s="119">
        <v>109.25</v>
      </c>
      <c r="CH7" s="118">
        <v>684.25</v>
      </c>
      <c r="CI7" s="108" t="s">
        <v>503</v>
      </c>
      <c r="CJ7" s="108" t="s">
        <v>503</v>
      </c>
      <c r="CK7" s="108" t="s">
        <v>503</v>
      </c>
      <c r="CL7" s="108" t="s">
        <v>503</v>
      </c>
      <c r="CM7" s="108" t="s">
        <v>503</v>
      </c>
      <c r="CN7" s="108" t="s">
        <v>503</v>
      </c>
      <c r="CO7" s="108" t="s">
        <v>503</v>
      </c>
      <c r="CP7" s="108" t="s">
        <v>503</v>
      </c>
      <c r="CQ7" s="108" t="s">
        <v>503</v>
      </c>
      <c r="CR7" s="108" t="s">
        <v>503</v>
      </c>
      <c r="CS7" s="108" t="s">
        <v>503</v>
      </c>
      <c r="CT7" s="108" t="s">
        <v>503</v>
      </c>
      <c r="CU7" s="108" t="s">
        <v>503</v>
      </c>
      <c r="CV7" s="108" t="s">
        <v>503</v>
      </c>
      <c r="CW7" s="108" t="s">
        <v>503</v>
      </c>
      <c r="CX7" s="108" t="s">
        <v>503</v>
      </c>
      <c r="CY7" s="108" t="s">
        <v>503</v>
      </c>
      <c r="CZ7" s="108" t="s">
        <v>503</v>
      </c>
      <c r="DA7" s="108" t="s">
        <v>503</v>
      </c>
      <c r="DB7" s="108" t="s">
        <v>503</v>
      </c>
      <c r="DC7" s="108" t="s">
        <v>503</v>
      </c>
      <c r="DD7" s="108" t="s">
        <v>503</v>
      </c>
      <c r="DE7" s="108" t="s">
        <v>503</v>
      </c>
      <c r="DF7" s="108" t="s">
        <v>503</v>
      </c>
      <c r="DG7" s="108" t="s">
        <v>503</v>
      </c>
      <c r="DH7" s="108" t="s">
        <v>503</v>
      </c>
      <c r="DI7" s="108" t="s">
        <v>503</v>
      </c>
      <c r="DJ7" s="108" t="s">
        <v>503</v>
      </c>
      <c r="DK7" s="108" t="s">
        <v>503</v>
      </c>
      <c r="DL7" s="108" t="s">
        <v>503</v>
      </c>
      <c r="DM7" s="108" t="s">
        <v>503</v>
      </c>
      <c r="DN7" s="108" t="s">
        <v>503</v>
      </c>
      <c r="DO7" s="108" t="s">
        <v>503</v>
      </c>
      <c r="DP7" s="108" t="s">
        <v>669</v>
      </c>
      <c r="DQ7" s="108" t="s">
        <v>669</v>
      </c>
      <c r="DR7" s="108" t="s">
        <v>669</v>
      </c>
      <c r="DS7" s="108" t="s">
        <v>669</v>
      </c>
      <c r="DT7" s="108" t="s">
        <v>669</v>
      </c>
      <c r="DU7" s="108" t="s">
        <v>669</v>
      </c>
      <c r="DV7" s="108" t="s">
        <v>669</v>
      </c>
      <c r="DW7" s="108" t="s">
        <v>669</v>
      </c>
      <c r="DX7" s="108" t="s">
        <v>669</v>
      </c>
      <c r="DY7" s="108" t="s">
        <v>503</v>
      </c>
      <c r="DZ7" s="108" t="s">
        <v>503</v>
      </c>
      <c r="EA7" s="108" t="s">
        <v>503</v>
      </c>
      <c r="EB7" s="108" t="s">
        <v>503</v>
      </c>
      <c r="EC7" s="108" t="s">
        <v>503</v>
      </c>
      <c r="ED7" s="108" t="s">
        <v>503</v>
      </c>
      <c r="EE7" s="108" t="s">
        <v>503</v>
      </c>
      <c r="EF7" s="108" t="s">
        <v>503</v>
      </c>
      <c r="EG7" s="108" t="s">
        <v>503</v>
      </c>
      <c r="EH7" s="108" t="s">
        <v>503</v>
      </c>
      <c r="EI7" s="108" t="s">
        <v>503</v>
      </c>
      <c r="EJ7" s="108" t="s">
        <v>503</v>
      </c>
      <c r="EK7" s="108" t="s">
        <v>503</v>
      </c>
      <c r="EL7" s="108" t="s">
        <v>503</v>
      </c>
      <c r="EM7" s="108" t="s">
        <v>503</v>
      </c>
      <c r="EN7" s="108" t="s">
        <v>503</v>
      </c>
      <c r="EO7" s="108" t="s">
        <v>503</v>
      </c>
      <c r="EP7" s="108" t="s">
        <v>503</v>
      </c>
      <c r="EQ7" s="108" t="s">
        <v>503</v>
      </c>
      <c r="ER7" s="108" t="s">
        <v>503</v>
      </c>
      <c r="ES7" s="108" t="s">
        <v>503</v>
      </c>
      <c r="ET7" s="108" t="s">
        <v>503</v>
      </c>
      <c r="EU7" s="108" t="s">
        <v>503</v>
      </c>
      <c r="EV7" s="108" t="s">
        <v>503</v>
      </c>
      <c r="EW7" s="108" t="s">
        <v>503</v>
      </c>
      <c r="EX7" s="108" t="s">
        <v>503</v>
      </c>
      <c r="EY7" s="108" t="s">
        <v>503</v>
      </c>
      <c r="EZ7" s="108" t="s">
        <v>503</v>
      </c>
      <c r="FA7" s="108" t="s">
        <v>503</v>
      </c>
      <c r="FB7" s="108" t="s">
        <v>503</v>
      </c>
      <c r="FC7" s="108" t="s">
        <v>664</v>
      </c>
      <c r="FD7" s="108" t="s">
        <v>664</v>
      </c>
      <c r="FE7" s="108" t="s">
        <v>664</v>
      </c>
      <c r="FF7" s="108" t="s">
        <v>502</v>
      </c>
      <c r="FG7" s="108" t="s">
        <v>502</v>
      </c>
      <c r="FH7" s="108" t="s">
        <v>502</v>
      </c>
      <c r="FI7" s="108" t="s">
        <v>503</v>
      </c>
      <c r="FJ7" s="108" t="s">
        <v>503</v>
      </c>
      <c r="FK7" s="108" t="s">
        <v>503</v>
      </c>
      <c r="FL7" s="108" t="s">
        <v>503</v>
      </c>
      <c r="FM7" s="108" t="s">
        <v>503</v>
      </c>
      <c r="FN7" s="108" t="s">
        <v>503</v>
      </c>
      <c r="FO7" s="108" t="s">
        <v>503</v>
      </c>
      <c r="FP7" s="108" t="s">
        <v>503</v>
      </c>
      <c r="FQ7" s="108" t="s">
        <v>503</v>
      </c>
      <c r="FR7" s="108" t="s">
        <v>503</v>
      </c>
      <c r="FS7" s="108" t="s">
        <v>503</v>
      </c>
      <c r="FT7" s="108" t="s">
        <v>503</v>
      </c>
      <c r="FU7" s="108" t="s">
        <v>503</v>
      </c>
      <c r="FV7" s="108" t="s">
        <v>503</v>
      </c>
      <c r="FW7" s="108" t="s">
        <v>503</v>
      </c>
      <c r="FX7" s="108" t="s">
        <v>503</v>
      </c>
      <c r="FY7" s="108" t="s">
        <v>503</v>
      </c>
      <c r="FZ7" s="108" t="s">
        <v>503</v>
      </c>
      <c r="GA7" s="108" t="s">
        <v>503</v>
      </c>
      <c r="GB7" s="108" t="s">
        <v>503</v>
      </c>
      <c r="GC7" s="108" t="s">
        <v>503</v>
      </c>
      <c r="GD7" s="108" t="s">
        <v>503</v>
      </c>
      <c r="GE7" s="108" t="s">
        <v>503</v>
      </c>
      <c r="GF7" s="108" t="s">
        <v>503</v>
      </c>
      <c r="GG7" s="108" t="s">
        <v>503</v>
      </c>
      <c r="GH7" s="108" t="s">
        <v>503</v>
      </c>
      <c r="GI7" s="108" t="s">
        <v>503</v>
      </c>
      <c r="GJ7" s="108" t="s">
        <v>503</v>
      </c>
      <c r="GK7" s="108" t="s">
        <v>503</v>
      </c>
      <c r="GL7" s="108" t="s">
        <v>503</v>
      </c>
      <c r="GM7" s="108" t="s">
        <v>503</v>
      </c>
      <c r="GN7" s="108" t="s">
        <v>503</v>
      </c>
      <c r="GO7" s="108" t="s">
        <v>503</v>
      </c>
      <c r="GP7" s="108" t="s">
        <v>664</v>
      </c>
      <c r="GQ7" s="108" t="s">
        <v>664</v>
      </c>
      <c r="GR7" s="108" t="s">
        <v>664</v>
      </c>
      <c r="GS7" s="108" t="s">
        <v>664</v>
      </c>
      <c r="GT7" s="108" t="s">
        <v>664</v>
      </c>
      <c r="GU7" s="108" t="s">
        <v>664</v>
      </c>
      <c r="GV7" s="108" t="s">
        <v>664</v>
      </c>
      <c r="GW7" s="108" t="s">
        <v>664</v>
      </c>
      <c r="GX7" s="108" t="s">
        <v>664</v>
      </c>
      <c r="GY7" s="108" t="s">
        <v>664</v>
      </c>
      <c r="GZ7" s="108" t="s">
        <v>664</v>
      </c>
      <c r="HA7" s="108" t="s">
        <v>664</v>
      </c>
      <c r="HB7" s="108" t="s">
        <v>664</v>
      </c>
      <c r="HC7" s="108" t="s">
        <v>664</v>
      </c>
      <c r="HD7" s="108" t="s">
        <v>664</v>
      </c>
      <c r="HE7" s="108" t="s">
        <v>664</v>
      </c>
      <c r="HF7" s="108" t="s">
        <v>664</v>
      </c>
      <c r="HG7" s="108" t="s">
        <v>664</v>
      </c>
      <c r="HH7" s="108" t="s">
        <v>664</v>
      </c>
      <c r="HI7" s="108" t="s">
        <v>664</v>
      </c>
      <c r="HJ7" s="108" t="s">
        <v>664</v>
      </c>
      <c r="HK7" s="108" t="s">
        <v>664</v>
      </c>
      <c r="HL7" s="108" t="s">
        <v>664</v>
      </c>
      <c r="HM7" s="108" t="s">
        <v>664</v>
      </c>
      <c r="HN7" s="123" t="s">
        <v>669</v>
      </c>
      <c r="HO7" s="124" t="s">
        <v>669</v>
      </c>
      <c r="HP7" s="125" t="s">
        <v>669</v>
      </c>
      <c r="HQ7" s="108" t="s">
        <v>664</v>
      </c>
      <c r="HR7" s="108" t="s">
        <v>664</v>
      </c>
      <c r="HS7" s="108" t="s">
        <v>664</v>
      </c>
      <c r="HT7" s="108" t="s">
        <v>664</v>
      </c>
      <c r="HU7" s="108" t="s">
        <v>664</v>
      </c>
      <c r="HV7" s="108" t="s">
        <v>664</v>
      </c>
      <c r="HW7" s="108" t="s">
        <v>664</v>
      </c>
      <c r="HX7" s="108" t="s">
        <v>664</v>
      </c>
      <c r="HY7" s="108" t="s">
        <v>664</v>
      </c>
      <c r="HZ7" s="108" t="s">
        <v>664</v>
      </c>
      <c r="IA7" s="108" t="s">
        <v>664</v>
      </c>
      <c r="IB7" s="108" t="s">
        <v>664</v>
      </c>
      <c r="IC7" s="108" t="s">
        <v>664</v>
      </c>
      <c r="ID7" s="108" t="s">
        <v>664</v>
      </c>
      <c r="IE7" s="108" t="s">
        <v>664</v>
      </c>
      <c r="IF7" s="108" t="s">
        <v>664</v>
      </c>
      <c r="IG7" s="108" t="s">
        <v>664</v>
      </c>
      <c r="IH7" s="108" t="s">
        <v>664</v>
      </c>
      <c r="II7" s="108" t="s">
        <v>664</v>
      </c>
      <c r="IJ7" s="108" t="s">
        <v>664</v>
      </c>
      <c r="IK7" s="108" t="s">
        <v>664</v>
      </c>
      <c r="IL7" s="108" t="s">
        <v>664</v>
      </c>
      <c r="IM7" s="108" t="s">
        <v>664</v>
      </c>
      <c r="IN7" s="108" t="s">
        <v>664</v>
      </c>
      <c r="IO7" s="120" t="s">
        <v>503</v>
      </c>
      <c r="IP7" s="120" t="s">
        <v>503</v>
      </c>
      <c r="IQ7" s="120" t="s">
        <v>503</v>
      </c>
      <c r="IR7" s="120" t="s">
        <v>664</v>
      </c>
      <c r="IS7" s="120" t="s">
        <v>664</v>
      </c>
      <c r="IT7" s="120" t="s">
        <v>664</v>
      </c>
      <c r="IU7" s="120" t="s">
        <v>503</v>
      </c>
      <c r="IV7" s="120" t="s">
        <v>503</v>
      </c>
      <c r="IW7" s="120" t="s">
        <v>503</v>
      </c>
      <c r="IX7" s="108" t="s">
        <v>502</v>
      </c>
      <c r="IY7" s="108" t="s">
        <v>502</v>
      </c>
      <c r="IZ7" s="108" t="s">
        <v>502</v>
      </c>
      <c r="JA7" s="120" t="s">
        <v>503</v>
      </c>
      <c r="JB7" s="120" t="s">
        <v>503</v>
      </c>
      <c r="JC7" s="120" t="s">
        <v>503</v>
      </c>
      <c r="JD7" s="120" t="s">
        <v>664</v>
      </c>
      <c r="JE7" s="120" t="s">
        <v>664</v>
      </c>
      <c r="JF7" s="120" t="s">
        <v>664</v>
      </c>
      <c r="JG7" s="120" t="s">
        <v>664</v>
      </c>
      <c r="JH7" s="120" t="s">
        <v>664</v>
      </c>
      <c r="JI7" s="120" t="s">
        <v>664</v>
      </c>
      <c r="JJ7" s="120" t="s">
        <v>664</v>
      </c>
      <c r="JK7" s="120" t="s">
        <v>664</v>
      </c>
      <c r="JL7" s="120" t="s">
        <v>664</v>
      </c>
      <c r="JM7" s="120" t="s">
        <v>664</v>
      </c>
      <c r="JN7" s="120" t="s">
        <v>664</v>
      </c>
      <c r="JO7" s="120" t="s">
        <v>664</v>
      </c>
      <c r="JP7" s="110">
        <v>500</v>
      </c>
      <c r="JQ7" s="111">
        <v>597.38671999999997</v>
      </c>
      <c r="JR7" s="112">
        <f t="shared" si="0"/>
        <v>2</v>
      </c>
      <c r="JS7" s="113">
        <f t="shared" si="1"/>
        <v>565.25</v>
      </c>
      <c r="JT7" s="114">
        <f t="shared" si="2"/>
        <v>600</v>
      </c>
      <c r="JU7" s="126"/>
    </row>
    <row r="8" spans="1:281" ht="101.25" customHeight="1" x14ac:dyDescent="0.2">
      <c r="A8" s="98">
        <v>12</v>
      </c>
      <c r="B8" s="99">
        <v>12</v>
      </c>
      <c r="C8" s="39" t="s">
        <v>670</v>
      </c>
      <c r="D8" s="100" t="s">
        <v>671</v>
      </c>
      <c r="E8" s="53">
        <v>82101500</v>
      </c>
      <c r="F8" s="101" t="s">
        <v>672</v>
      </c>
      <c r="G8" s="102" t="s">
        <v>86</v>
      </c>
      <c r="H8" s="103" t="s">
        <v>501</v>
      </c>
      <c r="I8" s="108" t="s">
        <v>503</v>
      </c>
      <c r="J8" s="108" t="s">
        <v>503</v>
      </c>
      <c r="K8" s="108" t="s">
        <v>503</v>
      </c>
      <c r="L8" s="108" t="s">
        <v>503</v>
      </c>
      <c r="M8" s="108" t="s">
        <v>503</v>
      </c>
      <c r="N8" s="108" t="s">
        <v>503</v>
      </c>
      <c r="O8" s="108" t="s">
        <v>503</v>
      </c>
      <c r="P8" s="108" t="s">
        <v>503</v>
      </c>
      <c r="Q8" s="108" t="s">
        <v>503</v>
      </c>
      <c r="R8" s="108" t="s">
        <v>503</v>
      </c>
      <c r="S8" s="108" t="s">
        <v>503</v>
      </c>
      <c r="T8" s="108" t="s">
        <v>503</v>
      </c>
      <c r="U8" s="108" t="s">
        <v>503</v>
      </c>
      <c r="V8" s="108" t="s">
        <v>503</v>
      </c>
      <c r="W8" s="108" t="s">
        <v>503</v>
      </c>
      <c r="X8" s="108" t="s">
        <v>503</v>
      </c>
      <c r="Y8" s="108" t="s">
        <v>503</v>
      </c>
      <c r="Z8" s="108" t="s">
        <v>503</v>
      </c>
      <c r="AA8" s="108" t="s">
        <v>503</v>
      </c>
      <c r="AB8" s="108" t="s">
        <v>503</v>
      </c>
      <c r="AC8" s="108" t="s">
        <v>503</v>
      </c>
      <c r="AD8" s="56">
        <v>429104</v>
      </c>
      <c r="AE8" s="119">
        <f>+AD8*19%</f>
        <v>81529.759999999995</v>
      </c>
      <c r="AF8" s="118">
        <f>+AD8+AE8</f>
        <v>510633.76</v>
      </c>
      <c r="AG8" s="56">
        <v>272000</v>
      </c>
      <c r="AH8" s="119">
        <f>+AG8*19%</f>
        <v>51680</v>
      </c>
      <c r="AI8" s="118">
        <f>+AG8+AH8</f>
        <v>323680</v>
      </c>
      <c r="AJ8" s="108" t="s">
        <v>503</v>
      </c>
      <c r="AK8" s="108" t="s">
        <v>503</v>
      </c>
      <c r="AL8" s="108" t="s">
        <v>503</v>
      </c>
      <c r="AM8" s="108" t="s">
        <v>503</v>
      </c>
      <c r="AN8" s="108" t="s">
        <v>503</v>
      </c>
      <c r="AO8" s="108" t="s">
        <v>503</v>
      </c>
      <c r="AP8" s="108" t="s">
        <v>503</v>
      </c>
      <c r="AQ8" s="108" t="s">
        <v>503</v>
      </c>
      <c r="AR8" s="108" t="s">
        <v>503</v>
      </c>
      <c r="AS8" s="108" t="s">
        <v>503</v>
      </c>
      <c r="AT8" s="108" t="s">
        <v>503</v>
      </c>
      <c r="AU8" s="108" t="s">
        <v>503</v>
      </c>
      <c r="AV8" s="108" t="s">
        <v>503</v>
      </c>
      <c r="AW8" s="108" t="s">
        <v>503</v>
      </c>
      <c r="AX8" s="108" t="s">
        <v>503</v>
      </c>
      <c r="AY8" s="108" t="s">
        <v>503</v>
      </c>
      <c r="AZ8" s="108" t="s">
        <v>503</v>
      </c>
      <c r="BA8" s="108" t="s">
        <v>503</v>
      </c>
      <c r="BB8" s="108" t="s">
        <v>503</v>
      </c>
      <c r="BC8" s="108" t="s">
        <v>503</v>
      </c>
      <c r="BD8" s="108" t="s">
        <v>503</v>
      </c>
      <c r="BE8" s="108" t="s">
        <v>503</v>
      </c>
      <c r="BF8" s="108" t="s">
        <v>503</v>
      </c>
      <c r="BG8" s="108" t="s">
        <v>503</v>
      </c>
      <c r="BH8" s="108" t="s">
        <v>503</v>
      </c>
      <c r="BI8" s="108" t="s">
        <v>503</v>
      </c>
      <c r="BJ8" s="108" t="s">
        <v>503</v>
      </c>
      <c r="BK8" s="108" t="s">
        <v>503</v>
      </c>
      <c r="BL8" s="108" t="s">
        <v>503</v>
      </c>
      <c r="BM8" s="108" t="s">
        <v>503</v>
      </c>
      <c r="BN8" s="108" t="s">
        <v>503</v>
      </c>
      <c r="BO8" s="108" t="s">
        <v>503</v>
      </c>
      <c r="BP8" s="108" t="s">
        <v>503</v>
      </c>
      <c r="BQ8" s="108" t="s">
        <v>503</v>
      </c>
      <c r="BR8" s="108" t="s">
        <v>503</v>
      </c>
      <c r="BS8" s="108" t="s">
        <v>503</v>
      </c>
      <c r="BT8" s="108" t="s">
        <v>503</v>
      </c>
      <c r="BU8" s="108" t="s">
        <v>503</v>
      </c>
      <c r="BV8" s="108" t="s">
        <v>503</v>
      </c>
      <c r="BW8" s="108" t="s">
        <v>503</v>
      </c>
      <c r="BX8" s="108" t="s">
        <v>503</v>
      </c>
      <c r="BY8" s="108" t="s">
        <v>503</v>
      </c>
      <c r="BZ8" s="108" t="s">
        <v>503</v>
      </c>
      <c r="CA8" s="108" t="s">
        <v>503</v>
      </c>
      <c r="CB8" s="108" t="s">
        <v>503</v>
      </c>
      <c r="CC8" s="108" t="s">
        <v>503</v>
      </c>
      <c r="CD8" s="108" t="s">
        <v>503</v>
      </c>
      <c r="CE8" s="108" t="s">
        <v>503</v>
      </c>
      <c r="CF8" s="122">
        <v>161000</v>
      </c>
      <c r="CG8" s="119">
        <f>+CF8*19%</f>
        <v>30590</v>
      </c>
      <c r="CH8" s="118">
        <f>+CF8+CG8</f>
        <v>191590</v>
      </c>
      <c r="CI8" s="108" t="s">
        <v>503</v>
      </c>
      <c r="CJ8" s="108" t="s">
        <v>503</v>
      </c>
      <c r="CK8" s="108" t="s">
        <v>503</v>
      </c>
      <c r="CL8" s="108" t="s">
        <v>503</v>
      </c>
      <c r="CM8" s="108" t="s">
        <v>503</v>
      </c>
      <c r="CN8" s="108" t="s">
        <v>503</v>
      </c>
      <c r="CO8" s="108" t="s">
        <v>503</v>
      </c>
      <c r="CP8" s="108" t="s">
        <v>503</v>
      </c>
      <c r="CQ8" s="108" t="s">
        <v>503</v>
      </c>
      <c r="CR8" s="108" t="s">
        <v>503</v>
      </c>
      <c r="CS8" s="108" t="s">
        <v>503</v>
      </c>
      <c r="CT8" s="108" t="s">
        <v>503</v>
      </c>
      <c r="CU8" s="108" t="s">
        <v>503</v>
      </c>
      <c r="CV8" s="108" t="s">
        <v>503</v>
      </c>
      <c r="CW8" s="108" t="s">
        <v>503</v>
      </c>
      <c r="CX8" s="108" t="s">
        <v>503</v>
      </c>
      <c r="CY8" s="108" t="s">
        <v>503</v>
      </c>
      <c r="CZ8" s="108" t="s">
        <v>503</v>
      </c>
      <c r="DA8" s="108" t="s">
        <v>503</v>
      </c>
      <c r="DB8" s="108" t="s">
        <v>503</v>
      </c>
      <c r="DC8" s="108" t="s">
        <v>503</v>
      </c>
      <c r="DD8" s="108" t="s">
        <v>503</v>
      </c>
      <c r="DE8" s="108" t="s">
        <v>503</v>
      </c>
      <c r="DF8" s="108" t="s">
        <v>503</v>
      </c>
      <c r="DG8" s="108" t="s">
        <v>503</v>
      </c>
      <c r="DH8" s="108" t="s">
        <v>503</v>
      </c>
      <c r="DI8" s="108" t="s">
        <v>503</v>
      </c>
      <c r="DJ8" s="108" t="s">
        <v>503</v>
      </c>
      <c r="DK8" s="108" t="s">
        <v>503</v>
      </c>
      <c r="DL8" s="108" t="s">
        <v>503</v>
      </c>
      <c r="DM8" s="108" t="s">
        <v>503</v>
      </c>
      <c r="DN8" s="108" t="s">
        <v>503</v>
      </c>
      <c r="DO8" s="108" t="s">
        <v>503</v>
      </c>
      <c r="DP8" s="108" t="s">
        <v>669</v>
      </c>
      <c r="DQ8" s="108" t="s">
        <v>669</v>
      </c>
      <c r="DR8" s="108" t="s">
        <v>669</v>
      </c>
      <c r="DS8" s="108" t="s">
        <v>669</v>
      </c>
      <c r="DT8" s="108" t="s">
        <v>669</v>
      </c>
      <c r="DU8" s="108" t="s">
        <v>669</v>
      </c>
      <c r="DV8" s="108" t="s">
        <v>669</v>
      </c>
      <c r="DW8" s="108" t="s">
        <v>669</v>
      </c>
      <c r="DX8" s="108" t="s">
        <v>669</v>
      </c>
      <c r="DY8" s="56">
        <v>286300</v>
      </c>
      <c r="DZ8" s="56">
        <f>+DY8*19%</f>
        <v>54397</v>
      </c>
      <c r="EA8" s="56">
        <f>+DY8+DZ8</f>
        <v>340697</v>
      </c>
      <c r="EB8" s="108" t="s">
        <v>503</v>
      </c>
      <c r="EC8" s="108" t="s">
        <v>503</v>
      </c>
      <c r="ED8" s="108" t="s">
        <v>503</v>
      </c>
      <c r="EE8" s="108" t="s">
        <v>503</v>
      </c>
      <c r="EF8" s="108" t="s">
        <v>503</v>
      </c>
      <c r="EG8" s="108" t="s">
        <v>503</v>
      </c>
      <c r="EH8" s="108" t="s">
        <v>503</v>
      </c>
      <c r="EI8" s="108" t="s">
        <v>503</v>
      </c>
      <c r="EJ8" s="108" t="s">
        <v>503</v>
      </c>
      <c r="EK8" s="108" t="s">
        <v>503</v>
      </c>
      <c r="EL8" s="108" t="s">
        <v>503</v>
      </c>
      <c r="EM8" s="108" t="s">
        <v>503</v>
      </c>
      <c r="EN8" s="108" t="s">
        <v>503</v>
      </c>
      <c r="EO8" s="108" t="s">
        <v>503</v>
      </c>
      <c r="EP8" s="108" t="s">
        <v>503</v>
      </c>
      <c r="EQ8" s="108" t="s">
        <v>503</v>
      </c>
      <c r="ER8" s="108" t="s">
        <v>503</v>
      </c>
      <c r="ES8" s="108" t="s">
        <v>503</v>
      </c>
      <c r="ET8" s="108" t="s">
        <v>503</v>
      </c>
      <c r="EU8" s="108" t="s">
        <v>503</v>
      </c>
      <c r="EV8" s="108" t="s">
        <v>503</v>
      </c>
      <c r="EW8" s="108" t="s">
        <v>503</v>
      </c>
      <c r="EX8" s="108" t="s">
        <v>503</v>
      </c>
      <c r="EY8" s="108" t="s">
        <v>503</v>
      </c>
      <c r="EZ8" s="108" t="s">
        <v>503</v>
      </c>
      <c r="FA8" s="108" t="s">
        <v>503</v>
      </c>
      <c r="FB8" s="108" t="s">
        <v>503</v>
      </c>
      <c r="FC8" s="108" t="s">
        <v>664</v>
      </c>
      <c r="FD8" s="108" t="s">
        <v>664</v>
      </c>
      <c r="FE8" s="108" t="s">
        <v>664</v>
      </c>
      <c r="FF8" s="108" t="s">
        <v>502</v>
      </c>
      <c r="FG8" s="108" t="s">
        <v>502</v>
      </c>
      <c r="FH8" s="108" t="s">
        <v>502</v>
      </c>
      <c r="FI8" s="108" t="s">
        <v>503</v>
      </c>
      <c r="FJ8" s="108" t="s">
        <v>503</v>
      </c>
      <c r="FK8" s="108" t="s">
        <v>503</v>
      </c>
      <c r="FL8" s="108" t="s">
        <v>503</v>
      </c>
      <c r="FM8" s="108" t="s">
        <v>503</v>
      </c>
      <c r="FN8" s="108" t="s">
        <v>503</v>
      </c>
      <c r="FO8" s="108" t="s">
        <v>503</v>
      </c>
      <c r="FP8" s="108" t="s">
        <v>503</v>
      </c>
      <c r="FQ8" s="108" t="s">
        <v>503</v>
      </c>
      <c r="FR8" s="108" t="s">
        <v>503</v>
      </c>
      <c r="FS8" s="108" t="s">
        <v>503</v>
      </c>
      <c r="FT8" s="108" t="s">
        <v>503</v>
      </c>
      <c r="FU8" s="108" t="s">
        <v>503</v>
      </c>
      <c r="FV8" s="108" t="s">
        <v>503</v>
      </c>
      <c r="FW8" s="108" t="s">
        <v>503</v>
      </c>
      <c r="FX8" s="108" t="s">
        <v>503</v>
      </c>
      <c r="FY8" s="108" t="s">
        <v>503</v>
      </c>
      <c r="FZ8" s="108" t="s">
        <v>503</v>
      </c>
      <c r="GA8" s="108" t="s">
        <v>503</v>
      </c>
      <c r="GB8" s="108" t="s">
        <v>503</v>
      </c>
      <c r="GC8" s="108" t="s">
        <v>503</v>
      </c>
      <c r="GD8" s="108" t="s">
        <v>503</v>
      </c>
      <c r="GE8" s="108" t="s">
        <v>503</v>
      </c>
      <c r="GF8" s="108" t="s">
        <v>503</v>
      </c>
      <c r="GG8" s="108" t="s">
        <v>503</v>
      </c>
      <c r="GH8" s="108" t="s">
        <v>503</v>
      </c>
      <c r="GI8" s="108" t="s">
        <v>503</v>
      </c>
      <c r="GJ8" s="108" t="s">
        <v>503</v>
      </c>
      <c r="GK8" s="108" t="s">
        <v>503</v>
      </c>
      <c r="GL8" s="108" t="s">
        <v>503</v>
      </c>
      <c r="GM8" s="108" t="s">
        <v>503</v>
      </c>
      <c r="GN8" s="108" t="s">
        <v>503</v>
      </c>
      <c r="GO8" s="108" t="s">
        <v>503</v>
      </c>
      <c r="GP8" s="108" t="s">
        <v>664</v>
      </c>
      <c r="GQ8" s="108" t="s">
        <v>664</v>
      </c>
      <c r="GR8" s="108" t="s">
        <v>664</v>
      </c>
      <c r="GS8" s="108" t="s">
        <v>664</v>
      </c>
      <c r="GT8" s="108" t="s">
        <v>664</v>
      </c>
      <c r="GU8" s="108" t="s">
        <v>664</v>
      </c>
      <c r="GV8" s="108" t="s">
        <v>664</v>
      </c>
      <c r="GW8" s="108" t="s">
        <v>664</v>
      </c>
      <c r="GX8" s="108" t="s">
        <v>664</v>
      </c>
      <c r="GY8" s="108" t="s">
        <v>664</v>
      </c>
      <c r="GZ8" s="108" t="s">
        <v>664</v>
      </c>
      <c r="HA8" s="108" t="s">
        <v>664</v>
      </c>
      <c r="HB8" s="108" t="s">
        <v>664</v>
      </c>
      <c r="HC8" s="108" t="s">
        <v>664</v>
      </c>
      <c r="HD8" s="108" t="s">
        <v>664</v>
      </c>
      <c r="HE8" s="108" t="s">
        <v>664</v>
      </c>
      <c r="HF8" s="108" t="s">
        <v>664</v>
      </c>
      <c r="HG8" s="108" t="s">
        <v>664</v>
      </c>
      <c r="HH8" s="108" t="s">
        <v>664</v>
      </c>
      <c r="HI8" s="108" t="s">
        <v>664</v>
      </c>
      <c r="HJ8" s="108" t="s">
        <v>664</v>
      </c>
      <c r="HK8" s="108" t="s">
        <v>664</v>
      </c>
      <c r="HL8" s="108" t="s">
        <v>664</v>
      </c>
      <c r="HM8" s="108" t="s">
        <v>664</v>
      </c>
      <c r="HN8" s="123" t="s">
        <v>669</v>
      </c>
      <c r="HO8" s="124" t="s">
        <v>669</v>
      </c>
      <c r="HP8" s="125" t="s">
        <v>669</v>
      </c>
      <c r="HQ8" s="108" t="s">
        <v>664</v>
      </c>
      <c r="HR8" s="108" t="s">
        <v>664</v>
      </c>
      <c r="HS8" s="108" t="s">
        <v>664</v>
      </c>
      <c r="HT8" s="108" t="s">
        <v>664</v>
      </c>
      <c r="HU8" s="108" t="s">
        <v>664</v>
      </c>
      <c r="HV8" s="108" t="s">
        <v>664</v>
      </c>
      <c r="HW8" s="108" t="s">
        <v>664</v>
      </c>
      <c r="HX8" s="108" t="s">
        <v>664</v>
      </c>
      <c r="HY8" s="108" t="s">
        <v>664</v>
      </c>
      <c r="HZ8" s="108" t="s">
        <v>664</v>
      </c>
      <c r="IA8" s="108" t="s">
        <v>664</v>
      </c>
      <c r="IB8" s="108" t="s">
        <v>664</v>
      </c>
      <c r="IC8" s="108" t="s">
        <v>664</v>
      </c>
      <c r="ID8" s="108" t="s">
        <v>664</v>
      </c>
      <c r="IE8" s="108" t="s">
        <v>664</v>
      </c>
      <c r="IF8" s="108" t="s">
        <v>664</v>
      </c>
      <c r="IG8" s="108" t="s">
        <v>664</v>
      </c>
      <c r="IH8" s="108" t="s">
        <v>664</v>
      </c>
      <c r="II8" s="108" t="s">
        <v>664</v>
      </c>
      <c r="IJ8" s="108" t="s">
        <v>664</v>
      </c>
      <c r="IK8" s="108" t="s">
        <v>664</v>
      </c>
      <c r="IL8" s="108" t="s">
        <v>664</v>
      </c>
      <c r="IM8" s="108" t="s">
        <v>664</v>
      </c>
      <c r="IN8" s="108" t="s">
        <v>664</v>
      </c>
      <c r="IO8" s="120" t="s">
        <v>503</v>
      </c>
      <c r="IP8" s="120" t="s">
        <v>503</v>
      </c>
      <c r="IQ8" s="120" t="s">
        <v>503</v>
      </c>
      <c r="IR8" s="120" t="s">
        <v>664</v>
      </c>
      <c r="IS8" s="120" t="s">
        <v>664</v>
      </c>
      <c r="IT8" s="120" t="s">
        <v>664</v>
      </c>
      <c r="IU8" s="120" t="s">
        <v>503</v>
      </c>
      <c r="IV8" s="120" t="s">
        <v>503</v>
      </c>
      <c r="IW8" s="120" t="s">
        <v>503</v>
      </c>
      <c r="IX8" s="108" t="s">
        <v>502</v>
      </c>
      <c r="IY8" s="108" t="s">
        <v>502</v>
      </c>
      <c r="IZ8" s="108" t="s">
        <v>502</v>
      </c>
      <c r="JA8" s="120" t="s">
        <v>503</v>
      </c>
      <c r="JB8" s="120" t="s">
        <v>503</v>
      </c>
      <c r="JC8" s="120" t="s">
        <v>503</v>
      </c>
      <c r="JD8" s="120" t="s">
        <v>664</v>
      </c>
      <c r="JE8" s="120" t="s">
        <v>664</v>
      </c>
      <c r="JF8" s="120" t="s">
        <v>664</v>
      </c>
      <c r="JG8" s="120" t="s">
        <v>664</v>
      </c>
      <c r="JH8" s="120" t="s">
        <v>664</v>
      </c>
      <c r="JI8" s="120" t="s">
        <v>664</v>
      </c>
      <c r="JJ8" s="120" t="s">
        <v>664</v>
      </c>
      <c r="JK8" s="120" t="s">
        <v>664</v>
      </c>
      <c r="JL8" s="120" t="s">
        <v>664</v>
      </c>
      <c r="JM8" s="120" t="s">
        <v>664</v>
      </c>
      <c r="JN8" s="120" t="s">
        <v>664</v>
      </c>
      <c r="JO8" s="120" t="s">
        <v>664</v>
      </c>
      <c r="JP8" s="110">
        <v>206800</v>
      </c>
      <c r="JQ8" s="111">
        <v>247079.14739200001</v>
      </c>
      <c r="JR8" s="112">
        <f t="shared" si="0"/>
        <v>4</v>
      </c>
      <c r="JS8" s="113">
        <f t="shared" si="1"/>
        <v>341650.19</v>
      </c>
      <c r="JT8" s="114">
        <f t="shared" si="2"/>
        <v>341700</v>
      </c>
      <c r="JU8" s="128"/>
    </row>
    <row r="9" spans="1:281" s="127" customFormat="1" ht="101.25" customHeight="1" x14ac:dyDescent="0.2">
      <c r="A9" s="98">
        <v>16</v>
      </c>
      <c r="B9" s="99">
        <v>16</v>
      </c>
      <c r="C9" s="39" t="s">
        <v>670</v>
      </c>
      <c r="D9" s="100" t="s">
        <v>527</v>
      </c>
      <c r="E9" s="53">
        <v>82101500</v>
      </c>
      <c r="F9" s="129" t="s">
        <v>328</v>
      </c>
      <c r="G9" s="102" t="s">
        <v>86</v>
      </c>
      <c r="H9" s="103" t="s">
        <v>501</v>
      </c>
      <c r="I9" s="108" t="s">
        <v>503</v>
      </c>
      <c r="J9" s="108" t="s">
        <v>503</v>
      </c>
      <c r="K9" s="108" t="s">
        <v>503</v>
      </c>
      <c r="L9" s="108" t="s">
        <v>503</v>
      </c>
      <c r="M9" s="108" t="s">
        <v>503</v>
      </c>
      <c r="N9" s="108" t="s">
        <v>503</v>
      </c>
      <c r="O9" s="108" t="s">
        <v>503</v>
      </c>
      <c r="P9" s="108" t="s">
        <v>503</v>
      </c>
      <c r="Q9" s="108" t="s">
        <v>503</v>
      </c>
      <c r="R9" s="71">
        <v>4800</v>
      </c>
      <c r="S9" s="117">
        <f>+R9*19%</f>
        <v>912</v>
      </c>
      <c r="T9" s="71">
        <f>+R9+S9</f>
        <v>5712</v>
      </c>
      <c r="U9" s="108" t="s">
        <v>503</v>
      </c>
      <c r="V9" s="108" t="s">
        <v>503</v>
      </c>
      <c r="W9" s="108" t="s">
        <v>503</v>
      </c>
      <c r="X9" s="108" t="s">
        <v>503</v>
      </c>
      <c r="Y9" s="108" t="s">
        <v>503</v>
      </c>
      <c r="Z9" s="108" t="s">
        <v>503</v>
      </c>
      <c r="AA9" s="108" t="s">
        <v>503</v>
      </c>
      <c r="AB9" s="108" t="s">
        <v>503</v>
      </c>
      <c r="AC9" s="108" t="s">
        <v>503</v>
      </c>
      <c r="AD9" s="108" t="s">
        <v>503</v>
      </c>
      <c r="AE9" s="108" t="s">
        <v>503</v>
      </c>
      <c r="AF9" s="108" t="s">
        <v>503</v>
      </c>
      <c r="AG9" s="108" t="s">
        <v>503</v>
      </c>
      <c r="AH9" s="108" t="s">
        <v>503</v>
      </c>
      <c r="AI9" s="108" t="s">
        <v>503</v>
      </c>
      <c r="AJ9" s="108" t="s">
        <v>503</v>
      </c>
      <c r="AK9" s="108" t="s">
        <v>503</v>
      </c>
      <c r="AL9" s="108" t="s">
        <v>503</v>
      </c>
      <c r="AM9" s="108" t="s">
        <v>503</v>
      </c>
      <c r="AN9" s="108" t="s">
        <v>503</v>
      </c>
      <c r="AO9" s="108" t="s">
        <v>503</v>
      </c>
      <c r="AP9" s="108" t="s">
        <v>503</v>
      </c>
      <c r="AQ9" s="108" t="s">
        <v>503</v>
      </c>
      <c r="AR9" s="108" t="s">
        <v>503</v>
      </c>
      <c r="AS9" s="108" t="s">
        <v>503</v>
      </c>
      <c r="AT9" s="108" t="s">
        <v>503</v>
      </c>
      <c r="AU9" s="108" t="s">
        <v>503</v>
      </c>
      <c r="AV9" s="108" t="s">
        <v>503</v>
      </c>
      <c r="AW9" s="108" t="s">
        <v>503</v>
      </c>
      <c r="AX9" s="108" t="s">
        <v>503</v>
      </c>
      <c r="AY9" s="108" t="s">
        <v>503</v>
      </c>
      <c r="AZ9" s="108" t="s">
        <v>503</v>
      </c>
      <c r="BA9" s="108" t="s">
        <v>503</v>
      </c>
      <c r="BB9" s="108" t="s">
        <v>503</v>
      </c>
      <c r="BC9" s="108" t="s">
        <v>503</v>
      </c>
      <c r="BD9" s="108" t="s">
        <v>503</v>
      </c>
      <c r="BE9" s="108" t="s">
        <v>503</v>
      </c>
      <c r="BF9" s="108" t="s">
        <v>503</v>
      </c>
      <c r="BG9" s="108" t="s">
        <v>503</v>
      </c>
      <c r="BH9" s="108" t="s">
        <v>503</v>
      </c>
      <c r="BI9" s="108" t="s">
        <v>503</v>
      </c>
      <c r="BJ9" s="108" t="s">
        <v>503</v>
      </c>
      <c r="BK9" s="108" t="s">
        <v>503</v>
      </c>
      <c r="BL9" s="108" t="s">
        <v>503</v>
      </c>
      <c r="BM9" s="108" t="s">
        <v>503</v>
      </c>
      <c r="BN9" s="108" t="s">
        <v>503</v>
      </c>
      <c r="BO9" s="108" t="s">
        <v>503</v>
      </c>
      <c r="BP9" s="108" t="s">
        <v>503</v>
      </c>
      <c r="BQ9" s="108" t="s">
        <v>503</v>
      </c>
      <c r="BR9" s="108" t="s">
        <v>503</v>
      </c>
      <c r="BS9" s="108" t="s">
        <v>503</v>
      </c>
      <c r="BT9" s="108" t="s">
        <v>503</v>
      </c>
      <c r="BU9" s="108" t="s">
        <v>503</v>
      </c>
      <c r="BV9" s="108" t="s">
        <v>503</v>
      </c>
      <c r="BW9" s="108" t="s">
        <v>503</v>
      </c>
      <c r="BX9" s="108" t="s">
        <v>503</v>
      </c>
      <c r="BY9" s="108" t="s">
        <v>503</v>
      </c>
      <c r="BZ9" s="108" t="s">
        <v>503</v>
      </c>
      <c r="CA9" s="108" t="s">
        <v>503</v>
      </c>
      <c r="CB9" s="108" t="s">
        <v>503</v>
      </c>
      <c r="CC9" s="108" t="s">
        <v>503</v>
      </c>
      <c r="CD9" s="108" t="s">
        <v>503</v>
      </c>
      <c r="CE9" s="108" t="s">
        <v>503</v>
      </c>
      <c r="CF9" s="122">
        <v>4025</v>
      </c>
      <c r="CG9" s="117">
        <f>+CF9*19%</f>
        <v>764.75</v>
      </c>
      <c r="CH9" s="71">
        <f>+CF9+CG9</f>
        <v>4789.75</v>
      </c>
      <c r="CI9" s="108" t="s">
        <v>503</v>
      </c>
      <c r="CJ9" s="108" t="s">
        <v>503</v>
      </c>
      <c r="CK9" s="108" t="s">
        <v>503</v>
      </c>
      <c r="CL9" s="108" t="s">
        <v>503</v>
      </c>
      <c r="CM9" s="108" t="s">
        <v>503</v>
      </c>
      <c r="CN9" s="108" t="s">
        <v>503</v>
      </c>
      <c r="CO9" s="108" t="s">
        <v>503</v>
      </c>
      <c r="CP9" s="108" t="s">
        <v>503</v>
      </c>
      <c r="CQ9" s="108" t="s">
        <v>503</v>
      </c>
      <c r="CR9" s="108" t="s">
        <v>503</v>
      </c>
      <c r="CS9" s="108" t="s">
        <v>503</v>
      </c>
      <c r="CT9" s="108" t="s">
        <v>503</v>
      </c>
      <c r="CU9" s="108" t="s">
        <v>503</v>
      </c>
      <c r="CV9" s="108" t="s">
        <v>503</v>
      </c>
      <c r="CW9" s="108" t="s">
        <v>503</v>
      </c>
      <c r="CX9" s="108" t="s">
        <v>503</v>
      </c>
      <c r="CY9" s="108" t="s">
        <v>503</v>
      </c>
      <c r="CZ9" s="108" t="s">
        <v>503</v>
      </c>
      <c r="DA9" s="108" t="s">
        <v>503</v>
      </c>
      <c r="DB9" s="108" t="s">
        <v>503</v>
      </c>
      <c r="DC9" s="108" t="s">
        <v>503</v>
      </c>
      <c r="DD9" s="108" t="s">
        <v>503</v>
      </c>
      <c r="DE9" s="108" t="s">
        <v>503</v>
      </c>
      <c r="DF9" s="108" t="s">
        <v>503</v>
      </c>
      <c r="DG9" s="108" t="s">
        <v>503</v>
      </c>
      <c r="DH9" s="108" t="s">
        <v>503</v>
      </c>
      <c r="DI9" s="108" t="s">
        <v>503</v>
      </c>
      <c r="DJ9" s="108" t="s">
        <v>503</v>
      </c>
      <c r="DK9" s="108" t="s">
        <v>503</v>
      </c>
      <c r="DL9" s="108" t="s">
        <v>503</v>
      </c>
      <c r="DM9" s="108" t="s">
        <v>503</v>
      </c>
      <c r="DN9" s="108" t="s">
        <v>503</v>
      </c>
      <c r="DO9" s="108" t="s">
        <v>503</v>
      </c>
      <c r="DP9" s="108" t="s">
        <v>669</v>
      </c>
      <c r="DQ9" s="108" t="s">
        <v>669</v>
      </c>
      <c r="DR9" s="108" t="s">
        <v>669</v>
      </c>
      <c r="DS9" s="108" t="s">
        <v>669</v>
      </c>
      <c r="DT9" s="108" t="s">
        <v>669</v>
      </c>
      <c r="DU9" s="108" t="s">
        <v>669</v>
      </c>
      <c r="DV9" s="108" t="s">
        <v>669</v>
      </c>
      <c r="DW9" s="108" t="s">
        <v>669</v>
      </c>
      <c r="DX9" s="108" t="s">
        <v>669</v>
      </c>
      <c r="DY9" s="108" t="s">
        <v>503</v>
      </c>
      <c r="DZ9" s="108" t="s">
        <v>503</v>
      </c>
      <c r="EA9" s="108" t="s">
        <v>503</v>
      </c>
      <c r="EB9" s="108" t="s">
        <v>503</v>
      </c>
      <c r="EC9" s="108" t="s">
        <v>503</v>
      </c>
      <c r="ED9" s="108" t="s">
        <v>503</v>
      </c>
      <c r="EE9" s="108" t="s">
        <v>503</v>
      </c>
      <c r="EF9" s="108" t="s">
        <v>503</v>
      </c>
      <c r="EG9" s="108" t="s">
        <v>503</v>
      </c>
      <c r="EH9" s="108" t="s">
        <v>503</v>
      </c>
      <c r="EI9" s="108" t="s">
        <v>503</v>
      </c>
      <c r="EJ9" s="108" t="s">
        <v>503</v>
      </c>
      <c r="EK9" s="108" t="s">
        <v>503</v>
      </c>
      <c r="EL9" s="108" t="s">
        <v>503</v>
      </c>
      <c r="EM9" s="108" t="s">
        <v>503</v>
      </c>
      <c r="EN9" s="108" t="s">
        <v>503</v>
      </c>
      <c r="EO9" s="108" t="s">
        <v>503</v>
      </c>
      <c r="EP9" s="108" t="s">
        <v>503</v>
      </c>
      <c r="EQ9" s="108" t="s">
        <v>503</v>
      </c>
      <c r="ER9" s="108" t="s">
        <v>503</v>
      </c>
      <c r="ES9" s="108" t="s">
        <v>503</v>
      </c>
      <c r="ET9" s="108" t="s">
        <v>503</v>
      </c>
      <c r="EU9" s="108" t="s">
        <v>503</v>
      </c>
      <c r="EV9" s="108" t="s">
        <v>503</v>
      </c>
      <c r="EW9" s="108" t="s">
        <v>503</v>
      </c>
      <c r="EX9" s="108" t="s">
        <v>503</v>
      </c>
      <c r="EY9" s="108" t="s">
        <v>503</v>
      </c>
      <c r="EZ9" s="108" t="s">
        <v>503</v>
      </c>
      <c r="FA9" s="108" t="s">
        <v>503</v>
      </c>
      <c r="FB9" s="108" t="s">
        <v>503</v>
      </c>
      <c r="FC9" s="108" t="s">
        <v>664</v>
      </c>
      <c r="FD9" s="108" t="s">
        <v>664</v>
      </c>
      <c r="FE9" s="108" t="s">
        <v>664</v>
      </c>
      <c r="FF9" s="108" t="s">
        <v>502</v>
      </c>
      <c r="FG9" s="108" t="s">
        <v>502</v>
      </c>
      <c r="FH9" s="108" t="s">
        <v>502</v>
      </c>
      <c r="FI9" s="108" t="s">
        <v>503</v>
      </c>
      <c r="FJ9" s="108" t="s">
        <v>503</v>
      </c>
      <c r="FK9" s="108" t="s">
        <v>503</v>
      </c>
      <c r="FL9" s="108" t="s">
        <v>503</v>
      </c>
      <c r="FM9" s="108" t="s">
        <v>503</v>
      </c>
      <c r="FN9" s="108" t="s">
        <v>503</v>
      </c>
      <c r="FO9" s="108" t="s">
        <v>503</v>
      </c>
      <c r="FP9" s="108" t="s">
        <v>503</v>
      </c>
      <c r="FQ9" s="108" t="s">
        <v>503</v>
      </c>
      <c r="FR9" s="108" t="s">
        <v>503</v>
      </c>
      <c r="FS9" s="108" t="s">
        <v>503</v>
      </c>
      <c r="FT9" s="108" t="s">
        <v>503</v>
      </c>
      <c r="FU9" s="108" t="s">
        <v>503</v>
      </c>
      <c r="FV9" s="108" t="s">
        <v>503</v>
      </c>
      <c r="FW9" s="108" t="s">
        <v>503</v>
      </c>
      <c r="FX9" s="108" t="s">
        <v>503</v>
      </c>
      <c r="FY9" s="108" t="s">
        <v>503</v>
      </c>
      <c r="FZ9" s="108" t="s">
        <v>503</v>
      </c>
      <c r="GA9" s="108" t="s">
        <v>503</v>
      </c>
      <c r="GB9" s="108" t="s">
        <v>503</v>
      </c>
      <c r="GC9" s="108" t="s">
        <v>503</v>
      </c>
      <c r="GD9" s="108" t="s">
        <v>503</v>
      </c>
      <c r="GE9" s="108" t="s">
        <v>503</v>
      </c>
      <c r="GF9" s="108" t="s">
        <v>503</v>
      </c>
      <c r="GG9" s="108" t="s">
        <v>503</v>
      </c>
      <c r="GH9" s="108" t="s">
        <v>503</v>
      </c>
      <c r="GI9" s="108" t="s">
        <v>503</v>
      </c>
      <c r="GJ9" s="108" t="s">
        <v>503</v>
      </c>
      <c r="GK9" s="108" t="s">
        <v>503</v>
      </c>
      <c r="GL9" s="108" t="s">
        <v>503</v>
      </c>
      <c r="GM9" s="108" t="s">
        <v>503</v>
      </c>
      <c r="GN9" s="108" t="s">
        <v>503</v>
      </c>
      <c r="GO9" s="108" t="s">
        <v>503</v>
      </c>
      <c r="GP9" s="108" t="s">
        <v>664</v>
      </c>
      <c r="GQ9" s="108" t="s">
        <v>664</v>
      </c>
      <c r="GR9" s="108" t="s">
        <v>664</v>
      </c>
      <c r="GS9" s="108" t="s">
        <v>664</v>
      </c>
      <c r="GT9" s="108" t="s">
        <v>664</v>
      </c>
      <c r="GU9" s="108" t="s">
        <v>664</v>
      </c>
      <c r="GV9" s="108" t="s">
        <v>664</v>
      </c>
      <c r="GW9" s="108" t="s">
        <v>664</v>
      </c>
      <c r="GX9" s="108" t="s">
        <v>664</v>
      </c>
      <c r="GY9" s="108" t="s">
        <v>664</v>
      </c>
      <c r="GZ9" s="108" t="s">
        <v>664</v>
      </c>
      <c r="HA9" s="108" t="s">
        <v>664</v>
      </c>
      <c r="HB9" s="108" t="s">
        <v>664</v>
      </c>
      <c r="HC9" s="108" t="s">
        <v>664</v>
      </c>
      <c r="HD9" s="108" t="s">
        <v>664</v>
      </c>
      <c r="HE9" s="108" t="s">
        <v>664</v>
      </c>
      <c r="HF9" s="108" t="s">
        <v>664</v>
      </c>
      <c r="HG9" s="108" t="s">
        <v>664</v>
      </c>
      <c r="HH9" s="108" t="s">
        <v>664</v>
      </c>
      <c r="HI9" s="108" t="s">
        <v>664</v>
      </c>
      <c r="HJ9" s="108" t="s">
        <v>664</v>
      </c>
      <c r="HK9" s="108" t="s">
        <v>664</v>
      </c>
      <c r="HL9" s="108" t="s">
        <v>664</v>
      </c>
      <c r="HM9" s="108" t="s">
        <v>664</v>
      </c>
      <c r="HN9" s="130">
        <v>2844</v>
      </c>
      <c r="HO9" s="130">
        <f>+HN9*19%</f>
        <v>540.36</v>
      </c>
      <c r="HP9" s="130">
        <f>+HN9+HO9</f>
        <v>3384.36</v>
      </c>
      <c r="HQ9" s="108" t="s">
        <v>664</v>
      </c>
      <c r="HR9" s="108" t="s">
        <v>664</v>
      </c>
      <c r="HS9" s="108" t="s">
        <v>664</v>
      </c>
      <c r="HT9" s="108" t="s">
        <v>664</v>
      </c>
      <c r="HU9" s="108" t="s">
        <v>664</v>
      </c>
      <c r="HV9" s="108" t="s">
        <v>664</v>
      </c>
      <c r="HW9" s="108" t="s">
        <v>664</v>
      </c>
      <c r="HX9" s="108" t="s">
        <v>664</v>
      </c>
      <c r="HY9" s="108" t="s">
        <v>664</v>
      </c>
      <c r="HZ9" s="108" t="s">
        <v>664</v>
      </c>
      <c r="IA9" s="108" t="s">
        <v>664</v>
      </c>
      <c r="IB9" s="108" t="s">
        <v>664</v>
      </c>
      <c r="IC9" s="108" t="s">
        <v>664</v>
      </c>
      <c r="ID9" s="108" t="s">
        <v>664</v>
      </c>
      <c r="IE9" s="108" t="s">
        <v>664</v>
      </c>
      <c r="IF9" s="108" t="s">
        <v>664</v>
      </c>
      <c r="IG9" s="108" t="s">
        <v>664</v>
      </c>
      <c r="IH9" s="108" t="s">
        <v>664</v>
      </c>
      <c r="II9" s="108" t="s">
        <v>664</v>
      </c>
      <c r="IJ9" s="108" t="s">
        <v>664</v>
      </c>
      <c r="IK9" s="108" t="s">
        <v>664</v>
      </c>
      <c r="IL9" s="108" t="s">
        <v>664</v>
      </c>
      <c r="IM9" s="108" t="s">
        <v>664</v>
      </c>
      <c r="IN9" s="108" t="s">
        <v>664</v>
      </c>
      <c r="IO9" s="120" t="s">
        <v>503</v>
      </c>
      <c r="IP9" s="120" t="s">
        <v>503</v>
      </c>
      <c r="IQ9" s="120" t="s">
        <v>503</v>
      </c>
      <c r="IR9" s="120" t="s">
        <v>664</v>
      </c>
      <c r="IS9" s="120" t="s">
        <v>664</v>
      </c>
      <c r="IT9" s="120" t="s">
        <v>664</v>
      </c>
      <c r="IU9" s="120" t="s">
        <v>503</v>
      </c>
      <c r="IV9" s="120" t="s">
        <v>503</v>
      </c>
      <c r="IW9" s="120" t="s">
        <v>503</v>
      </c>
      <c r="IX9" s="47">
        <v>6750</v>
      </c>
      <c r="IY9" s="47">
        <f>+IX9*19%</f>
        <v>1282.5</v>
      </c>
      <c r="IZ9" s="47">
        <f>+IX9+IY9</f>
        <v>8032.5</v>
      </c>
      <c r="JA9" s="120" t="s">
        <v>503</v>
      </c>
      <c r="JB9" s="120" t="s">
        <v>503</v>
      </c>
      <c r="JC9" s="120" t="s">
        <v>503</v>
      </c>
      <c r="JD9" s="120" t="s">
        <v>664</v>
      </c>
      <c r="JE9" s="120" t="s">
        <v>664</v>
      </c>
      <c r="JF9" s="120" t="s">
        <v>664</v>
      </c>
      <c r="JG9" s="120" t="s">
        <v>664</v>
      </c>
      <c r="JH9" s="120" t="s">
        <v>664</v>
      </c>
      <c r="JI9" s="120" t="s">
        <v>664</v>
      </c>
      <c r="JJ9" s="120" t="s">
        <v>664</v>
      </c>
      <c r="JK9" s="120" t="s">
        <v>664</v>
      </c>
      <c r="JL9" s="120" t="s">
        <v>664</v>
      </c>
      <c r="JM9" s="120" t="s">
        <v>664</v>
      </c>
      <c r="JN9" s="120" t="s">
        <v>664</v>
      </c>
      <c r="JO9" s="120" t="s">
        <v>664</v>
      </c>
      <c r="JP9" s="110">
        <v>2800</v>
      </c>
      <c r="JQ9" s="111">
        <v>3345.365632</v>
      </c>
      <c r="JR9" s="112">
        <f t="shared" si="0"/>
        <v>4</v>
      </c>
      <c r="JS9" s="113">
        <f t="shared" si="1"/>
        <v>5479.6525000000001</v>
      </c>
      <c r="JT9" s="114">
        <f t="shared" si="2"/>
        <v>5500</v>
      </c>
      <c r="JU9" s="131"/>
    </row>
    <row r="10" spans="1:281" ht="101.25" customHeight="1" x14ac:dyDescent="0.2">
      <c r="A10" s="98">
        <v>42</v>
      </c>
      <c r="B10" s="99">
        <v>42</v>
      </c>
      <c r="C10" s="39" t="s">
        <v>670</v>
      </c>
      <c r="D10" s="100" t="s">
        <v>526</v>
      </c>
      <c r="E10" s="53">
        <v>82101500</v>
      </c>
      <c r="F10" s="129" t="s">
        <v>329</v>
      </c>
      <c r="G10" s="102" t="s">
        <v>86</v>
      </c>
      <c r="H10" s="103" t="s">
        <v>501</v>
      </c>
      <c r="I10" s="108" t="s">
        <v>503</v>
      </c>
      <c r="J10" s="108" t="s">
        <v>503</v>
      </c>
      <c r="K10" s="108" t="s">
        <v>503</v>
      </c>
      <c r="L10" s="108" t="s">
        <v>503</v>
      </c>
      <c r="M10" s="108" t="s">
        <v>503</v>
      </c>
      <c r="N10" s="108" t="s">
        <v>503</v>
      </c>
      <c r="O10" s="108" t="s">
        <v>503</v>
      </c>
      <c r="P10" s="108" t="s">
        <v>503</v>
      </c>
      <c r="Q10" s="108" t="s">
        <v>503</v>
      </c>
      <c r="R10" s="108" t="s">
        <v>503</v>
      </c>
      <c r="S10" s="108" t="s">
        <v>503</v>
      </c>
      <c r="T10" s="108" t="s">
        <v>503</v>
      </c>
      <c r="U10" s="108" t="s">
        <v>503</v>
      </c>
      <c r="V10" s="108" t="s">
        <v>503</v>
      </c>
      <c r="W10" s="108" t="s">
        <v>503</v>
      </c>
      <c r="X10" s="56">
        <v>307.69230769230768</v>
      </c>
      <c r="Y10" s="117">
        <f>+X10*19%</f>
        <v>58.46153846153846</v>
      </c>
      <c r="Z10" s="71">
        <f>+X10+Y10</f>
        <v>366.15384615384613</v>
      </c>
      <c r="AA10" s="108" t="s">
        <v>503</v>
      </c>
      <c r="AB10" s="108" t="s">
        <v>503</v>
      </c>
      <c r="AC10" s="108" t="s">
        <v>503</v>
      </c>
      <c r="AD10" s="108" t="s">
        <v>503</v>
      </c>
      <c r="AE10" s="108" t="s">
        <v>503</v>
      </c>
      <c r="AF10" s="108" t="s">
        <v>503</v>
      </c>
      <c r="AG10" s="108" t="s">
        <v>503</v>
      </c>
      <c r="AH10" s="108" t="s">
        <v>503</v>
      </c>
      <c r="AI10" s="108" t="s">
        <v>503</v>
      </c>
      <c r="AJ10" s="108" t="s">
        <v>503</v>
      </c>
      <c r="AK10" s="108" t="s">
        <v>503</v>
      </c>
      <c r="AL10" s="108" t="s">
        <v>503</v>
      </c>
      <c r="AM10" s="108" t="s">
        <v>503</v>
      </c>
      <c r="AN10" s="108" t="s">
        <v>503</v>
      </c>
      <c r="AO10" s="108" t="s">
        <v>503</v>
      </c>
      <c r="AP10" s="108" t="s">
        <v>503</v>
      </c>
      <c r="AQ10" s="108" t="s">
        <v>503</v>
      </c>
      <c r="AR10" s="108" t="s">
        <v>503</v>
      </c>
      <c r="AS10" s="108" t="s">
        <v>503</v>
      </c>
      <c r="AT10" s="108" t="s">
        <v>503</v>
      </c>
      <c r="AU10" s="108" t="s">
        <v>503</v>
      </c>
      <c r="AV10" s="108" t="s">
        <v>503</v>
      </c>
      <c r="AW10" s="108" t="s">
        <v>503</v>
      </c>
      <c r="AX10" s="108" t="s">
        <v>503</v>
      </c>
      <c r="AY10" s="108" t="s">
        <v>503</v>
      </c>
      <c r="AZ10" s="108" t="s">
        <v>503</v>
      </c>
      <c r="BA10" s="108" t="s">
        <v>503</v>
      </c>
      <c r="BB10" s="108" t="s">
        <v>503</v>
      </c>
      <c r="BC10" s="108" t="s">
        <v>503</v>
      </c>
      <c r="BD10" s="108" t="s">
        <v>503</v>
      </c>
      <c r="BE10" s="108" t="s">
        <v>503</v>
      </c>
      <c r="BF10" s="108" t="s">
        <v>503</v>
      </c>
      <c r="BG10" s="108" t="s">
        <v>503</v>
      </c>
      <c r="BH10" s="108" t="s">
        <v>503</v>
      </c>
      <c r="BI10" s="108" t="s">
        <v>503</v>
      </c>
      <c r="BJ10" s="108" t="s">
        <v>503</v>
      </c>
      <c r="BK10" s="108" t="s">
        <v>503</v>
      </c>
      <c r="BL10" s="108" t="s">
        <v>503</v>
      </c>
      <c r="BM10" s="108" t="s">
        <v>503</v>
      </c>
      <c r="BN10" s="108" t="s">
        <v>503</v>
      </c>
      <c r="BO10" s="108" t="s">
        <v>503</v>
      </c>
      <c r="BP10" s="108" t="s">
        <v>503</v>
      </c>
      <c r="BQ10" s="108" t="s">
        <v>503</v>
      </c>
      <c r="BR10" s="108" t="s">
        <v>503</v>
      </c>
      <c r="BS10" s="108" t="s">
        <v>503</v>
      </c>
      <c r="BT10" s="108" t="s">
        <v>503</v>
      </c>
      <c r="BU10" s="108" t="s">
        <v>503</v>
      </c>
      <c r="BV10" s="108" t="s">
        <v>503</v>
      </c>
      <c r="BW10" s="108" t="s">
        <v>503</v>
      </c>
      <c r="BX10" s="108" t="s">
        <v>503</v>
      </c>
      <c r="BY10" s="108" t="s">
        <v>503</v>
      </c>
      <c r="BZ10" s="108" t="s">
        <v>503</v>
      </c>
      <c r="CA10" s="108" t="s">
        <v>503</v>
      </c>
      <c r="CB10" s="108" t="s">
        <v>503</v>
      </c>
      <c r="CC10" s="108" t="s">
        <v>503</v>
      </c>
      <c r="CD10" s="108" t="s">
        <v>503</v>
      </c>
      <c r="CE10" s="108" t="s">
        <v>503</v>
      </c>
      <c r="CF10" s="108" t="s">
        <v>503</v>
      </c>
      <c r="CG10" s="108" t="s">
        <v>503</v>
      </c>
      <c r="CH10" s="108" t="s">
        <v>503</v>
      </c>
      <c r="CI10" s="108" t="s">
        <v>503</v>
      </c>
      <c r="CJ10" s="108" t="s">
        <v>503</v>
      </c>
      <c r="CK10" s="108" t="s">
        <v>503</v>
      </c>
      <c r="CL10" s="108" t="s">
        <v>503</v>
      </c>
      <c r="CM10" s="108" t="s">
        <v>503</v>
      </c>
      <c r="CN10" s="108" t="s">
        <v>503</v>
      </c>
      <c r="CO10" s="108" t="s">
        <v>503</v>
      </c>
      <c r="CP10" s="108" t="s">
        <v>503</v>
      </c>
      <c r="CQ10" s="108" t="s">
        <v>503</v>
      </c>
      <c r="CR10" s="108" t="s">
        <v>503</v>
      </c>
      <c r="CS10" s="108" t="s">
        <v>503</v>
      </c>
      <c r="CT10" s="108" t="s">
        <v>503</v>
      </c>
      <c r="CU10" s="108" t="s">
        <v>503</v>
      </c>
      <c r="CV10" s="108" t="s">
        <v>503</v>
      </c>
      <c r="CW10" s="108" t="s">
        <v>503</v>
      </c>
      <c r="CX10" s="108" t="s">
        <v>503</v>
      </c>
      <c r="CY10" s="108" t="s">
        <v>503</v>
      </c>
      <c r="CZ10" s="108" t="s">
        <v>503</v>
      </c>
      <c r="DA10" s="108" t="s">
        <v>503</v>
      </c>
      <c r="DB10" s="108" t="s">
        <v>503</v>
      </c>
      <c r="DC10" s="108" t="s">
        <v>503</v>
      </c>
      <c r="DD10" s="108" t="s">
        <v>503</v>
      </c>
      <c r="DE10" s="108" t="s">
        <v>503</v>
      </c>
      <c r="DF10" s="108" t="s">
        <v>503</v>
      </c>
      <c r="DG10" s="108" t="s">
        <v>503</v>
      </c>
      <c r="DH10" s="108" t="s">
        <v>503</v>
      </c>
      <c r="DI10" s="108" t="s">
        <v>503</v>
      </c>
      <c r="DJ10" s="108" t="s">
        <v>503</v>
      </c>
      <c r="DK10" s="108" t="s">
        <v>503</v>
      </c>
      <c r="DL10" s="108" t="s">
        <v>503</v>
      </c>
      <c r="DM10" s="108" t="s">
        <v>503</v>
      </c>
      <c r="DN10" s="108" t="s">
        <v>503</v>
      </c>
      <c r="DO10" s="108" t="s">
        <v>503</v>
      </c>
      <c r="DP10" s="108" t="s">
        <v>669</v>
      </c>
      <c r="DQ10" s="108" t="s">
        <v>669</v>
      </c>
      <c r="DR10" s="108" t="s">
        <v>669</v>
      </c>
      <c r="DS10" s="108" t="s">
        <v>669</v>
      </c>
      <c r="DT10" s="108" t="s">
        <v>669</v>
      </c>
      <c r="DU10" s="108" t="s">
        <v>669</v>
      </c>
      <c r="DV10" s="108" t="s">
        <v>669</v>
      </c>
      <c r="DW10" s="108" t="s">
        <v>669</v>
      </c>
      <c r="DX10" s="108" t="s">
        <v>669</v>
      </c>
      <c r="DY10" s="108" t="s">
        <v>503</v>
      </c>
      <c r="DZ10" s="108" t="s">
        <v>503</v>
      </c>
      <c r="EA10" s="108" t="s">
        <v>503</v>
      </c>
      <c r="EB10" s="108" t="s">
        <v>503</v>
      </c>
      <c r="EC10" s="108" t="s">
        <v>503</v>
      </c>
      <c r="ED10" s="108" t="s">
        <v>503</v>
      </c>
      <c r="EE10" s="108" t="s">
        <v>503</v>
      </c>
      <c r="EF10" s="108" t="s">
        <v>503</v>
      </c>
      <c r="EG10" s="108" t="s">
        <v>503</v>
      </c>
      <c r="EH10" s="108" t="s">
        <v>503</v>
      </c>
      <c r="EI10" s="108" t="s">
        <v>503</v>
      </c>
      <c r="EJ10" s="108" t="s">
        <v>503</v>
      </c>
      <c r="EK10" s="108" t="s">
        <v>503</v>
      </c>
      <c r="EL10" s="108" t="s">
        <v>503</v>
      </c>
      <c r="EM10" s="108" t="s">
        <v>503</v>
      </c>
      <c r="EN10" s="108" t="s">
        <v>503</v>
      </c>
      <c r="EO10" s="108" t="s">
        <v>503</v>
      </c>
      <c r="EP10" s="108" t="s">
        <v>503</v>
      </c>
      <c r="EQ10" s="108" t="s">
        <v>503</v>
      </c>
      <c r="ER10" s="108" t="s">
        <v>503</v>
      </c>
      <c r="ES10" s="108" t="s">
        <v>503</v>
      </c>
      <c r="ET10" s="108" t="s">
        <v>503</v>
      </c>
      <c r="EU10" s="108" t="s">
        <v>503</v>
      </c>
      <c r="EV10" s="108" t="s">
        <v>503</v>
      </c>
      <c r="EW10" s="108" t="s">
        <v>503</v>
      </c>
      <c r="EX10" s="108" t="s">
        <v>503</v>
      </c>
      <c r="EY10" s="108" t="s">
        <v>503</v>
      </c>
      <c r="EZ10" s="108" t="s">
        <v>503</v>
      </c>
      <c r="FA10" s="108" t="s">
        <v>503</v>
      </c>
      <c r="FB10" s="108" t="s">
        <v>503</v>
      </c>
      <c r="FC10" s="108" t="s">
        <v>664</v>
      </c>
      <c r="FD10" s="108" t="s">
        <v>664</v>
      </c>
      <c r="FE10" s="108" t="s">
        <v>664</v>
      </c>
      <c r="FF10" s="132">
        <f>300/1.19</f>
        <v>252.10084033613447</v>
      </c>
      <c r="FG10" s="133">
        <f>+FF10*19%</f>
        <v>47.899159663865547</v>
      </c>
      <c r="FH10" s="133">
        <f>+FF10+FG10</f>
        <v>300</v>
      </c>
      <c r="FI10" s="108" t="s">
        <v>503</v>
      </c>
      <c r="FJ10" s="108" t="s">
        <v>503</v>
      </c>
      <c r="FK10" s="108" t="s">
        <v>503</v>
      </c>
      <c r="FL10" s="108" t="s">
        <v>503</v>
      </c>
      <c r="FM10" s="108" t="s">
        <v>503</v>
      </c>
      <c r="FN10" s="108" t="s">
        <v>503</v>
      </c>
      <c r="FO10" s="108" t="s">
        <v>503</v>
      </c>
      <c r="FP10" s="108" t="s">
        <v>503</v>
      </c>
      <c r="FQ10" s="108" t="s">
        <v>503</v>
      </c>
      <c r="FR10" s="108" t="s">
        <v>503</v>
      </c>
      <c r="FS10" s="108" t="s">
        <v>503</v>
      </c>
      <c r="FT10" s="108" t="s">
        <v>503</v>
      </c>
      <c r="FU10" s="108" t="s">
        <v>503</v>
      </c>
      <c r="FV10" s="108" t="s">
        <v>503</v>
      </c>
      <c r="FW10" s="108" t="s">
        <v>503</v>
      </c>
      <c r="FX10" s="108" t="s">
        <v>503</v>
      </c>
      <c r="FY10" s="108" t="s">
        <v>503</v>
      </c>
      <c r="FZ10" s="108" t="s">
        <v>503</v>
      </c>
      <c r="GA10" s="108" t="s">
        <v>503</v>
      </c>
      <c r="GB10" s="108" t="s">
        <v>503</v>
      </c>
      <c r="GC10" s="108" t="s">
        <v>503</v>
      </c>
      <c r="GD10" s="108" t="s">
        <v>503</v>
      </c>
      <c r="GE10" s="108" t="s">
        <v>503</v>
      </c>
      <c r="GF10" s="108" t="s">
        <v>503</v>
      </c>
      <c r="GG10" s="108" t="s">
        <v>503</v>
      </c>
      <c r="GH10" s="108" t="s">
        <v>503</v>
      </c>
      <c r="GI10" s="108" t="s">
        <v>503</v>
      </c>
      <c r="GJ10" s="108" t="s">
        <v>503</v>
      </c>
      <c r="GK10" s="108" t="s">
        <v>503</v>
      </c>
      <c r="GL10" s="108" t="s">
        <v>503</v>
      </c>
      <c r="GM10" s="108" t="s">
        <v>503</v>
      </c>
      <c r="GN10" s="108" t="s">
        <v>503</v>
      </c>
      <c r="GO10" s="108" t="s">
        <v>503</v>
      </c>
      <c r="GP10" s="108" t="s">
        <v>664</v>
      </c>
      <c r="GQ10" s="108" t="s">
        <v>664</v>
      </c>
      <c r="GR10" s="108" t="s">
        <v>664</v>
      </c>
      <c r="GS10" s="108" t="s">
        <v>664</v>
      </c>
      <c r="GT10" s="108" t="s">
        <v>664</v>
      </c>
      <c r="GU10" s="108" t="s">
        <v>664</v>
      </c>
      <c r="GV10" s="108" t="s">
        <v>664</v>
      </c>
      <c r="GW10" s="108" t="s">
        <v>664</v>
      </c>
      <c r="GX10" s="108" t="s">
        <v>664</v>
      </c>
      <c r="GY10" s="108" t="s">
        <v>664</v>
      </c>
      <c r="GZ10" s="108" t="s">
        <v>664</v>
      </c>
      <c r="HA10" s="108" t="s">
        <v>664</v>
      </c>
      <c r="HB10" s="108" t="s">
        <v>664</v>
      </c>
      <c r="HC10" s="108" t="s">
        <v>664</v>
      </c>
      <c r="HD10" s="108" t="s">
        <v>664</v>
      </c>
      <c r="HE10" s="108" t="s">
        <v>664</v>
      </c>
      <c r="HF10" s="108" t="s">
        <v>664</v>
      </c>
      <c r="HG10" s="108" t="s">
        <v>664</v>
      </c>
      <c r="HH10" s="108" t="s">
        <v>664</v>
      </c>
      <c r="HI10" s="108" t="s">
        <v>664</v>
      </c>
      <c r="HJ10" s="108" t="s">
        <v>664</v>
      </c>
      <c r="HK10" s="108" t="s">
        <v>664</v>
      </c>
      <c r="HL10" s="108" t="s">
        <v>664</v>
      </c>
      <c r="HM10" s="108" t="s">
        <v>664</v>
      </c>
      <c r="HN10" s="130">
        <v>442</v>
      </c>
      <c r="HO10" s="130">
        <f>+HN10*19%</f>
        <v>83.98</v>
      </c>
      <c r="HP10" s="130">
        <f>+HN10+HO10</f>
        <v>525.98</v>
      </c>
      <c r="HQ10" s="108" t="s">
        <v>664</v>
      </c>
      <c r="HR10" s="108" t="s">
        <v>664</v>
      </c>
      <c r="HS10" s="108" t="s">
        <v>664</v>
      </c>
      <c r="HT10" s="108" t="s">
        <v>664</v>
      </c>
      <c r="HU10" s="108" t="s">
        <v>664</v>
      </c>
      <c r="HV10" s="108" t="s">
        <v>664</v>
      </c>
      <c r="HW10" s="108" t="s">
        <v>664</v>
      </c>
      <c r="HX10" s="108" t="s">
        <v>664</v>
      </c>
      <c r="HY10" s="108" t="s">
        <v>664</v>
      </c>
      <c r="HZ10" s="108" t="s">
        <v>664</v>
      </c>
      <c r="IA10" s="108" t="s">
        <v>664</v>
      </c>
      <c r="IB10" s="108" t="s">
        <v>664</v>
      </c>
      <c r="IC10" s="108" t="s">
        <v>664</v>
      </c>
      <c r="ID10" s="108" t="s">
        <v>664</v>
      </c>
      <c r="IE10" s="108" t="s">
        <v>664</v>
      </c>
      <c r="IF10" s="108" t="s">
        <v>664</v>
      </c>
      <c r="IG10" s="108" t="s">
        <v>664</v>
      </c>
      <c r="IH10" s="108" t="s">
        <v>664</v>
      </c>
      <c r="II10" s="108" t="s">
        <v>664</v>
      </c>
      <c r="IJ10" s="108" t="s">
        <v>664</v>
      </c>
      <c r="IK10" s="108" t="s">
        <v>664</v>
      </c>
      <c r="IL10" s="108" t="s">
        <v>664</v>
      </c>
      <c r="IM10" s="108" t="s">
        <v>664</v>
      </c>
      <c r="IN10" s="108" t="s">
        <v>664</v>
      </c>
      <c r="IO10" s="120" t="s">
        <v>503</v>
      </c>
      <c r="IP10" s="120" t="s">
        <v>503</v>
      </c>
      <c r="IQ10" s="120" t="s">
        <v>503</v>
      </c>
      <c r="IR10" s="120" t="s">
        <v>664</v>
      </c>
      <c r="IS10" s="120" t="s">
        <v>664</v>
      </c>
      <c r="IT10" s="120" t="s">
        <v>664</v>
      </c>
      <c r="IU10" s="120" t="s">
        <v>503</v>
      </c>
      <c r="IV10" s="120" t="s">
        <v>503</v>
      </c>
      <c r="IW10" s="120" t="s">
        <v>503</v>
      </c>
      <c r="IX10" s="47">
        <v>270</v>
      </c>
      <c r="IY10" s="47">
        <f>+IX10*19%</f>
        <v>51.3</v>
      </c>
      <c r="IZ10" s="47">
        <f>+IX10+IY10</f>
        <v>321.3</v>
      </c>
      <c r="JA10" s="120" t="s">
        <v>503</v>
      </c>
      <c r="JB10" s="120" t="s">
        <v>503</v>
      </c>
      <c r="JC10" s="120" t="s">
        <v>503</v>
      </c>
      <c r="JD10" s="120" t="s">
        <v>664</v>
      </c>
      <c r="JE10" s="120" t="s">
        <v>664</v>
      </c>
      <c r="JF10" s="120" t="s">
        <v>664</v>
      </c>
      <c r="JG10" s="120" t="s">
        <v>664</v>
      </c>
      <c r="JH10" s="120" t="s">
        <v>664</v>
      </c>
      <c r="JI10" s="120" t="s">
        <v>664</v>
      </c>
      <c r="JJ10" s="120" t="s">
        <v>664</v>
      </c>
      <c r="JK10" s="120" t="s">
        <v>664</v>
      </c>
      <c r="JL10" s="120" t="s">
        <v>664</v>
      </c>
      <c r="JM10" s="120" t="s">
        <v>664</v>
      </c>
      <c r="JN10" s="120" t="s">
        <v>664</v>
      </c>
      <c r="JO10" s="120" t="s">
        <v>664</v>
      </c>
      <c r="JP10" s="110">
        <v>450</v>
      </c>
      <c r="JQ10" s="111">
        <v>537.64804800000002</v>
      </c>
      <c r="JR10" s="112">
        <f t="shared" si="0"/>
        <v>4</v>
      </c>
      <c r="JS10" s="113">
        <f t="shared" si="1"/>
        <v>378.35846153846154</v>
      </c>
      <c r="JT10" s="114">
        <f t="shared" si="2"/>
        <v>400</v>
      </c>
      <c r="JU10" s="134"/>
    </row>
    <row r="11" spans="1:281" ht="101.25" customHeight="1" x14ac:dyDescent="0.2">
      <c r="A11" s="98">
        <v>45</v>
      </c>
      <c r="B11" s="99">
        <v>45</v>
      </c>
      <c r="C11" s="39" t="s">
        <v>11</v>
      </c>
      <c r="D11" s="100" t="s">
        <v>13</v>
      </c>
      <c r="E11" s="39">
        <v>25101700</v>
      </c>
      <c r="F11" s="101" t="s">
        <v>166</v>
      </c>
      <c r="G11" s="102" t="s">
        <v>49</v>
      </c>
      <c r="H11" s="103" t="s">
        <v>501</v>
      </c>
      <c r="I11" s="108" t="s">
        <v>503</v>
      </c>
      <c r="J11" s="108" t="s">
        <v>503</v>
      </c>
      <c r="K11" s="108" t="s">
        <v>503</v>
      </c>
      <c r="L11" s="108" t="s">
        <v>503</v>
      </c>
      <c r="M11" s="108" t="s">
        <v>503</v>
      </c>
      <c r="N11" s="108" t="s">
        <v>503</v>
      </c>
      <c r="O11" s="118" t="s">
        <v>502</v>
      </c>
      <c r="P11" s="118" t="s">
        <v>502</v>
      </c>
      <c r="Q11" s="118" t="s">
        <v>502</v>
      </c>
      <c r="R11" s="108" t="s">
        <v>503</v>
      </c>
      <c r="S11" s="108" t="s">
        <v>503</v>
      </c>
      <c r="T11" s="108" t="s">
        <v>503</v>
      </c>
      <c r="U11" s="108" t="s">
        <v>503</v>
      </c>
      <c r="V11" s="108" t="s">
        <v>503</v>
      </c>
      <c r="W11" s="108" t="s">
        <v>503</v>
      </c>
      <c r="X11" s="108" t="s">
        <v>503</v>
      </c>
      <c r="Y11" s="108" t="s">
        <v>503</v>
      </c>
      <c r="Z11" s="108" t="s">
        <v>503</v>
      </c>
      <c r="AA11" s="108" t="s">
        <v>503</v>
      </c>
      <c r="AB11" s="108" t="s">
        <v>503</v>
      </c>
      <c r="AC11" s="108" t="s">
        <v>503</v>
      </c>
      <c r="AD11" s="108" t="s">
        <v>503</v>
      </c>
      <c r="AE11" s="108" t="s">
        <v>503</v>
      </c>
      <c r="AF11" s="108" t="s">
        <v>503</v>
      </c>
      <c r="AG11" s="108" t="s">
        <v>503</v>
      </c>
      <c r="AH11" s="108" t="s">
        <v>503</v>
      </c>
      <c r="AI11" s="108" t="s">
        <v>503</v>
      </c>
      <c r="AJ11" s="108" t="s">
        <v>503</v>
      </c>
      <c r="AK11" s="108" t="s">
        <v>503</v>
      </c>
      <c r="AL11" s="108" t="s">
        <v>503</v>
      </c>
      <c r="AM11" s="108" t="s">
        <v>503</v>
      </c>
      <c r="AN11" s="108" t="s">
        <v>503</v>
      </c>
      <c r="AO11" s="108" t="s">
        <v>503</v>
      </c>
      <c r="AP11" s="108" t="s">
        <v>503</v>
      </c>
      <c r="AQ11" s="108" t="s">
        <v>503</v>
      </c>
      <c r="AR11" s="108" t="s">
        <v>503</v>
      </c>
      <c r="AS11" s="108" t="s">
        <v>503</v>
      </c>
      <c r="AT11" s="108" t="s">
        <v>503</v>
      </c>
      <c r="AU11" s="108" t="s">
        <v>503</v>
      </c>
      <c r="AV11" s="118" t="s">
        <v>502</v>
      </c>
      <c r="AW11" s="118" t="s">
        <v>502</v>
      </c>
      <c r="AX11" s="118" t="s">
        <v>502</v>
      </c>
      <c r="AY11" s="118">
        <v>2000000</v>
      </c>
      <c r="AZ11" s="119">
        <f>+AY11*0%</f>
        <v>0</v>
      </c>
      <c r="BA11" s="118">
        <f>+AY11+AZ11</f>
        <v>2000000</v>
      </c>
      <c r="BB11" s="118" t="s">
        <v>502</v>
      </c>
      <c r="BC11" s="118" t="s">
        <v>502</v>
      </c>
      <c r="BD11" s="118" t="s">
        <v>502</v>
      </c>
      <c r="BE11" s="108" t="s">
        <v>503</v>
      </c>
      <c r="BF11" s="108" t="s">
        <v>503</v>
      </c>
      <c r="BG11" s="108" t="s">
        <v>503</v>
      </c>
      <c r="BH11" s="108" t="s">
        <v>503</v>
      </c>
      <c r="BI11" s="108" t="s">
        <v>503</v>
      </c>
      <c r="BJ11" s="108" t="s">
        <v>503</v>
      </c>
      <c r="BK11" s="108" t="s">
        <v>503</v>
      </c>
      <c r="BL11" s="108" t="s">
        <v>503</v>
      </c>
      <c r="BM11" s="108" t="s">
        <v>503</v>
      </c>
      <c r="BN11" s="108" t="s">
        <v>503</v>
      </c>
      <c r="BO11" s="108" t="s">
        <v>503</v>
      </c>
      <c r="BP11" s="108" t="s">
        <v>503</v>
      </c>
      <c r="BQ11" s="108" t="s">
        <v>503</v>
      </c>
      <c r="BR11" s="108" t="s">
        <v>503</v>
      </c>
      <c r="BS11" s="108" t="s">
        <v>503</v>
      </c>
      <c r="BT11" s="108" t="s">
        <v>503</v>
      </c>
      <c r="BU11" s="108" t="s">
        <v>503</v>
      </c>
      <c r="BV11" s="108" t="s">
        <v>503</v>
      </c>
      <c r="BW11" s="108" t="s">
        <v>503</v>
      </c>
      <c r="BX11" s="108" t="s">
        <v>503</v>
      </c>
      <c r="BY11" s="108" t="s">
        <v>503</v>
      </c>
      <c r="BZ11" s="108" t="s">
        <v>503</v>
      </c>
      <c r="CA11" s="108" t="s">
        <v>503</v>
      </c>
      <c r="CB11" s="108" t="s">
        <v>503</v>
      </c>
      <c r="CC11" s="108" t="s">
        <v>503</v>
      </c>
      <c r="CD11" s="108" t="s">
        <v>503</v>
      </c>
      <c r="CE11" s="108" t="s">
        <v>503</v>
      </c>
      <c r="CF11" s="108" t="s">
        <v>503</v>
      </c>
      <c r="CG11" s="108" t="s">
        <v>503</v>
      </c>
      <c r="CH11" s="108" t="s">
        <v>503</v>
      </c>
      <c r="CI11" s="108" t="s">
        <v>503</v>
      </c>
      <c r="CJ11" s="108" t="s">
        <v>503</v>
      </c>
      <c r="CK11" s="108" t="s">
        <v>503</v>
      </c>
      <c r="CL11" s="108" t="s">
        <v>503</v>
      </c>
      <c r="CM11" s="108" t="s">
        <v>503</v>
      </c>
      <c r="CN11" s="108" t="s">
        <v>503</v>
      </c>
      <c r="CO11" s="108" t="s">
        <v>503</v>
      </c>
      <c r="CP11" s="108" t="s">
        <v>503</v>
      </c>
      <c r="CQ11" s="108" t="s">
        <v>503</v>
      </c>
      <c r="CR11" s="108" t="s">
        <v>503</v>
      </c>
      <c r="CS11" s="108" t="s">
        <v>503</v>
      </c>
      <c r="CT11" s="108" t="s">
        <v>503</v>
      </c>
      <c r="CU11" s="108" t="s">
        <v>503</v>
      </c>
      <c r="CV11" s="108" t="s">
        <v>503</v>
      </c>
      <c r="CW11" s="108" t="s">
        <v>503</v>
      </c>
      <c r="CX11" s="108" t="s">
        <v>503</v>
      </c>
      <c r="CY11" s="108" t="s">
        <v>503</v>
      </c>
      <c r="CZ11" s="108" t="s">
        <v>503</v>
      </c>
      <c r="DA11" s="118" t="s">
        <v>502</v>
      </c>
      <c r="DB11" s="118" t="s">
        <v>502</v>
      </c>
      <c r="DC11" s="118" t="s">
        <v>502</v>
      </c>
      <c r="DD11" s="118" t="s">
        <v>502</v>
      </c>
      <c r="DE11" s="118" t="s">
        <v>502</v>
      </c>
      <c r="DF11" s="118" t="s">
        <v>502</v>
      </c>
      <c r="DG11" s="118" t="s">
        <v>502</v>
      </c>
      <c r="DH11" s="118" t="s">
        <v>502</v>
      </c>
      <c r="DI11" s="118" t="s">
        <v>502</v>
      </c>
      <c r="DJ11" s="108" t="s">
        <v>503</v>
      </c>
      <c r="DK11" s="108" t="s">
        <v>503</v>
      </c>
      <c r="DL11" s="108" t="s">
        <v>503</v>
      </c>
      <c r="DM11" s="108" t="s">
        <v>503</v>
      </c>
      <c r="DN11" s="108" t="s">
        <v>503</v>
      </c>
      <c r="DO11" s="108" t="s">
        <v>503</v>
      </c>
      <c r="DP11" s="108" t="s">
        <v>669</v>
      </c>
      <c r="DQ11" s="108" t="s">
        <v>669</v>
      </c>
      <c r="DR11" s="108" t="s">
        <v>669</v>
      </c>
      <c r="DS11" s="108" t="s">
        <v>669</v>
      </c>
      <c r="DT11" s="108" t="s">
        <v>669</v>
      </c>
      <c r="DU11" s="108" t="s">
        <v>669</v>
      </c>
      <c r="DV11" s="108" t="s">
        <v>669</v>
      </c>
      <c r="DW11" s="108" t="s">
        <v>669</v>
      </c>
      <c r="DX11" s="108" t="s">
        <v>669</v>
      </c>
      <c r="DY11" s="108" t="s">
        <v>503</v>
      </c>
      <c r="DZ11" s="108" t="s">
        <v>503</v>
      </c>
      <c r="EA11" s="108" t="s">
        <v>503</v>
      </c>
      <c r="EB11" s="108" t="s">
        <v>503</v>
      </c>
      <c r="EC11" s="108" t="s">
        <v>503</v>
      </c>
      <c r="ED11" s="108" t="s">
        <v>503</v>
      </c>
      <c r="EE11" s="108" t="s">
        <v>503</v>
      </c>
      <c r="EF11" s="108" t="s">
        <v>503</v>
      </c>
      <c r="EG11" s="108" t="s">
        <v>503</v>
      </c>
      <c r="EH11" s="108" t="s">
        <v>502</v>
      </c>
      <c r="EI11" s="108" t="s">
        <v>502</v>
      </c>
      <c r="EJ11" s="108" t="s">
        <v>502</v>
      </c>
      <c r="EK11" s="108" t="s">
        <v>503</v>
      </c>
      <c r="EL11" s="108" t="s">
        <v>503</v>
      </c>
      <c r="EM11" s="108" t="s">
        <v>503</v>
      </c>
      <c r="EN11" s="108" t="s">
        <v>503</v>
      </c>
      <c r="EO11" s="108" t="s">
        <v>503</v>
      </c>
      <c r="EP11" s="108" t="s">
        <v>503</v>
      </c>
      <c r="EQ11" s="108" t="s">
        <v>503</v>
      </c>
      <c r="ER11" s="108" t="s">
        <v>503</v>
      </c>
      <c r="ES11" s="108" t="s">
        <v>503</v>
      </c>
      <c r="ET11" s="108" t="s">
        <v>503</v>
      </c>
      <c r="EU11" s="108" t="s">
        <v>503</v>
      </c>
      <c r="EV11" s="108" t="s">
        <v>503</v>
      </c>
      <c r="EW11" s="108" t="s">
        <v>503</v>
      </c>
      <c r="EX11" s="108" t="s">
        <v>503</v>
      </c>
      <c r="EY11" s="108" t="s">
        <v>503</v>
      </c>
      <c r="EZ11" s="108" t="s">
        <v>503</v>
      </c>
      <c r="FA11" s="108" t="s">
        <v>503</v>
      </c>
      <c r="FB11" s="108" t="s">
        <v>503</v>
      </c>
      <c r="FC11" s="108" t="s">
        <v>503</v>
      </c>
      <c r="FD11" s="108" t="s">
        <v>503</v>
      </c>
      <c r="FE11" s="108" t="s">
        <v>503</v>
      </c>
      <c r="FF11" s="108" t="s">
        <v>503</v>
      </c>
      <c r="FG11" s="108" t="s">
        <v>503</v>
      </c>
      <c r="FH11" s="108" t="s">
        <v>503</v>
      </c>
      <c r="FI11" s="108" t="s">
        <v>669</v>
      </c>
      <c r="FJ11" s="108" t="s">
        <v>669</v>
      </c>
      <c r="FK11" s="108" t="s">
        <v>669</v>
      </c>
      <c r="FL11" s="108" t="s">
        <v>503</v>
      </c>
      <c r="FM11" s="108" t="s">
        <v>503</v>
      </c>
      <c r="FN11" s="108" t="s">
        <v>503</v>
      </c>
      <c r="FO11" s="108" t="s">
        <v>503</v>
      </c>
      <c r="FP11" s="108" t="s">
        <v>503</v>
      </c>
      <c r="FQ11" s="108" t="s">
        <v>503</v>
      </c>
      <c r="FR11" s="108" t="s">
        <v>503</v>
      </c>
      <c r="FS11" s="108" t="s">
        <v>503</v>
      </c>
      <c r="FT11" s="108" t="s">
        <v>503</v>
      </c>
      <c r="FU11" s="108" t="s">
        <v>503</v>
      </c>
      <c r="FV11" s="108" t="s">
        <v>503</v>
      </c>
      <c r="FW11" s="108" t="s">
        <v>503</v>
      </c>
      <c r="FX11" s="108" t="s">
        <v>503</v>
      </c>
      <c r="FY11" s="108" t="s">
        <v>503</v>
      </c>
      <c r="FZ11" s="108" t="s">
        <v>503</v>
      </c>
      <c r="GA11" s="108" t="s">
        <v>502</v>
      </c>
      <c r="GB11" s="108" t="s">
        <v>502</v>
      </c>
      <c r="GC11" s="108" t="s">
        <v>502</v>
      </c>
      <c r="GD11" s="71">
        <v>2400000</v>
      </c>
      <c r="GE11" s="71">
        <f>+GD11*0%</f>
        <v>0</v>
      </c>
      <c r="GF11" s="71">
        <f>+GD11+GE11</f>
        <v>2400000</v>
      </c>
      <c r="GG11" s="108" t="s">
        <v>503</v>
      </c>
      <c r="GH11" s="108" t="s">
        <v>503</v>
      </c>
      <c r="GI11" s="108" t="s">
        <v>503</v>
      </c>
      <c r="GJ11" s="108" t="s">
        <v>503</v>
      </c>
      <c r="GK11" s="108" t="s">
        <v>503</v>
      </c>
      <c r="GL11" s="108" t="s">
        <v>503</v>
      </c>
      <c r="GM11" s="108" t="s">
        <v>503</v>
      </c>
      <c r="GN11" s="108" t="s">
        <v>503</v>
      </c>
      <c r="GO11" s="108" t="s">
        <v>503</v>
      </c>
      <c r="GP11" s="108" t="s">
        <v>664</v>
      </c>
      <c r="GQ11" s="108" t="s">
        <v>664</v>
      </c>
      <c r="GR11" s="108" t="s">
        <v>664</v>
      </c>
      <c r="GS11" s="108" t="s">
        <v>664</v>
      </c>
      <c r="GT11" s="108" t="s">
        <v>664</v>
      </c>
      <c r="GU11" s="108" t="s">
        <v>664</v>
      </c>
      <c r="GV11" s="108" t="s">
        <v>664</v>
      </c>
      <c r="GW11" s="108" t="s">
        <v>664</v>
      </c>
      <c r="GX11" s="108" t="s">
        <v>664</v>
      </c>
      <c r="GY11" s="108" t="s">
        <v>664</v>
      </c>
      <c r="GZ11" s="108" t="s">
        <v>664</v>
      </c>
      <c r="HA11" s="108" t="s">
        <v>664</v>
      </c>
      <c r="HB11" s="108" t="s">
        <v>664</v>
      </c>
      <c r="HC11" s="108" t="s">
        <v>664</v>
      </c>
      <c r="HD11" s="108" t="s">
        <v>664</v>
      </c>
      <c r="HE11" s="108" t="s">
        <v>664</v>
      </c>
      <c r="HF11" s="108" t="s">
        <v>664</v>
      </c>
      <c r="HG11" s="108" t="s">
        <v>664</v>
      </c>
      <c r="HH11" s="108" t="s">
        <v>664</v>
      </c>
      <c r="HI11" s="108" t="s">
        <v>664</v>
      </c>
      <c r="HJ11" s="108" t="s">
        <v>664</v>
      </c>
      <c r="HK11" s="108" t="s">
        <v>664</v>
      </c>
      <c r="HL11" s="108" t="s">
        <v>664</v>
      </c>
      <c r="HM11" s="108" t="s">
        <v>664</v>
      </c>
      <c r="HN11" s="108" t="s">
        <v>664</v>
      </c>
      <c r="HO11" s="108" t="s">
        <v>664</v>
      </c>
      <c r="HP11" s="108" t="s">
        <v>664</v>
      </c>
      <c r="HQ11" s="108" t="s">
        <v>502</v>
      </c>
      <c r="HR11" s="108" t="s">
        <v>502</v>
      </c>
      <c r="HS11" s="108" t="s">
        <v>502</v>
      </c>
      <c r="HT11" s="108" t="s">
        <v>503</v>
      </c>
      <c r="HU11" s="108" t="s">
        <v>503</v>
      </c>
      <c r="HV11" s="108" t="s">
        <v>503</v>
      </c>
      <c r="HW11" s="108" t="s">
        <v>503</v>
      </c>
      <c r="HX11" s="108" t="s">
        <v>503</v>
      </c>
      <c r="HY11" s="108" t="s">
        <v>503</v>
      </c>
      <c r="HZ11" s="108" t="s">
        <v>503</v>
      </c>
      <c r="IA11" s="108" t="s">
        <v>503</v>
      </c>
      <c r="IB11" s="108" t="s">
        <v>503</v>
      </c>
      <c r="IC11" s="108" t="s">
        <v>503</v>
      </c>
      <c r="ID11" s="108" t="s">
        <v>503</v>
      </c>
      <c r="IE11" s="108" t="s">
        <v>503</v>
      </c>
      <c r="IF11" s="108" t="s">
        <v>503</v>
      </c>
      <c r="IG11" s="108" t="s">
        <v>503</v>
      </c>
      <c r="IH11" s="108" t="s">
        <v>503</v>
      </c>
      <c r="II11" s="108" t="s">
        <v>503</v>
      </c>
      <c r="IJ11" s="108" t="s">
        <v>503</v>
      </c>
      <c r="IK11" s="108" t="s">
        <v>503</v>
      </c>
      <c r="IL11" s="108" t="s">
        <v>503</v>
      </c>
      <c r="IM11" s="108" t="s">
        <v>503</v>
      </c>
      <c r="IN11" s="108" t="s">
        <v>503</v>
      </c>
      <c r="IO11" s="120" t="s">
        <v>503</v>
      </c>
      <c r="IP11" s="120" t="s">
        <v>503</v>
      </c>
      <c r="IQ11" s="120" t="s">
        <v>503</v>
      </c>
      <c r="IR11" s="120" t="s">
        <v>664</v>
      </c>
      <c r="IS11" s="120" t="s">
        <v>664</v>
      </c>
      <c r="IT11" s="120" t="s">
        <v>664</v>
      </c>
      <c r="IU11" s="120" t="s">
        <v>503</v>
      </c>
      <c r="IV11" s="120" t="s">
        <v>503</v>
      </c>
      <c r="IW11" s="120" t="s">
        <v>503</v>
      </c>
      <c r="IX11" s="120" t="s">
        <v>503</v>
      </c>
      <c r="IY11" s="120" t="s">
        <v>503</v>
      </c>
      <c r="IZ11" s="120" t="s">
        <v>503</v>
      </c>
      <c r="JA11" s="120" t="s">
        <v>503</v>
      </c>
      <c r="JB11" s="120" t="s">
        <v>503</v>
      </c>
      <c r="JC11" s="120" t="s">
        <v>503</v>
      </c>
      <c r="JD11" s="120" t="s">
        <v>664</v>
      </c>
      <c r="JE11" s="120" t="s">
        <v>664</v>
      </c>
      <c r="JF11" s="120" t="s">
        <v>664</v>
      </c>
      <c r="JG11" s="120" t="s">
        <v>664</v>
      </c>
      <c r="JH11" s="120" t="s">
        <v>664</v>
      </c>
      <c r="JI11" s="120" t="s">
        <v>664</v>
      </c>
      <c r="JJ11" s="120" t="s">
        <v>664</v>
      </c>
      <c r="JK11" s="120" t="s">
        <v>664</v>
      </c>
      <c r="JL11" s="120" t="s">
        <v>664</v>
      </c>
      <c r="JM11" s="120" t="s">
        <v>664</v>
      </c>
      <c r="JN11" s="120" t="s">
        <v>664</v>
      </c>
      <c r="JO11" s="120" t="s">
        <v>664</v>
      </c>
      <c r="JP11" s="110">
        <v>1340000</v>
      </c>
      <c r="JQ11" s="111">
        <v>1600996.4095999999</v>
      </c>
      <c r="JR11" s="112">
        <f t="shared" si="0"/>
        <v>2</v>
      </c>
      <c r="JS11" s="113">
        <f t="shared" si="1"/>
        <v>2200000</v>
      </c>
      <c r="JT11" s="114">
        <f t="shared" si="2"/>
        <v>2200000</v>
      </c>
      <c r="JU11" s="84"/>
    </row>
    <row r="12" spans="1:281" ht="101.25" customHeight="1" x14ac:dyDescent="0.2">
      <c r="A12" s="98">
        <v>46</v>
      </c>
      <c r="B12" s="99">
        <v>46</v>
      </c>
      <c r="C12" s="39" t="s">
        <v>11</v>
      </c>
      <c r="D12" s="100" t="s">
        <v>14</v>
      </c>
      <c r="E12" s="39">
        <v>25101700</v>
      </c>
      <c r="F12" s="101" t="s">
        <v>167</v>
      </c>
      <c r="G12" s="102" t="s">
        <v>50</v>
      </c>
      <c r="H12" s="103" t="s">
        <v>501</v>
      </c>
      <c r="I12" s="108" t="s">
        <v>503</v>
      </c>
      <c r="J12" s="108" t="s">
        <v>503</v>
      </c>
      <c r="K12" s="108" t="s">
        <v>503</v>
      </c>
      <c r="L12" s="108" t="s">
        <v>503</v>
      </c>
      <c r="M12" s="108" t="s">
        <v>503</v>
      </c>
      <c r="N12" s="108" t="s">
        <v>503</v>
      </c>
      <c r="O12" s="118" t="s">
        <v>502</v>
      </c>
      <c r="P12" s="118" t="s">
        <v>502</v>
      </c>
      <c r="Q12" s="118" t="s">
        <v>502</v>
      </c>
      <c r="R12" s="108" t="s">
        <v>503</v>
      </c>
      <c r="S12" s="108" t="s">
        <v>503</v>
      </c>
      <c r="T12" s="108" t="s">
        <v>503</v>
      </c>
      <c r="U12" s="108" t="s">
        <v>503</v>
      </c>
      <c r="V12" s="108" t="s">
        <v>503</v>
      </c>
      <c r="W12" s="108" t="s">
        <v>503</v>
      </c>
      <c r="X12" s="108" t="s">
        <v>503</v>
      </c>
      <c r="Y12" s="108" t="s">
        <v>503</v>
      </c>
      <c r="Z12" s="108" t="s">
        <v>503</v>
      </c>
      <c r="AA12" s="108" t="s">
        <v>503</v>
      </c>
      <c r="AB12" s="108" t="s">
        <v>503</v>
      </c>
      <c r="AC12" s="108" t="s">
        <v>503</v>
      </c>
      <c r="AD12" s="108" t="s">
        <v>503</v>
      </c>
      <c r="AE12" s="108" t="s">
        <v>503</v>
      </c>
      <c r="AF12" s="108" t="s">
        <v>503</v>
      </c>
      <c r="AG12" s="108" t="s">
        <v>503</v>
      </c>
      <c r="AH12" s="108" t="s">
        <v>503</v>
      </c>
      <c r="AI12" s="108" t="s">
        <v>503</v>
      </c>
      <c r="AJ12" s="108" t="s">
        <v>503</v>
      </c>
      <c r="AK12" s="108" t="s">
        <v>503</v>
      </c>
      <c r="AL12" s="108" t="s">
        <v>503</v>
      </c>
      <c r="AM12" s="108" t="s">
        <v>503</v>
      </c>
      <c r="AN12" s="108" t="s">
        <v>503</v>
      </c>
      <c r="AO12" s="108" t="s">
        <v>503</v>
      </c>
      <c r="AP12" s="108" t="s">
        <v>503</v>
      </c>
      <c r="AQ12" s="108" t="s">
        <v>503</v>
      </c>
      <c r="AR12" s="108" t="s">
        <v>503</v>
      </c>
      <c r="AS12" s="108" t="s">
        <v>503</v>
      </c>
      <c r="AT12" s="108" t="s">
        <v>503</v>
      </c>
      <c r="AU12" s="108" t="s">
        <v>503</v>
      </c>
      <c r="AV12" s="118" t="s">
        <v>502</v>
      </c>
      <c r="AW12" s="118" t="s">
        <v>502</v>
      </c>
      <c r="AX12" s="118" t="s">
        <v>502</v>
      </c>
      <c r="AY12" s="118">
        <v>900000</v>
      </c>
      <c r="AZ12" s="119">
        <f>+AY12*0%</f>
        <v>0</v>
      </c>
      <c r="BA12" s="118">
        <f>+AY12+AZ12</f>
        <v>900000</v>
      </c>
      <c r="BB12" s="118" t="s">
        <v>502</v>
      </c>
      <c r="BC12" s="118" t="s">
        <v>502</v>
      </c>
      <c r="BD12" s="118" t="s">
        <v>502</v>
      </c>
      <c r="BE12" s="108" t="s">
        <v>503</v>
      </c>
      <c r="BF12" s="108" t="s">
        <v>503</v>
      </c>
      <c r="BG12" s="108" t="s">
        <v>503</v>
      </c>
      <c r="BH12" s="108" t="s">
        <v>503</v>
      </c>
      <c r="BI12" s="108" t="s">
        <v>503</v>
      </c>
      <c r="BJ12" s="108" t="s">
        <v>503</v>
      </c>
      <c r="BK12" s="108" t="s">
        <v>503</v>
      </c>
      <c r="BL12" s="108" t="s">
        <v>503</v>
      </c>
      <c r="BM12" s="108" t="s">
        <v>503</v>
      </c>
      <c r="BN12" s="108" t="s">
        <v>503</v>
      </c>
      <c r="BO12" s="108" t="s">
        <v>503</v>
      </c>
      <c r="BP12" s="108" t="s">
        <v>503</v>
      </c>
      <c r="BQ12" s="108" t="s">
        <v>503</v>
      </c>
      <c r="BR12" s="108" t="s">
        <v>503</v>
      </c>
      <c r="BS12" s="108" t="s">
        <v>503</v>
      </c>
      <c r="BT12" s="108" t="s">
        <v>503</v>
      </c>
      <c r="BU12" s="108" t="s">
        <v>503</v>
      </c>
      <c r="BV12" s="108" t="s">
        <v>503</v>
      </c>
      <c r="BW12" s="108" t="s">
        <v>503</v>
      </c>
      <c r="BX12" s="108" t="s">
        <v>503</v>
      </c>
      <c r="BY12" s="108" t="s">
        <v>503</v>
      </c>
      <c r="BZ12" s="108" t="s">
        <v>503</v>
      </c>
      <c r="CA12" s="108" t="s">
        <v>503</v>
      </c>
      <c r="CB12" s="108" t="s">
        <v>503</v>
      </c>
      <c r="CC12" s="108" t="s">
        <v>503</v>
      </c>
      <c r="CD12" s="108" t="s">
        <v>503</v>
      </c>
      <c r="CE12" s="108" t="s">
        <v>503</v>
      </c>
      <c r="CF12" s="108" t="s">
        <v>503</v>
      </c>
      <c r="CG12" s="108" t="s">
        <v>503</v>
      </c>
      <c r="CH12" s="108" t="s">
        <v>503</v>
      </c>
      <c r="CI12" s="108" t="s">
        <v>503</v>
      </c>
      <c r="CJ12" s="108" t="s">
        <v>503</v>
      </c>
      <c r="CK12" s="108" t="s">
        <v>503</v>
      </c>
      <c r="CL12" s="108" t="s">
        <v>503</v>
      </c>
      <c r="CM12" s="108" t="s">
        <v>503</v>
      </c>
      <c r="CN12" s="108" t="s">
        <v>503</v>
      </c>
      <c r="CO12" s="108" t="s">
        <v>503</v>
      </c>
      <c r="CP12" s="108" t="s">
        <v>503</v>
      </c>
      <c r="CQ12" s="108" t="s">
        <v>503</v>
      </c>
      <c r="CR12" s="108" t="s">
        <v>503</v>
      </c>
      <c r="CS12" s="108" t="s">
        <v>503</v>
      </c>
      <c r="CT12" s="108" t="s">
        <v>503</v>
      </c>
      <c r="CU12" s="108" t="s">
        <v>503</v>
      </c>
      <c r="CV12" s="108" t="s">
        <v>503</v>
      </c>
      <c r="CW12" s="108" t="s">
        <v>503</v>
      </c>
      <c r="CX12" s="108" t="s">
        <v>503</v>
      </c>
      <c r="CY12" s="108" t="s">
        <v>503</v>
      </c>
      <c r="CZ12" s="108" t="s">
        <v>503</v>
      </c>
      <c r="DA12" s="118" t="s">
        <v>502</v>
      </c>
      <c r="DB12" s="118" t="s">
        <v>502</v>
      </c>
      <c r="DC12" s="118" t="s">
        <v>502</v>
      </c>
      <c r="DD12" s="118" t="s">
        <v>502</v>
      </c>
      <c r="DE12" s="118" t="s">
        <v>502</v>
      </c>
      <c r="DF12" s="118" t="s">
        <v>502</v>
      </c>
      <c r="DG12" s="118" t="s">
        <v>502</v>
      </c>
      <c r="DH12" s="118" t="s">
        <v>502</v>
      </c>
      <c r="DI12" s="118" t="s">
        <v>502</v>
      </c>
      <c r="DJ12" s="108" t="s">
        <v>503</v>
      </c>
      <c r="DK12" s="108" t="s">
        <v>503</v>
      </c>
      <c r="DL12" s="108" t="s">
        <v>503</v>
      </c>
      <c r="DM12" s="108" t="s">
        <v>503</v>
      </c>
      <c r="DN12" s="108" t="s">
        <v>503</v>
      </c>
      <c r="DO12" s="108" t="s">
        <v>503</v>
      </c>
      <c r="DP12" s="108" t="s">
        <v>669</v>
      </c>
      <c r="DQ12" s="108" t="s">
        <v>669</v>
      </c>
      <c r="DR12" s="108" t="s">
        <v>669</v>
      </c>
      <c r="DS12" s="108" t="s">
        <v>669</v>
      </c>
      <c r="DT12" s="108" t="s">
        <v>669</v>
      </c>
      <c r="DU12" s="108" t="s">
        <v>669</v>
      </c>
      <c r="DV12" s="108" t="s">
        <v>669</v>
      </c>
      <c r="DW12" s="108" t="s">
        <v>669</v>
      </c>
      <c r="DX12" s="108" t="s">
        <v>669</v>
      </c>
      <c r="DY12" s="108" t="s">
        <v>503</v>
      </c>
      <c r="DZ12" s="108" t="s">
        <v>503</v>
      </c>
      <c r="EA12" s="108" t="s">
        <v>503</v>
      </c>
      <c r="EB12" s="108" t="s">
        <v>503</v>
      </c>
      <c r="EC12" s="108" t="s">
        <v>503</v>
      </c>
      <c r="ED12" s="108" t="s">
        <v>503</v>
      </c>
      <c r="EE12" s="108" t="s">
        <v>503</v>
      </c>
      <c r="EF12" s="108" t="s">
        <v>503</v>
      </c>
      <c r="EG12" s="108" t="s">
        <v>503</v>
      </c>
      <c r="EH12" s="108" t="s">
        <v>502</v>
      </c>
      <c r="EI12" s="108" t="s">
        <v>502</v>
      </c>
      <c r="EJ12" s="108" t="s">
        <v>502</v>
      </c>
      <c r="EK12" s="108" t="s">
        <v>503</v>
      </c>
      <c r="EL12" s="108" t="s">
        <v>503</v>
      </c>
      <c r="EM12" s="108" t="s">
        <v>503</v>
      </c>
      <c r="EN12" s="108" t="s">
        <v>503</v>
      </c>
      <c r="EO12" s="108" t="s">
        <v>503</v>
      </c>
      <c r="EP12" s="108" t="s">
        <v>503</v>
      </c>
      <c r="EQ12" s="108" t="s">
        <v>503</v>
      </c>
      <c r="ER12" s="108" t="s">
        <v>503</v>
      </c>
      <c r="ES12" s="108" t="s">
        <v>503</v>
      </c>
      <c r="ET12" s="108" t="s">
        <v>503</v>
      </c>
      <c r="EU12" s="108" t="s">
        <v>503</v>
      </c>
      <c r="EV12" s="108" t="s">
        <v>503</v>
      </c>
      <c r="EW12" s="108" t="s">
        <v>503</v>
      </c>
      <c r="EX12" s="108" t="s">
        <v>503</v>
      </c>
      <c r="EY12" s="108" t="s">
        <v>503</v>
      </c>
      <c r="EZ12" s="108" t="s">
        <v>503</v>
      </c>
      <c r="FA12" s="108" t="s">
        <v>503</v>
      </c>
      <c r="FB12" s="108" t="s">
        <v>503</v>
      </c>
      <c r="FC12" s="108" t="s">
        <v>503</v>
      </c>
      <c r="FD12" s="108" t="s">
        <v>503</v>
      </c>
      <c r="FE12" s="108" t="s">
        <v>503</v>
      </c>
      <c r="FF12" s="108" t="s">
        <v>503</v>
      </c>
      <c r="FG12" s="108" t="s">
        <v>503</v>
      </c>
      <c r="FH12" s="108" t="s">
        <v>503</v>
      </c>
      <c r="FI12" s="108" t="s">
        <v>669</v>
      </c>
      <c r="FJ12" s="108" t="s">
        <v>669</v>
      </c>
      <c r="FK12" s="108" t="s">
        <v>669</v>
      </c>
      <c r="FL12" s="108" t="s">
        <v>503</v>
      </c>
      <c r="FM12" s="108" t="s">
        <v>503</v>
      </c>
      <c r="FN12" s="108" t="s">
        <v>503</v>
      </c>
      <c r="FO12" s="108" t="s">
        <v>503</v>
      </c>
      <c r="FP12" s="108" t="s">
        <v>503</v>
      </c>
      <c r="FQ12" s="108" t="s">
        <v>503</v>
      </c>
      <c r="FR12" s="108" t="s">
        <v>503</v>
      </c>
      <c r="FS12" s="108" t="s">
        <v>503</v>
      </c>
      <c r="FT12" s="108" t="s">
        <v>503</v>
      </c>
      <c r="FU12" s="108" t="s">
        <v>503</v>
      </c>
      <c r="FV12" s="108" t="s">
        <v>503</v>
      </c>
      <c r="FW12" s="108" t="s">
        <v>503</v>
      </c>
      <c r="FX12" s="108" t="s">
        <v>503</v>
      </c>
      <c r="FY12" s="108" t="s">
        <v>503</v>
      </c>
      <c r="FZ12" s="108" t="s">
        <v>503</v>
      </c>
      <c r="GA12" s="108" t="s">
        <v>502</v>
      </c>
      <c r="GB12" s="108" t="s">
        <v>502</v>
      </c>
      <c r="GC12" s="108" t="s">
        <v>502</v>
      </c>
      <c r="GD12" s="71">
        <v>840000</v>
      </c>
      <c r="GE12" s="71">
        <f>+GD12*0%</f>
        <v>0</v>
      </c>
      <c r="GF12" s="71">
        <f>+GD12+GE12</f>
        <v>840000</v>
      </c>
      <c r="GG12" s="108" t="s">
        <v>503</v>
      </c>
      <c r="GH12" s="108" t="s">
        <v>503</v>
      </c>
      <c r="GI12" s="108" t="s">
        <v>503</v>
      </c>
      <c r="GJ12" s="108" t="s">
        <v>503</v>
      </c>
      <c r="GK12" s="108" t="s">
        <v>503</v>
      </c>
      <c r="GL12" s="108" t="s">
        <v>503</v>
      </c>
      <c r="GM12" s="108" t="s">
        <v>503</v>
      </c>
      <c r="GN12" s="108" t="s">
        <v>503</v>
      </c>
      <c r="GO12" s="108" t="s">
        <v>503</v>
      </c>
      <c r="GP12" s="108" t="s">
        <v>664</v>
      </c>
      <c r="GQ12" s="108" t="s">
        <v>664</v>
      </c>
      <c r="GR12" s="108" t="s">
        <v>664</v>
      </c>
      <c r="GS12" s="108" t="s">
        <v>664</v>
      </c>
      <c r="GT12" s="108" t="s">
        <v>664</v>
      </c>
      <c r="GU12" s="108" t="s">
        <v>664</v>
      </c>
      <c r="GV12" s="108" t="s">
        <v>664</v>
      </c>
      <c r="GW12" s="108" t="s">
        <v>664</v>
      </c>
      <c r="GX12" s="108" t="s">
        <v>664</v>
      </c>
      <c r="GY12" s="108" t="s">
        <v>664</v>
      </c>
      <c r="GZ12" s="108" t="s">
        <v>664</v>
      </c>
      <c r="HA12" s="108" t="s">
        <v>664</v>
      </c>
      <c r="HB12" s="108" t="s">
        <v>664</v>
      </c>
      <c r="HC12" s="108" t="s">
        <v>664</v>
      </c>
      <c r="HD12" s="108" t="s">
        <v>664</v>
      </c>
      <c r="HE12" s="108" t="s">
        <v>664</v>
      </c>
      <c r="HF12" s="108" t="s">
        <v>664</v>
      </c>
      <c r="HG12" s="108" t="s">
        <v>664</v>
      </c>
      <c r="HH12" s="108" t="s">
        <v>664</v>
      </c>
      <c r="HI12" s="108" t="s">
        <v>664</v>
      </c>
      <c r="HJ12" s="108" t="s">
        <v>664</v>
      </c>
      <c r="HK12" s="108" t="s">
        <v>664</v>
      </c>
      <c r="HL12" s="108" t="s">
        <v>664</v>
      </c>
      <c r="HM12" s="108" t="s">
        <v>664</v>
      </c>
      <c r="HN12" s="108" t="s">
        <v>664</v>
      </c>
      <c r="HO12" s="108" t="s">
        <v>664</v>
      </c>
      <c r="HP12" s="108" t="s">
        <v>664</v>
      </c>
      <c r="HQ12" s="108" t="s">
        <v>502</v>
      </c>
      <c r="HR12" s="108" t="s">
        <v>502</v>
      </c>
      <c r="HS12" s="108" t="s">
        <v>502</v>
      </c>
      <c r="HT12" s="108" t="s">
        <v>503</v>
      </c>
      <c r="HU12" s="108" t="s">
        <v>503</v>
      </c>
      <c r="HV12" s="108" t="s">
        <v>503</v>
      </c>
      <c r="HW12" s="108" t="s">
        <v>503</v>
      </c>
      <c r="HX12" s="108" t="s">
        <v>503</v>
      </c>
      <c r="HY12" s="108" t="s">
        <v>503</v>
      </c>
      <c r="HZ12" s="108" t="s">
        <v>503</v>
      </c>
      <c r="IA12" s="108" t="s">
        <v>503</v>
      </c>
      <c r="IB12" s="108" t="s">
        <v>503</v>
      </c>
      <c r="IC12" s="108" t="s">
        <v>503</v>
      </c>
      <c r="ID12" s="108" t="s">
        <v>503</v>
      </c>
      <c r="IE12" s="108" t="s">
        <v>503</v>
      </c>
      <c r="IF12" s="108" t="s">
        <v>503</v>
      </c>
      <c r="IG12" s="108" t="s">
        <v>503</v>
      </c>
      <c r="IH12" s="108" t="s">
        <v>503</v>
      </c>
      <c r="II12" s="108" t="s">
        <v>503</v>
      </c>
      <c r="IJ12" s="108" t="s">
        <v>503</v>
      </c>
      <c r="IK12" s="108" t="s">
        <v>503</v>
      </c>
      <c r="IL12" s="108" t="s">
        <v>503</v>
      </c>
      <c r="IM12" s="108" t="s">
        <v>503</v>
      </c>
      <c r="IN12" s="108" t="s">
        <v>503</v>
      </c>
      <c r="IO12" s="120" t="s">
        <v>503</v>
      </c>
      <c r="IP12" s="120" t="s">
        <v>503</v>
      </c>
      <c r="IQ12" s="120" t="s">
        <v>503</v>
      </c>
      <c r="IR12" s="120" t="s">
        <v>664</v>
      </c>
      <c r="IS12" s="120" t="s">
        <v>664</v>
      </c>
      <c r="IT12" s="120" t="s">
        <v>664</v>
      </c>
      <c r="IU12" s="120" t="s">
        <v>503</v>
      </c>
      <c r="IV12" s="120" t="s">
        <v>503</v>
      </c>
      <c r="IW12" s="120" t="s">
        <v>503</v>
      </c>
      <c r="IX12" s="120" t="s">
        <v>503</v>
      </c>
      <c r="IY12" s="120" t="s">
        <v>503</v>
      </c>
      <c r="IZ12" s="120" t="s">
        <v>503</v>
      </c>
      <c r="JA12" s="120" t="s">
        <v>503</v>
      </c>
      <c r="JB12" s="120" t="s">
        <v>503</v>
      </c>
      <c r="JC12" s="120" t="s">
        <v>503</v>
      </c>
      <c r="JD12" s="120" t="s">
        <v>664</v>
      </c>
      <c r="JE12" s="120" t="s">
        <v>664</v>
      </c>
      <c r="JF12" s="120" t="s">
        <v>664</v>
      </c>
      <c r="JG12" s="120" t="s">
        <v>664</v>
      </c>
      <c r="JH12" s="120" t="s">
        <v>664</v>
      </c>
      <c r="JI12" s="120" t="s">
        <v>664</v>
      </c>
      <c r="JJ12" s="120" t="s">
        <v>664</v>
      </c>
      <c r="JK12" s="120" t="s">
        <v>664</v>
      </c>
      <c r="JL12" s="120" t="s">
        <v>664</v>
      </c>
      <c r="JM12" s="120" t="s">
        <v>664</v>
      </c>
      <c r="JN12" s="120" t="s">
        <v>664</v>
      </c>
      <c r="JO12" s="120" t="s">
        <v>664</v>
      </c>
      <c r="JP12" s="110">
        <v>636700</v>
      </c>
      <c r="JQ12" s="111">
        <v>760712.24924799998</v>
      </c>
      <c r="JR12" s="112">
        <f t="shared" si="0"/>
        <v>2</v>
      </c>
      <c r="JS12" s="113">
        <f t="shared" si="1"/>
        <v>870000</v>
      </c>
      <c r="JT12" s="114">
        <f t="shared" si="2"/>
        <v>870000</v>
      </c>
      <c r="JU12" s="84"/>
    </row>
    <row r="13" spans="1:281" ht="135" customHeight="1" x14ac:dyDescent="0.2">
      <c r="A13" s="98">
        <v>47</v>
      </c>
      <c r="B13" s="99">
        <v>47</v>
      </c>
      <c r="C13" s="39" t="s">
        <v>11</v>
      </c>
      <c r="D13" s="100" t="s">
        <v>15</v>
      </c>
      <c r="E13" s="39">
        <v>24101500</v>
      </c>
      <c r="F13" s="135" t="s">
        <v>168</v>
      </c>
      <c r="G13" s="102" t="s">
        <v>51</v>
      </c>
      <c r="H13" s="103" t="s">
        <v>501</v>
      </c>
      <c r="I13" s="108" t="s">
        <v>503</v>
      </c>
      <c r="J13" s="108" t="s">
        <v>503</v>
      </c>
      <c r="K13" s="108" t="s">
        <v>503</v>
      </c>
      <c r="L13" s="108" t="s">
        <v>503</v>
      </c>
      <c r="M13" s="108" t="s">
        <v>503</v>
      </c>
      <c r="N13" s="108" t="s">
        <v>503</v>
      </c>
      <c r="O13" s="118" t="s">
        <v>502</v>
      </c>
      <c r="P13" s="118" t="s">
        <v>502</v>
      </c>
      <c r="Q13" s="118" t="s">
        <v>502</v>
      </c>
      <c r="R13" s="108" t="s">
        <v>503</v>
      </c>
      <c r="S13" s="108" t="s">
        <v>503</v>
      </c>
      <c r="T13" s="108" t="s">
        <v>503</v>
      </c>
      <c r="U13" s="108" t="s">
        <v>503</v>
      </c>
      <c r="V13" s="108" t="s">
        <v>503</v>
      </c>
      <c r="W13" s="108" t="s">
        <v>503</v>
      </c>
      <c r="X13" s="108" t="s">
        <v>503</v>
      </c>
      <c r="Y13" s="108" t="s">
        <v>503</v>
      </c>
      <c r="Z13" s="108" t="s">
        <v>503</v>
      </c>
      <c r="AA13" s="108" t="s">
        <v>503</v>
      </c>
      <c r="AB13" s="108" t="s">
        <v>503</v>
      </c>
      <c r="AC13" s="108" t="s">
        <v>503</v>
      </c>
      <c r="AD13" s="108" t="s">
        <v>503</v>
      </c>
      <c r="AE13" s="108" t="s">
        <v>503</v>
      </c>
      <c r="AF13" s="108" t="s">
        <v>503</v>
      </c>
      <c r="AG13" s="108" t="s">
        <v>503</v>
      </c>
      <c r="AH13" s="108" t="s">
        <v>503</v>
      </c>
      <c r="AI13" s="108" t="s">
        <v>503</v>
      </c>
      <c r="AJ13" s="108" t="s">
        <v>503</v>
      </c>
      <c r="AK13" s="108" t="s">
        <v>503</v>
      </c>
      <c r="AL13" s="108" t="s">
        <v>503</v>
      </c>
      <c r="AM13" s="108" t="s">
        <v>503</v>
      </c>
      <c r="AN13" s="108" t="s">
        <v>503</v>
      </c>
      <c r="AO13" s="108" t="s">
        <v>503</v>
      </c>
      <c r="AP13" s="108" t="s">
        <v>503</v>
      </c>
      <c r="AQ13" s="108" t="s">
        <v>503</v>
      </c>
      <c r="AR13" s="108" t="s">
        <v>503</v>
      </c>
      <c r="AS13" s="108" t="s">
        <v>503</v>
      </c>
      <c r="AT13" s="108" t="s">
        <v>503</v>
      </c>
      <c r="AU13" s="108" t="s">
        <v>503</v>
      </c>
      <c r="AV13" s="118" t="s">
        <v>502</v>
      </c>
      <c r="AW13" s="118" t="s">
        <v>502</v>
      </c>
      <c r="AX13" s="118" t="s">
        <v>502</v>
      </c>
      <c r="AY13" s="118" t="s">
        <v>502</v>
      </c>
      <c r="AZ13" s="118" t="s">
        <v>502</v>
      </c>
      <c r="BA13" s="118" t="s">
        <v>502</v>
      </c>
      <c r="BB13" s="108" t="s">
        <v>503</v>
      </c>
      <c r="BC13" s="108" t="s">
        <v>503</v>
      </c>
      <c r="BD13" s="108" t="s">
        <v>503</v>
      </c>
      <c r="BE13" s="108" t="s">
        <v>503</v>
      </c>
      <c r="BF13" s="108" t="s">
        <v>503</v>
      </c>
      <c r="BG13" s="108" t="s">
        <v>503</v>
      </c>
      <c r="BH13" s="108" t="s">
        <v>503</v>
      </c>
      <c r="BI13" s="108" t="s">
        <v>503</v>
      </c>
      <c r="BJ13" s="108" t="s">
        <v>503</v>
      </c>
      <c r="BK13" s="108" t="s">
        <v>503</v>
      </c>
      <c r="BL13" s="108" t="s">
        <v>503</v>
      </c>
      <c r="BM13" s="108" t="s">
        <v>503</v>
      </c>
      <c r="BN13" s="108" t="s">
        <v>503</v>
      </c>
      <c r="BO13" s="108" t="s">
        <v>503</v>
      </c>
      <c r="BP13" s="108" t="s">
        <v>503</v>
      </c>
      <c r="BQ13" s="108" t="s">
        <v>503</v>
      </c>
      <c r="BR13" s="108" t="s">
        <v>503</v>
      </c>
      <c r="BS13" s="108" t="s">
        <v>503</v>
      </c>
      <c r="BT13" s="108" t="s">
        <v>503</v>
      </c>
      <c r="BU13" s="108" t="s">
        <v>503</v>
      </c>
      <c r="BV13" s="108" t="s">
        <v>503</v>
      </c>
      <c r="BW13" s="108" t="s">
        <v>503</v>
      </c>
      <c r="BX13" s="108" t="s">
        <v>503</v>
      </c>
      <c r="BY13" s="108" t="s">
        <v>503</v>
      </c>
      <c r="BZ13" s="108" t="s">
        <v>503</v>
      </c>
      <c r="CA13" s="108" t="s">
        <v>503</v>
      </c>
      <c r="CB13" s="108" t="s">
        <v>503</v>
      </c>
      <c r="CC13" s="108" t="s">
        <v>503</v>
      </c>
      <c r="CD13" s="108" t="s">
        <v>503</v>
      </c>
      <c r="CE13" s="108" t="s">
        <v>503</v>
      </c>
      <c r="CF13" s="108" t="s">
        <v>503</v>
      </c>
      <c r="CG13" s="108" t="s">
        <v>503</v>
      </c>
      <c r="CH13" s="108" t="s">
        <v>503</v>
      </c>
      <c r="CI13" s="108" t="s">
        <v>503</v>
      </c>
      <c r="CJ13" s="108" t="s">
        <v>503</v>
      </c>
      <c r="CK13" s="108" t="s">
        <v>503</v>
      </c>
      <c r="CL13" s="108" t="s">
        <v>503</v>
      </c>
      <c r="CM13" s="108" t="s">
        <v>503</v>
      </c>
      <c r="CN13" s="108" t="s">
        <v>503</v>
      </c>
      <c r="CO13" s="108" t="s">
        <v>503</v>
      </c>
      <c r="CP13" s="108" t="s">
        <v>503</v>
      </c>
      <c r="CQ13" s="108" t="s">
        <v>503</v>
      </c>
      <c r="CR13" s="108" t="s">
        <v>503</v>
      </c>
      <c r="CS13" s="108" t="s">
        <v>503</v>
      </c>
      <c r="CT13" s="108" t="s">
        <v>503</v>
      </c>
      <c r="CU13" s="108" t="s">
        <v>503</v>
      </c>
      <c r="CV13" s="108" t="s">
        <v>503</v>
      </c>
      <c r="CW13" s="108" t="s">
        <v>503</v>
      </c>
      <c r="CX13" s="108" t="s">
        <v>503</v>
      </c>
      <c r="CY13" s="108" t="s">
        <v>503</v>
      </c>
      <c r="CZ13" s="108" t="s">
        <v>503</v>
      </c>
      <c r="DA13" s="118" t="s">
        <v>502</v>
      </c>
      <c r="DB13" s="118" t="s">
        <v>502</v>
      </c>
      <c r="DC13" s="118" t="s">
        <v>502</v>
      </c>
      <c r="DD13" s="118" t="s">
        <v>502</v>
      </c>
      <c r="DE13" s="118" t="s">
        <v>502</v>
      </c>
      <c r="DF13" s="118" t="s">
        <v>502</v>
      </c>
      <c r="DG13" s="118" t="s">
        <v>502</v>
      </c>
      <c r="DH13" s="118" t="s">
        <v>502</v>
      </c>
      <c r="DI13" s="118" t="s">
        <v>502</v>
      </c>
      <c r="DJ13" s="108" t="s">
        <v>503</v>
      </c>
      <c r="DK13" s="108" t="s">
        <v>503</v>
      </c>
      <c r="DL13" s="108" t="s">
        <v>503</v>
      </c>
      <c r="DM13" s="108" t="s">
        <v>503</v>
      </c>
      <c r="DN13" s="108" t="s">
        <v>503</v>
      </c>
      <c r="DO13" s="108" t="s">
        <v>503</v>
      </c>
      <c r="DP13" s="108" t="s">
        <v>669</v>
      </c>
      <c r="DQ13" s="108" t="s">
        <v>669</v>
      </c>
      <c r="DR13" s="108" t="s">
        <v>669</v>
      </c>
      <c r="DS13" s="108" t="s">
        <v>669</v>
      </c>
      <c r="DT13" s="108" t="s">
        <v>669</v>
      </c>
      <c r="DU13" s="108" t="s">
        <v>669</v>
      </c>
      <c r="DV13" s="108" t="s">
        <v>669</v>
      </c>
      <c r="DW13" s="108" t="s">
        <v>669</v>
      </c>
      <c r="DX13" s="108" t="s">
        <v>669</v>
      </c>
      <c r="DY13" s="108" t="s">
        <v>503</v>
      </c>
      <c r="DZ13" s="108" t="s">
        <v>503</v>
      </c>
      <c r="EA13" s="108" t="s">
        <v>503</v>
      </c>
      <c r="EB13" s="108" t="s">
        <v>503</v>
      </c>
      <c r="EC13" s="108" t="s">
        <v>503</v>
      </c>
      <c r="ED13" s="108" t="s">
        <v>503</v>
      </c>
      <c r="EE13" s="108" t="s">
        <v>503</v>
      </c>
      <c r="EF13" s="108" t="s">
        <v>503</v>
      </c>
      <c r="EG13" s="108" t="s">
        <v>503</v>
      </c>
      <c r="EH13" s="71">
        <v>800000</v>
      </c>
      <c r="EI13" s="71">
        <f>+EH13*0%</f>
        <v>0</v>
      </c>
      <c r="EJ13" s="71">
        <f>+EH13+EI13</f>
        <v>800000</v>
      </c>
      <c r="EK13" s="108" t="s">
        <v>503</v>
      </c>
      <c r="EL13" s="108" t="s">
        <v>503</v>
      </c>
      <c r="EM13" s="108" t="s">
        <v>503</v>
      </c>
      <c r="EN13" s="108" t="s">
        <v>503</v>
      </c>
      <c r="EO13" s="108" t="s">
        <v>503</v>
      </c>
      <c r="EP13" s="108" t="s">
        <v>503</v>
      </c>
      <c r="EQ13" s="108" t="s">
        <v>503</v>
      </c>
      <c r="ER13" s="108" t="s">
        <v>503</v>
      </c>
      <c r="ES13" s="108" t="s">
        <v>503</v>
      </c>
      <c r="ET13" s="108" t="s">
        <v>503</v>
      </c>
      <c r="EU13" s="108" t="s">
        <v>503</v>
      </c>
      <c r="EV13" s="108" t="s">
        <v>503</v>
      </c>
      <c r="EW13" s="108" t="s">
        <v>503</v>
      </c>
      <c r="EX13" s="108" t="s">
        <v>503</v>
      </c>
      <c r="EY13" s="108" t="s">
        <v>503</v>
      </c>
      <c r="EZ13" s="108" t="s">
        <v>503</v>
      </c>
      <c r="FA13" s="108" t="s">
        <v>503</v>
      </c>
      <c r="FB13" s="108" t="s">
        <v>503</v>
      </c>
      <c r="FC13" s="108" t="s">
        <v>503</v>
      </c>
      <c r="FD13" s="108" t="s">
        <v>503</v>
      </c>
      <c r="FE13" s="108" t="s">
        <v>503</v>
      </c>
      <c r="FF13" s="108" t="s">
        <v>503</v>
      </c>
      <c r="FG13" s="108" t="s">
        <v>503</v>
      </c>
      <c r="FH13" s="108" t="s">
        <v>503</v>
      </c>
      <c r="FI13" s="108" t="s">
        <v>669</v>
      </c>
      <c r="FJ13" s="108" t="s">
        <v>669</v>
      </c>
      <c r="FK13" s="108" t="s">
        <v>669</v>
      </c>
      <c r="FL13" s="108" t="s">
        <v>503</v>
      </c>
      <c r="FM13" s="108" t="s">
        <v>503</v>
      </c>
      <c r="FN13" s="108" t="s">
        <v>503</v>
      </c>
      <c r="FO13" s="108" t="s">
        <v>503</v>
      </c>
      <c r="FP13" s="108" t="s">
        <v>503</v>
      </c>
      <c r="FQ13" s="108" t="s">
        <v>503</v>
      </c>
      <c r="FR13" s="108" t="s">
        <v>503</v>
      </c>
      <c r="FS13" s="108" t="s">
        <v>503</v>
      </c>
      <c r="FT13" s="108" t="s">
        <v>503</v>
      </c>
      <c r="FU13" s="108" t="s">
        <v>503</v>
      </c>
      <c r="FV13" s="108" t="s">
        <v>503</v>
      </c>
      <c r="FW13" s="108" t="s">
        <v>503</v>
      </c>
      <c r="FX13" s="108" t="s">
        <v>503</v>
      </c>
      <c r="FY13" s="108" t="s">
        <v>503</v>
      </c>
      <c r="FZ13" s="108" t="s">
        <v>503</v>
      </c>
      <c r="GA13" s="71">
        <v>380000</v>
      </c>
      <c r="GB13" s="71">
        <f>+GA13*0%</f>
        <v>0</v>
      </c>
      <c r="GC13" s="71">
        <f>+GA13+GB13</f>
        <v>380000</v>
      </c>
      <c r="GD13" s="108" t="s">
        <v>502</v>
      </c>
      <c r="GE13" s="108" t="s">
        <v>502</v>
      </c>
      <c r="GF13" s="108" t="s">
        <v>502</v>
      </c>
      <c r="GG13" s="108" t="s">
        <v>503</v>
      </c>
      <c r="GH13" s="108" t="s">
        <v>503</v>
      </c>
      <c r="GI13" s="108" t="s">
        <v>503</v>
      </c>
      <c r="GJ13" s="108" t="s">
        <v>503</v>
      </c>
      <c r="GK13" s="108" t="s">
        <v>503</v>
      </c>
      <c r="GL13" s="108" t="s">
        <v>503</v>
      </c>
      <c r="GM13" s="108" t="s">
        <v>503</v>
      </c>
      <c r="GN13" s="108" t="s">
        <v>503</v>
      </c>
      <c r="GO13" s="108" t="s">
        <v>503</v>
      </c>
      <c r="GP13" s="108" t="s">
        <v>664</v>
      </c>
      <c r="GQ13" s="108" t="s">
        <v>664</v>
      </c>
      <c r="GR13" s="108" t="s">
        <v>664</v>
      </c>
      <c r="GS13" s="108" t="s">
        <v>664</v>
      </c>
      <c r="GT13" s="108" t="s">
        <v>664</v>
      </c>
      <c r="GU13" s="108" t="s">
        <v>664</v>
      </c>
      <c r="GV13" s="108" t="s">
        <v>664</v>
      </c>
      <c r="GW13" s="108" t="s">
        <v>664</v>
      </c>
      <c r="GX13" s="108" t="s">
        <v>664</v>
      </c>
      <c r="GY13" s="108" t="s">
        <v>664</v>
      </c>
      <c r="GZ13" s="108" t="s">
        <v>664</v>
      </c>
      <c r="HA13" s="108" t="s">
        <v>664</v>
      </c>
      <c r="HB13" s="108" t="s">
        <v>664</v>
      </c>
      <c r="HC13" s="108" t="s">
        <v>664</v>
      </c>
      <c r="HD13" s="108" t="s">
        <v>664</v>
      </c>
      <c r="HE13" s="108" t="s">
        <v>664</v>
      </c>
      <c r="HF13" s="108" t="s">
        <v>664</v>
      </c>
      <c r="HG13" s="108" t="s">
        <v>664</v>
      </c>
      <c r="HH13" s="108" t="s">
        <v>664</v>
      </c>
      <c r="HI13" s="108" t="s">
        <v>664</v>
      </c>
      <c r="HJ13" s="108" t="s">
        <v>664</v>
      </c>
      <c r="HK13" s="108" t="s">
        <v>664</v>
      </c>
      <c r="HL13" s="108" t="s">
        <v>664</v>
      </c>
      <c r="HM13" s="108" t="s">
        <v>664</v>
      </c>
      <c r="HN13" s="108" t="s">
        <v>664</v>
      </c>
      <c r="HO13" s="108" t="s">
        <v>664</v>
      </c>
      <c r="HP13" s="108" t="s">
        <v>664</v>
      </c>
      <c r="HQ13" s="108" t="s">
        <v>502</v>
      </c>
      <c r="HR13" s="108" t="s">
        <v>502</v>
      </c>
      <c r="HS13" s="108" t="s">
        <v>502</v>
      </c>
      <c r="HT13" s="108" t="s">
        <v>503</v>
      </c>
      <c r="HU13" s="108" t="s">
        <v>503</v>
      </c>
      <c r="HV13" s="108" t="s">
        <v>503</v>
      </c>
      <c r="HW13" s="108" t="s">
        <v>503</v>
      </c>
      <c r="HX13" s="108" t="s">
        <v>503</v>
      </c>
      <c r="HY13" s="108" t="s">
        <v>503</v>
      </c>
      <c r="HZ13" s="108" t="s">
        <v>503</v>
      </c>
      <c r="IA13" s="108" t="s">
        <v>503</v>
      </c>
      <c r="IB13" s="108" t="s">
        <v>503</v>
      </c>
      <c r="IC13" s="108" t="s">
        <v>503</v>
      </c>
      <c r="ID13" s="108" t="s">
        <v>503</v>
      </c>
      <c r="IE13" s="108" t="s">
        <v>503</v>
      </c>
      <c r="IF13" s="108" t="s">
        <v>503</v>
      </c>
      <c r="IG13" s="108" t="s">
        <v>503</v>
      </c>
      <c r="IH13" s="108" t="s">
        <v>503</v>
      </c>
      <c r="II13" s="108" t="s">
        <v>503</v>
      </c>
      <c r="IJ13" s="108" t="s">
        <v>503</v>
      </c>
      <c r="IK13" s="108" t="s">
        <v>503</v>
      </c>
      <c r="IL13" s="108" t="s">
        <v>503</v>
      </c>
      <c r="IM13" s="108" t="s">
        <v>503</v>
      </c>
      <c r="IN13" s="108" t="s">
        <v>503</v>
      </c>
      <c r="IO13" s="120" t="s">
        <v>503</v>
      </c>
      <c r="IP13" s="120" t="s">
        <v>503</v>
      </c>
      <c r="IQ13" s="120" t="s">
        <v>503</v>
      </c>
      <c r="IR13" s="120" t="s">
        <v>664</v>
      </c>
      <c r="IS13" s="120" t="s">
        <v>664</v>
      </c>
      <c r="IT13" s="120" t="s">
        <v>664</v>
      </c>
      <c r="IU13" s="120" t="s">
        <v>503</v>
      </c>
      <c r="IV13" s="120" t="s">
        <v>503</v>
      </c>
      <c r="IW13" s="120" t="s">
        <v>503</v>
      </c>
      <c r="IX13" s="120" t="s">
        <v>503</v>
      </c>
      <c r="IY13" s="120" t="s">
        <v>503</v>
      </c>
      <c r="IZ13" s="120" t="s">
        <v>503</v>
      </c>
      <c r="JA13" s="136">
        <v>501804.84</v>
      </c>
      <c r="JB13" s="136">
        <f>+JA13*0%</f>
        <v>0</v>
      </c>
      <c r="JC13" s="136">
        <f>+JA13+JB13</f>
        <v>501804.84</v>
      </c>
      <c r="JD13" s="120" t="s">
        <v>664</v>
      </c>
      <c r="JE13" s="120" t="s">
        <v>664</v>
      </c>
      <c r="JF13" s="120" t="s">
        <v>664</v>
      </c>
      <c r="JG13" s="120" t="s">
        <v>664</v>
      </c>
      <c r="JH13" s="120" t="s">
        <v>664</v>
      </c>
      <c r="JI13" s="120" t="s">
        <v>664</v>
      </c>
      <c r="JJ13" s="120" t="s">
        <v>664</v>
      </c>
      <c r="JK13" s="120" t="s">
        <v>664</v>
      </c>
      <c r="JL13" s="120" t="s">
        <v>664</v>
      </c>
      <c r="JM13" s="120" t="s">
        <v>664</v>
      </c>
      <c r="JN13" s="120" t="s">
        <v>664</v>
      </c>
      <c r="JO13" s="120" t="s">
        <v>664</v>
      </c>
      <c r="JP13" s="110">
        <v>420000</v>
      </c>
      <c r="JQ13" s="111">
        <v>501804.84480000002</v>
      </c>
      <c r="JR13" s="112">
        <f t="shared" si="0"/>
        <v>3</v>
      </c>
      <c r="JS13" s="113">
        <f t="shared" si="1"/>
        <v>560601.6133333334</v>
      </c>
      <c r="JT13" s="114">
        <f t="shared" si="2"/>
        <v>560650</v>
      </c>
      <c r="JU13" s="84"/>
    </row>
    <row r="14" spans="1:281" ht="101.25" customHeight="1" x14ac:dyDescent="0.2">
      <c r="A14" s="98">
        <v>48</v>
      </c>
      <c r="B14" s="99">
        <v>48</v>
      </c>
      <c r="C14" s="39" t="s">
        <v>11</v>
      </c>
      <c r="D14" s="100" t="s">
        <v>16</v>
      </c>
      <c r="E14" s="39">
        <v>25101900</v>
      </c>
      <c r="F14" s="135" t="s">
        <v>169</v>
      </c>
      <c r="G14" s="102" t="s">
        <v>51</v>
      </c>
      <c r="H14" s="103" t="s">
        <v>501</v>
      </c>
      <c r="I14" s="108" t="s">
        <v>503</v>
      </c>
      <c r="J14" s="108" t="s">
        <v>503</v>
      </c>
      <c r="K14" s="108" t="s">
        <v>503</v>
      </c>
      <c r="L14" s="108" t="s">
        <v>503</v>
      </c>
      <c r="M14" s="108" t="s">
        <v>503</v>
      </c>
      <c r="N14" s="108" t="s">
        <v>503</v>
      </c>
      <c r="O14" s="118" t="s">
        <v>502</v>
      </c>
      <c r="P14" s="118" t="s">
        <v>502</v>
      </c>
      <c r="Q14" s="118" t="s">
        <v>502</v>
      </c>
      <c r="R14" s="108" t="s">
        <v>503</v>
      </c>
      <c r="S14" s="108" t="s">
        <v>503</v>
      </c>
      <c r="T14" s="108" t="s">
        <v>503</v>
      </c>
      <c r="U14" s="108" t="s">
        <v>503</v>
      </c>
      <c r="V14" s="108" t="s">
        <v>503</v>
      </c>
      <c r="W14" s="108" t="s">
        <v>503</v>
      </c>
      <c r="X14" s="108" t="s">
        <v>503</v>
      </c>
      <c r="Y14" s="108" t="s">
        <v>503</v>
      </c>
      <c r="Z14" s="108" t="s">
        <v>503</v>
      </c>
      <c r="AA14" s="108" t="s">
        <v>503</v>
      </c>
      <c r="AB14" s="108" t="s">
        <v>503</v>
      </c>
      <c r="AC14" s="108" t="s">
        <v>503</v>
      </c>
      <c r="AD14" s="108" t="s">
        <v>503</v>
      </c>
      <c r="AE14" s="108" t="s">
        <v>503</v>
      </c>
      <c r="AF14" s="108" t="s">
        <v>503</v>
      </c>
      <c r="AG14" s="108" t="s">
        <v>503</v>
      </c>
      <c r="AH14" s="108" t="s">
        <v>503</v>
      </c>
      <c r="AI14" s="108" t="s">
        <v>503</v>
      </c>
      <c r="AJ14" s="108" t="s">
        <v>503</v>
      </c>
      <c r="AK14" s="108" t="s">
        <v>503</v>
      </c>
      <c r="AL14" s="108" t="s">
        <v>503</v>
      </c>
      <c r="AM14" s="108" t="s">
        <v>503</v>
      </c>
      <c r="AN14" s="108" t="s">
        <v>503</v>
      </c>
      <c r="AO14" s="108" t="s">
        <v>503</v>
      </c>
      <c r="AP14" s="108" t="s">
        <v>503</v>
      </c>
      <c r="AQ14" s="108" t="s">
        <v>503</v>
      </c>
      <c r="AR14" s="108" t="s">
        <v>503</v>
      </c>
      <c r="AS14" s="108" t="s">
        <v>503</v>
      </c>
      <c r="AT14" s="108" t="s">
        <v>503</v>
      </c>
      <c r="AU14" s="108" t="s">
        <v>503</v>
      </c>
      <c r="AV14" s="108" t="s">
        <v>503</v>
      </c>
      <c r="AW14" s="108" t="s">
        <v>503</v>
      </c>
      <c r="AX14" s="108" t="s">
        <v>503</v>
      </c>
      <c r="AY14" s="118" t="s">
        <v>502</v>
      </c>
      <c r="AZ14" s="118" t="s">
        <v>502</v>
      </c>
      <c r="BA14" s="118" t="s">
        <v>502</v>
      </c>
      <c r="BB14" s="71">
        <v>850000</v>
      </c>
      <c r="BC14" s="117">
        <f t="shared" ref="BC14:BC19" si="5">+BB14*0%</f>
        <v>0</v>
      </c>
      <c r="BD14" s="71">
        <f t="shared" ref="BD14:BD19" si="6">+BB14+BC14</f>
        <v>850000</v>
      </c>
      <c r="BE14" s="108" t="s">
        <v>503</v>
      </c>
      <c r="BF14" s="108" t="s">
        <v>503</v>
      </c>
      <c r="BG14" s="108" t="s">
        <v>503</v>
      </c>
      <c r="BH14" s="108" t="s">
        <v>503</v>
      </c>
      <c r="BI14" s="108" t="s">
        <v>503</v>
      </c>
      <c r="BJ14" s="108" t="s">
        <v>503</v>
      </c>
      <c r="BK14" s="108" t="s">
        <v>503</v>
      </c>
      <c r="BL14" s="108" t="s">
        <v>503</v>
      </c>
      <c r="BM14" s="108" t="s">
        <v>503</v>
      </c>
      <c r="BN14" s="108" t="s">
        <v>503</v>
      </c>
      <c r="BO14" s="108" t="s">
        <v>503</v>
      </c>
      <c r="BP14" s="108" t="s">
        <v>503</v>
      </c>
      <c r="BQ14" s="108" t="s">
        <v>503</v>
      </c>
      <c r="BR14" s="108" t="s">
        <v>503</v>
      </c>
      <c r="BS14" s="108" t="s">
        <v>503</v>
      </c>
      <c r="BT14" s="108" t="s">
        <v>503</v>
      </c>
      <c r="BU14" s="108" t="s">
        <v>503</v>
      </c>
      <c r="BV14" s="108" t="s">
        <v>503</v>
      </c>
      <c r="BW14" s="108" t="s">
        <v>503</v>
      </c>
      <c r="BX14" s="108" t="s">
        <v>503</v>
      </c>
      <c r="BY14" s="108" t="s">
        <v>503</v>
      </c>
      <c r="BZ14" s="108" t="s">
        <v>503</v>
      </c>
      <c r="CA14" s="108" t="s">
        <v>503</v>
      </c>
      <c r="CB14" s="108" t="s">
        <v>503</v>
      </c>
      <c r="CC14" s="108" t="s">
        <v>503</v>
      </c>
      <c r="CD14" s="108" t="s">
        <v>503</v>
      </c>
      <c r="CE14" s="108" t="s">
        <v>503</v>
      </c>
      <c r="CF14" s="108" t="s">
        <v>503</v>
      </c>
      <c r="CG14" s="108" t="s">
        <v>503</v>
      </c>
      <c r="CH14" s="108" t="s">
        <v>503</v>
      </c>
      <c r="CI14" s="108" t="s">
        <v>503</v>
      </c>
      <c r="CJ14" s="108" t="s">
        <v>503</v>
      </c>
      <c r="CK14" s="108" t="s">
        <v>503</v>
      </c>
      <c r="CL14" s="108" t="s">
        <v>503</v>
      </c>
      <c r="CM14" s="108" t="s">
        <v>503</v>
      </c>
      <c r="CN14" s="108" t="s">
        <v>503</v>
      </c>
      <c r="CO14" s="108" t="s">
        <v>503</v>
      </c>
      <c r="CP14" s="108" t="s">
        <v>503</v>
      </c>
      <c r="CQ14" s="108" t="s">
        <v>503</v>
      </c>
      <c r="CR14" s="108" t="s">
        <v>503</v>
      </c>
      <c r="CS14" s="108" t="s">
        <v>503</v>
      </c>
      <c r="CT14" s="108" t="s">
        <v>503</v>
      </c>
      <c r="CU14" s="108" t="s">
        <v>503</v>
      </c>
      <c r="CV14" s="108" t="s">
        <v>503</v>
      </c>
      <c r="CW14" s="108" t="s">
        <v>503</v>
      </c>
      <c r="CX14" s="108" t="s">
        <v>503</v>
      </c>
      <c r="CY14" s="108" t="s">
        <v>503</v>
      </c>
      <c r="CZ14" s="108" t="s">
        <v>503</v>
      </c>
      <c r="DA14" s="118" t="s">
        <v>502</v>
      </c>
      <c r="DB14" s="118" t="s">
        <v>502</v>
      </c>
      <c r="DC14" s="118" t="s">
        <v>502</v>
      </c>
      <c r="DD14" s="137">
        <v>720000</v>
      </c>
      <c r="DE14" s="138">
        <f>+DD14*0%</f>
        <v>0</v>
      </c>
      <c r="DF14" s="71">
        <f>+DD14+DE14</f>
        <v>720000</v>
      </c>
      <c r="DG14" s="108" t="s">
        <v>503</v>
      </c>
      <c r="DH14" s="108" t="s">
        <v>503</v>
      </c>
      <c r="DI14" s="108" t="s">
        <v>503</v>
      </c>
      <c r="DJ14" s="108" t="s">
        <v>503</v>
      </c>
      <c r="DK14" s="108" t="s">
        <v>503</v>
      </c>
      <c r="DL14" s="108" t="s">
        <v>503</v>
      </c>
      <c r="DM14" s="108" t="s">
        <v>503</v>
      </c>
      <c r="DN14" s="108" t="s">
        <v>503</v>
      </c>
      <c r="DO14" s="108" t="s">
        <v>503</v>
      </c>
      <c r="DP14" s="108" t="s">
        <v>669</v>
      </c>
      <c r="DQ14" s="108" t="s">
        <v>669</v>
      </c>
      <c r="DR14" s="108" t="s">
        <v>669</v>
      </c>
      <c r="DS14" s="108" t="s">
        <v>669</v>
      </c>
      <c r="DT14" s="108" t="s">
        <v>669</v>
      </c>
      <c r="DU14" s="108" t="s">
        <v>669</v>
      </c>
      <c r="DV14" s="108" t="s">
        <v>503</v>
      </c>
      <c r="DW14" s="108" t="s">
        <v>503</v>
      </c>
      <c r="DX14" s="108" t="s">
        <v>503</v>
      </c>
      <c r="DY14" s="108" t="s">
        <v>503</v>
      </c>
      <c r="DZ14" s="108" t="s">
        <v>503</v>
      </c>
      <c r="EA14" s="108" t="s">
        <v>503</v>
      </c>
      <c r="EB14" s="108" t="s">
        <v>503</v>
      </c>
      <c r="EC14" s="108" t="s">
        <v>503</v>
      </c>
      <c r="ED14" s="108" t="s">
        <v>503</v>
      </c>
      <c r="EE14" s="108" t="s">
        <v>503</v>
      </c>
      <c r="EF14" s="108" t="s">
        <v>503</v>
      </c>
      <c r="EG14" s="108" t="s">
        <v>503</v>
      </c>
      <c r="EH14" s="108" t="s">
        <v>502</v>
      </c>
      <c r="EI14" s="108" t="s">
        <v>502</v>
      </c>
      <c r="EJ14" s="108" t="s">
        <v>502</v>
      </c>
      <c r="EK14" s="108" t="s">
        <v>503</v>
      </c>
      <c r="EL14" s="108" t="s">
        <v>503</v>
      </c>
      <c r="EM14" s="108" t="s">
        <v>503</v>
      </c>
      <c r="EN14" s="108" t="s">
        <v>503</v>
      </c>
      <c r="EO14" s="108" t="s">
        <v>503</v>
      </c>
      <c r="EP14" s="108" t="s">
        <v>503</v>
      </c>
      <c r="EQ14" s="108" t="s">
        <v>503</v>
      </c>
      <c r="ER14" s="108" t="s">
        <v>503</v>
      </c>
      <c r="ES14" s="108" t="s">
        <v>503</v>
      </c>
      <c r="ET14" s="108" t="s">
        <v>503</v>
      </c>
      <c r="EU14" s="108" t="s">
        <v>503</v>
      </c>
      <c r="EV14" s="108" t="s">
        <v>503</v>
      </c>
      <c r="EW14" s="108" t="s">
        <v>503</v>
      </c>
      <c r="EX14" s="108" t="s">
        <v>503</v>
      </c>
      <c r="EY14" s="108" t="s">
        <v>503</v>
      </c>
      <c r="EZ14" s="108" t="s">
        <v>503</v>
      </c>
      <c r="FA14" s="108" t="s">
        <v>503</v>
      </c>
      <c r="FB14" s="108" t="s">
        <v>503</v>
      </c>
      <c r="FC14" s="108" t="s">
        <v>503</v>
      </c>
      <c r="FD14" s="108" t="s">
        <v>503</v>
      </c>
      <c r="FE14" s="108" t="s">
        <v>503</v>
      </c>
      <c r="FF14" s="108" t="s">
        <v>503</v>
      </c>
      <c r="FG14" s="108" t="s">
        <v>503</v>
      </c>
      <c r="FH14" s="108" t="s">
        <v>503</v>
      </c>
      <c r="FI14" s="108" t="s">
        <v>669</v>
      </c>
      <c r="FJ14" s="108" t="s">
        <v>669</v>
      </c>
      <c r="FK14" s="108" t="s">
        <v>669</v>
      </c>
      <c r="FL14" s="108" t="s">
        <v>503</v>
      </c>
      <c r="FM14" s="108" t="s">
        <v>503</v>
      </c>
      <c r="FN14" s="108" t="s">
        <v>503</v>
      </c>
      <c r="FO14" s="108" t="s">
        <v>503</v>
      </c>
      <c r="FP14" s="108" t="s">
        <v>503</v>
      </c>
      <c r="FQ14" s="108" t="s">
        <v>503</v>
      </c>
      <c r="FR14" s="108" t="s">
        <v>503</v>
      </c>
      <c r="FS14" s="108" t="s">
        <v>503</v>
      </c>
      <c r="FT14" s="108" t="s">
        <v>503</v>
      </c>
      <c r="FU14" s="108" t="s">
        <v>503</v>
      </c>
      <c r="FV14" s="108" t="s">
        <v>503</v>
      </c>
      <c r="FW14" s="108" t="s">
        <v>503</v>
      </c>
      <c r="FX14" s="108" t="s">
        <v>503</v>
      </c>
      <c r="FY14" s="108" t="s">
        <v>503</v>
      </c>
      <c r="FZ14" s="108" t="s">
        <v>503</v>
      </c>
      <c r="GA14" s="108" t="s">
        <v>502</v>
      </c>
      <c r="GB14" s="108" t="s">
        <v>502</v>
      </c>
      <c r="GC14" s="108" t="s">
        <v>502</v>
      </c>
      <c r="GD14" s="108" t="s">
        <v>502</v>
      </c>
      <c r="GE14" s="108" t="s">
        <v>502</v>
      </c>
      <c r="GF14" s="108" t="s">
        <v>502</v>
      </c>
      <c r="GG14" s="108" t="s">
        <v>503</v>
      </c>
      <c r="GH14" s="108" t="s">
        <v>503</v>
      </c>
      <c r="GI14" s="108" t="s">
        <v>503</v>
      </c>
      <c r="GJ14" s="108" t="s">
        <v>503</v>
      </c>
      <c r="GK14" s="108" t="s">
        <v>503</v>
      </c>
      <c r="GL14" s="108" t="s">
        <v>503</v>
      </c>
      <c r="GM14" s="108" t="s">
        <v>503</v>
      </c>
      <c r="GN14" s="108" t="s">
        <v>503</v>
      </c>
      <c r="GO14" s="108" t="s">
        <v>503</v>
      </c>
      <c r="GP14" s="108" t="s">
        <v>664</v>
      </c>
      <c r="GQ14" s="108" t="s">
        <v>664</v>
      </c>
      <c r="GR14" s="108" t="s">
        <v>664</v>
      </c>
      <c r="GS14" s="108" t="s">
        <v>664</v>
      </c>
      <c r="GT14" s="108" t="s">
        <v>664</v>
      </c>
      <c r="GU14" s="108" t="s">
        <v>664</v>
      </c>
      <c r="GV14" s="108" t="s">
        <v>664</v>
      </c>
      <c r="GW14" s="108" t="s">
        <v>664</v>
      </c>
      <c r="GX14" s="108" t="s">
        <v>664</v>
      </c>
      <c r="GY14" s="108" t="s">
        <v>664</v>
      </c>
      <c r="GZ14" s="108" t="s">
        <v>664</v>
      </c>
      <c r="HA14" s="108" t="s">
        <v>664</v>
      </c>
      <c r="HB14" s="108" t="s">
        <v>664</v>
      </c>
      <c r="HC14" s="108" t="s">
        <v>664</v>
      </c>
      <c r="HD14" s="108" t="s">
        <v>664</v>
      </c>
      <c r="HE14" s="108" t="s">
        <v>664</v>
      </c>
      <c r="HF14" s="108" t="s">
        <v>664</v>
      </c>
      <c r="HG14" s="108" t="s">
        <v>664</v>
      </c>
      <c r="HH14" s="108" t="s">
        <v>664</v>
      </c>
      <c r="HI14" s="108" t="s">
        <v>664</v>
      </c>
      <c r="HJ14" s="108" t="s">
        <v>664</v>
      </c>
      <c r="HK14" s="108" t="s">
        <v>664</v>
      </c>
      <c r="HL14" s="108" t="s">
        <v>664</v>
      </c>
      <c r="HM14" s="108" t="s">
        <v>664</v>
      </c>
      <c r="HN14" s="108" t="s">
        <v>664</v>
      </c>
      <c r="HO14" s="108" t="s">
        <v>664</v>
      </c>
      <c r="HP14" s="108" t="s">
        <v>664</v>
      </c>
      <c r="HQ14" s="71">
        <v>750000</v>
      </c>
      <c r="HR14" s="71">
        <f>+HQ14*0%</f>
        <v>0</v>
      </c>
      <c r="HS14" s="71">
        <f>+HQ14+HR14</f>
        <v>750000</v>
      </c>
      <c r="HT14" s="108" t="s">
        <v>503</v>
      </c>
      <c r="HU14" s="108" t="s">
        <v>503</v>
      </c>
      <c r="HV14" s="108" t="s">
        <v>503</v>
      </c>
      <c r="HW14" s="108" t="s">
        <v>503</v>
      </c>
      <c r="HX14" s="108" t="s">
        <v>503</v>
      </c>
      <c r="HY14" s="108" t="s">
        <v>503</v>
      </c>
      <c r="HZ14" s="108" t="s">
        <v>503</v>
      </c>
      <c r="IA14" s="108" t="s">
        <v>503</v>
      </c>
      <c r="IB14" s="108" t="s">
        <v>503</v>
      </c>
      <c r="IC14" s="108" t="s">
        <v>503</v>
      </c>
      <c r="ID14" s="108" t="s">
        <v>503</v>
      </c>
      <c r="IE14" s="108" t="s">
        <v>503</v>
      </c>
      <c r="IF14" s="108" t="s">
        <v>503</v>
      </c>
      <c r="IG14" s="108" t="s">
        <v>503</v>
      </c>
      <c r="IH14" s="108" t="s">
        <v>503</v>
      </c>
      <c r="II14" s="108" t="s">
        <v>503</v>
      </c>
      <c r="IJ14" s="108" t="s">
        <v>503</v>
      </c>
      <c r="IK14" s="108" t="s">
        <v>503</v>
      </c>
      <c r="IL14" s="108" t="s">
        <v>503</v>
      </c>
      <c r="IM14" s="108" t="s">
        <v>503</v>
      </c>
      <c r="IN14" s="108" t="s">
        <v>503</v>
      </c>
      <c r="IO14" s="120" t="s">
        <v>503</v>
      </c>
      <c r="IP14" s="120" t="s">
        <v>503</v>
      </c>
      <c r="IQ14" s="120" t="s">
        <v>503</v>
      </c>
      <c r="IR14" s="120" t="s">
        <v>664</v>
      </c>
      <c r="IS14" s="120" t="s">
        <v>664</v>
      </c>
      <c r="IT14" s="120" t="s">
        <v>664</v>
      </c>
      <c r="IU14" s="120" t="s">
        <v>503</v>
      </c>
      <c r="IV14" s="120" t="s">
        <v>503</v>
      </c>
      <c r="IW14" s="120" t="s">
        <v>503</v>
      </c>
      <c r="IX14" s="120" t="s">
        <v>503</v>
      </c>
      <c r="IY14" s="120" t="s">
        <v>503</v>
      </c>
      <c r="IZ14" s="120" t="s">
        <v>503</v>
      </c>
      <c r="JA14" s="120" t="s">
        <v>503</v>
      </c>
      <c r="JB14" s="120" t="s">
        <v>503</v>
      </c>
      <c r="JC14" s="120" t="s">
        <v>503</v>
      </c>
      <c r="JD14" s="120" t="s">
        <v>664</v>
      </c>
      <c r="JE14" s="120" t="s">
        <v>664</v>
      </c>
      <c r="JF14" s="120" t="s">
        <v>664</v>
      </c>
      <c r="JG14" s="120" t="s">
        <v>664</v>
      </c>
      <c r="JH14" s="120" t="s">
        <v>664</v>
      </c>
      <c r="JI14" s="120" t="s">
        <v>664</v>
      </c>
      <c r="JJ14" s="120" t="s">
        <v>664</v>
      </c>
      <c r="JK14" s="120" t="s">
        <v>664</v>
      </c>
      <c r="JL14" s="120" t="s">
        <v>664</v>
      </c>
      <c r="JM14" s="120" t="s">
        <v>664</v>
      </c>
      <c r="JN14" s="120" t="s">
        <v>664</v>
      </c>
      <c r="JO14" s="120" t="s">
        <v>664</v>
      </c>
      <c r="JP14" s="110">
        <v>620000</v>
      </c>
      <c r="JQ14" s="111">
        <v>740759.53280000004</v>
      </c>
      <c r="JR14" s="112">
        <f t="shared" si="0"/>
        <v>3</v>
      </c>
      <c r="JS14" s="113">
        <f t="shared" si="1"/>
        <v>773333.33333333337</v>
      </c>
      <c r="JT14" s="114">
        <f t="shared" si="2"/>
        <v>773350</v>
      </c>
      <c r="JU14" s="84"/>
    </row>
    <row r="15" spans="1:281" ht="101.25" customHeight="1" x14ac:dyDescent="0.2">
      <c r="A15" s="98">
        <v>49</v>
      </c>
      <c r="B15" s="99">
        <v>49</v>
      </c>
      <c r="C15" s="39" t="s">
        <v>11</v>
      </c>
      <c r="D15" s="139" t="s">
        <v>17</v>
      </c>
      <c r="E15" s="39">
        <v>25101900</v>
      </c>
      <c r="F15" s="135" t="s">
        <v>170</v>
      </c>
      <c r="G15" s="102" t="s">
        <v>51</v>
      </c>
      <c r="H15" s="103" t="s">
        <v>501</v>
      </c>
      <c r="I15" s="108" t="s">
        <v>503</v>
      </c>
      <c r="J15" s="108" t="s">
        <v>503</v>
      </c>
      <c r="K15" s="108" t="s">
        <v>503</v>
      </c>
      <c r="L15" s="108" t="s">
        <v>503</v>
      </c>
      <c r="M15" s="108" t="s">
        <v>503</v>
      </c>
      <c r="N15" s="108" t="s">
        <v>503</v>
      </c>
      <c r="O15" s="108" t="s">
        <v>503</v>
      </c>
      <c r="P15" s="108" t="s">
        <v>503</v>
      </c>
      <c r="Q15" s="108" t="s">
        <v>503</v>
      </c>
      <c r="R15" s="108" t="s">
        <v>503</v>
      </c>
      <c r="S15" s="108" t="s">
        <v>503</v>
      </c>
      <c r="T15" s="108" t="s">
        <v>503</v>
      </c>
      <c r="U15" s="108" t="s">
        <v>503</v>
      </c>
      <c r="V15" s="108" t="s">
        <v>503</v>
      </c>
      <c r="W15" s="108" t="s">
        <v>503</v>
      </c>
      <c r="X15" s="108" t="s">
        <v>503</v>
      </c>
      <c r="Y15" s="108" t="s">
        <v>503</v>
      </c>
      <c r="Z15" s="108" t="s">
        <v>503</v>
      </c>
      <c r="AA15" s="108" t="s">
        <v>503</v>
      </c>
      <c r="AB15" s="108" t="s">
        <v>503</v>
      </c>
      <c r="AC15" s="108" t="s">
        <v>503</v>
      </c>
      <c r="AD15" s="108" t="s">
        <v>503</v>
      </c>
      <c r="AE15" s="108" t="s">
        <v>503</v>
      </c>
      <c r="AF15" s="108" t="s">
        <v>503</v>
      </c>
      <c r="AG15" s="108" t="s">
        <v>503</v>
      </c>
      <c r="AH15" s="108" t="s">
        <v>503</v>
      </c>
      <c r="AI15" s="108" t="s">
        <v>503</v>
      </c>
      <c r="AJ15" s="108" t="s">
        <v>503</v>
      </c>
      <c r="AK15" s="108" t="s">
        <v>503</v>
      </c>
      <c r="AL15" s="108" t="s">
        <v>503</v>
      </c>
      <c r="AM15" s="108" t="s">
        <v>503</v>
      </c>
      <c r="AN15" s="108" t="s">
        <v>503</v>
      </c>
      <c r="AO15" s="108" t="s">
        <v>503</v>
      </c>
      <c r="AP15" s="108" t="s">
        <v>503</v>
      </c>
      <c r="AQ15" s="108" t="s">
        <v>503</v>
      </c>
      <c r="AR15" s="108" t="s">
        <v>503</v>
      </c>
      <c r="AS15" s="108" t="s">
        <v>503</v>
      </c>
      <c r="AT15" s="108" t="s">
        <v>503</v>
      </c>
      <c r="AU15" s="108" t="s">
        <v>503</v>
      </c>
      <c r="AV15" s="108" t="s">
        <v>503</v>
      </c>
      <c r="AW15" s="108" t="s">
        <v>503</v>
      </c>
      <c r="AX15" s="108" t="s">
        <v>503</v>
      </c>
      <c r="AY15" s="118" t="s">
        <v>502</v>
      </c>
      <c r="AZ15" s="118" t="s">
        <v>502</v>
      </c>
      <c r="BA15" s="118" t="s">
        <v>502</v>
      </c>
      <c r="BB15" s="71">
        <v>650000</v>
      </c>
      <c r="BC15" s="117">
        <f t="shared" si="5"/>
        <v>0</v>
      </c>
      <c r="BD15" s="71">
        <f t="shared" si="6"/>
        <v>650000</v>
      </c>
      <c r="BE15" s="108" t="s">
        <v>503</v>
      </c>
      <c r="BF15" s="108" t="s">
        <v>503</v>
      </c>
      <c r="BG15" s="108" t="s">
        <v>503</v>
      </c>
      <c r="BH15" s="108" t="s">
        <v>503</v>
      </c>
      <c r="BI15" s="108" t="s">
        <v>503</v>
      </c>
      <c r="BJ15" s="108" t="s">
        <v>503</v>
      </c>
      <c r="BK15" s="108" t="s">
        <v>503</v>
      </c>
      <c r="BL15" s="108" t="s">
        <v>503</v>
      </c>
      <c r="BM15" s="108" t="s">
        <v>503</v>
      </c>
      <c r="BN15" s="108" t="s">
        <v>503</v>
      </c>
      <c r="BO15" s="108" t="s">
        <v>503</v>
      </c>
      <c r="BP15" s="108" t="s">
        <v>503</v>
      </c>
      <c r="BQ15" s="108" t="s">
        <v>503</v>
      </c>
      <c r="BR15" s="108" t="s">
        <v>503</v>
      </c>
      <c r="BS15" s="108" t="s">
        <v>503</v>
      </c>
      <c r="BT15" s="108" t="s">
        <v>503</v>
      </c>
      <c r="BU15" s="108" t="s">
        <v>503</v>
      </c>
      <c r="BV15" s="108" t="s">
        <v>503</v>
      </c>
      <c r="BW15" s="108" t="s">
        <v>503</v>
      </c>
      <c r="BX15" s="108" t="s">
        <v>503</v>
      </c>
      <c r="BY15" s="108" t="s">
        <v>503</v>
      </c>
      <c r="BZ15" s="108" t="s">
        <v>503</v>
      </c>
      <c r="CA15" s="108" t="s">
        <v>503</v>
      </c>
      <c r="CB15" s="108" t="s">
        <v>503</v>
      </c>
      <c r="CC15" s="108" t="s">
        <v>503</v>
      </c>
      <c r="CD15" s="108" t="s">
        <v>503</v>
      </c>
      <c r="CE15" s="108" t="s">
        <v>503</v>
      </c>
      <c r="CF15" s="108" t="s">
        <v>503</v>
      </c>
      <c r="CG15" s="108" t="s">
        <v>503</v>
      </c>
      <c r="CH15" s="108" t="s">
        <v>503</v>
      </c>
      <c r="CI15" s="108" t="s">
        <v>503</v>
      </c>
      <c r="CJ15" s="108" t="s">
        <v>503</v>
      </c>
      <c r="CK15" s="108" t="s">
        <v>503</v>
      </c>
      <c r="CL15" s="108" t="s">
        <v>503</v>
      </c>
      <c r="CM15" s="108" t="s">
        <v>503</v>
      </c>
      <c r="CN15" s="108" t="s">
        <v>503</v>
      </c>
      <c r="CO15" s="108" t="s">
        <v>503</v>
      </c>
      <c r="CP15" s="108" t="s">
        <v>503</v>
      </c>
      <c r="CQ15" s="108" t="s">
        <v>503</v>
      </c>
      <c r="CR15" s="108" t="s">
        <v>503</v>
      </c>
      <c r="CS15" s="108" t="s">
        <v>503</v>
      </c>
      <c r="CT15" s="108" t="s">
        <v>503</v>
      </c>
      <c r="CU15" s="108" t="s">
        <v>503</v>
      </c>
      <c r="CV15" s="108" t="s">
        <v>503</v>
      </c>
      <c r="CW15" s="108" t="s">
        <v>503</v>
      </c>
      <c r="CX15" s="108" t="s">
        <v>503</v>
      </c>
      <c r="CY15" s="108" t="s">
        <v>503</v>
      </c>
      <c r="CZ15" s="108" t="s">
        <v>503</v>
      </c>
      <c r="DA15" s="118" t="s">
        <v>502</v>
      </c>
      <c r="DB15" s="118" t="s">
        <v>502</v>
      </c>
      <c r="DC15" s="118" t="s">
        <v>502</v>
      </c>
      <c r="DD15" s="137">
        <v>590000</v>
      </c>
      <c r="DE15" s="140">
        <f>+DD15*0%</f>
        <v>0</v>
      </c>
      <c r="DF15" s="118">
        <f>+DD15+DE15</f>
        <v>590000</v>
      </c>
      <c r="DG15" s="71">
        <v>651000</v>
      </c>
      <c r="DH15" s="138">
        <f>+DG15*0%</f>
        <v>0</v>
      </c>
      <c r="DI15" s="71">
        <f>+DG15+DH15</f>
        <v>651000</v>
      </c>
      <c r="DJ15" s="108" t="s">
        <v>503</v>
      </c>
      <c r="DK15" s="108" t="s">
        <v>503</v>
      </c>
      <c r="DL15" s="108" t="s">
        <v>503</v>
      </c>
      <c r="DM15" s="108" t="s">
        <v>503</v>
      </c>
      <c r="DN15" s="108" t="s">
        <v>503</v>
      </c>
      <c r="DO15" s="108" t="s">
        <v>503</v>
      </c>
      <c r="DP15" s="108" t="s">
        <v>669</v>
      </c>
      <c r="DQ15" s="108" t="s">
        <v>669</v>
      </c>
      <c r="DR15" s="108" t="s">
        <v>669</v>
      </c>
      <c r="DS15" s="108" t="s">
        <v>669</v>
      </c>
      <c r="DT15" s="108" t="s">
        <v>669</v>
      </c>
      <c r="DU15" s="108" t="s">
        <v>669</v>
      </c>
      <c r="DV15" s="108" t="s">
        <v>503</v>
      </c>
      <c r="DW15" s="108" t="s">
        <v>503</v>
      </c>
      <c r="DX15" s="108" t="s">
        <v>503</v>
      </c>
      <c r="DY15" s="108" t="s">
        <v>503</v>
      </c>
      <c r="DZ15" s="108" t="s">
        <v>503</v>
      </c>
      <c r="EA15" s="108" t="s">
        <v>503</v>
      </c>
      <c r="EB15" s="108" t="s">
        <v>503</v>
      </c>
      <c r="EC15" s="108" t="s">
        <v>503</v>
      </c>
      <c r="ED15" s="108" t="s">
        <v>503</v>
      </c>
      <c r="EE15" s="108" t="s">
        <v>503</v>
      </c>
      <c r="EF15" s="108" t="s">
        <v>503</v>
      </c>
      <c r="EG15" s="108" t="s">
        <v>503</v>
      </c>
      <c r="EH15" s="108" t="s">
        <v>502</v>
      </c>
      <c r="EI15" s="108" t="s">
        <v>502</v>
      </c>
      <c r="EJ15" s="108" t="s">
        <v>502</v>
      </c>
      <c r="EK15" s="108" t="s">
        <v>503</v>
      </c>
      <c r="EL15" s="108" t="s">
        <v>503</v>
      </c>
      <c r="EM15" s="108" t="s">
        <v>503</v>
      </c>
      <c r="EN15" s="108" t="s">
        <v>503</v>
      </c>
      <c r="EO15" s="108" t="s">
        <v>503</v>
      </c>
      <c r="EP15" s="108" t="s">
        <v>503</v>
      </c>
      <c r="EQ15" s="108" t="s">
        <v>503</v>
      </c>
      <c r="ER15" s="108" t="s">
        <v>503</v>
      </c>
      <c r="ES15" s="108" t="s">
        <v>503</v>
      </c>
      <c r="ET15" s="108" t="s">
        <v>503</v>
      </c>
      <c r="EU15" s="108" t="s">
        <v>503</v>
      </c>
      <c r="EV15" s="108" t="s">
        <v>503</v>
      </c>
      <c r="EW15" s="108" t="s">
        <v>503</v>
      </c>
      <c r="EX15" s="108" t="s">
        <v>503</v>
      </c>
      <c r="EY15" s="108" t="s">
        <v>503</v>
      </c>
      <c r="EZ15" s="108" t="s">
        <v>503</v>
      </c>
      <c r="FA15" s="108" t="s">
        <v>503</v>
      </c>
      <c r="FB15" s="108" t="s">
        <v>503</v>
      </c>
      <c r="FC15" s="108" t="s">
        <v>503</v>
      </c>
      <c r="FD15" s="108" t="s">
        <v>503</v>
      </c>
      <c r="FE15" s="108" t="s">
        <v>503</v>
      </c>
      <c r="FF15" s="108" t="s">
        <v>503</v>
      </c>
      <c r="FG15" s="108" t="s">
        <v>503</v>
      </c>
      <c r="FH15" s="108" t="s">
        <v>503</v>
      </c>
      <c r="FI15" s="108" t="s">
        <v>669</v>
      </c>
      <c r="FJ15" s="108" t="s">
        <v>669</v>
      </c>
      <c r="FK15" s="108" t="s">
        <v>669</v>
      </c>
      <c r="FL15" s="108" t="s">
        <v>503</v>
      </c>
      <c r="FM15" s="108" t="s">
        <v>503</v>
      </c>
      <c r="FN15" s="108" t="s">
        <v>503</v>
      </c>
      <c r="FO15" s="108" t="s">
        <v>503</v>
      </c>
      <c r="FP15" s="108" t="s">
        <v>503</v>
      </c>
      <c r="FQ15" s="108" t="s">
        <v>503</v>
      </c>
      <c r="FR15" s="108" t="s">
        <v>503</v>
      </c>
      <c r="FS15" s="108" t="s">
        <v>503</v>
      </c>
      <c r="FT15" s="108" t="s">
        <v>503</v>
      </c>
      <c r="FU15" s="108" t="s">
        <v>503</v>
      </c>
      <c r="FV15" s="108" t="s">
        <v>503</v>
      </c>
      <c r="FW15" s="108" t="s">
        <v>503</v>
      </c>
      <c r="FX15" s="108" t="s">
        <v>503</v>
      </c>
      <c r="FY15" s="108" t="s">
        <v>503</v>
      </c>
      <c r="FZ15" s="108" t="s">
        <v>503</v>
      </c>
      <c r="GA15" s="108" t="s">
        <v>502</v>
      </c>
      <c r="GB15" s="108" t="s">
        <v>502</v>
      </c>
      <c r="GC15" s="108" t="s">
        <v>502</v>
      </c>
      <c r="GD15" s="108" t="s">
        <v>502</v>
      </c>
      <c r="GE15" s="108" t="s">
        <v>502</v>
      </c>
      <c r="GF15" s="108" t="s">
        <v>502</v>
      </c>
      <c r="GG15" s="108" t="s">
        <v>503</v>
      </c>
      <c r="GH15" s="108" t="s">
        <v>503</v>
      </c>
      <c r="GI15" s="108" t="s">
        <v>503</v>
      </c>
      <c r="GJ15" s="108" t="s">
        <v>503</v>
      </c>
      <c r="GK15" s="108" t="s">
        <v>503</v>
      </c>
      <c r="GL15" s="108" t="s">
        <v>503</v>
      </c>
      <c r="GM15" s="108" t="s">
        <v>503</v>
      </c>
      <c r="GN15" s="108" t="s">
        <v>503</v>
      </c>
      <c r="GO15" s="108" t="s">
        <v>503</v>
      </c>
      <c r="GP15" s="108" t="s">
        <v>664</v>
      </c>
      <c r="GQ15" s="108" t="s">
        <v>664</v>
      </c>
      <c r="GR15" s="108" t="s">
        <v>664</v>
      </c>
      <c r="GS15" s="108" t="s">
        <v>664</v>
      </c>
      <c r="GT15" s="108" t="s">
        <v>664</v>
      </c>
      <c r="GU15" s="108" t="s">
        <v>664</v>
      </c>
      <c r="GV15" s="108" t="s">
        <v>664</v>
      </c>
      <c r="GW15" s="108" t="s">
        <v>664</v>
      </c>
      <c r="GX15" s="108" t="s">
        <v>664</v>
      </c>
      <c r="GY15" s="108" t="s">
        <v>664</v>
      </c>
      <c r="GZ15" s="108" t="s">
        <v>664</v>
      </c>
      <c r="HA15" s="108" t="s">
        <v>664</v>
      </c>
      <c r="HB15" s="108" t="s">
        <v>664</v>
      </c>
      <c r="HC15" s="108" t="s">
        <v>664</v>
      </c>
      <c r="HD15" s="108" t="s">
        <v>664</v>
      </c>
      <c r="HE15" s="108" t="s">
        <v>664</v>
      </c>
      <c r="HF15" s="108" t="s">
        <v>664</v>
      </c>
      <c r="HG15" s="108" t="s">
        <v>664</v>
      </c>
      <c r="HH15" s="108" t="s">
        <v>664</v>
      </c>
      <c r="HI15" s="108" t="s">
        <v>664</v>
      </c>
      <c r="HJ15" s="108" t="s">
        <v>664</v>
      </c>
      <c r="HK15" s="108" t="s">
        <v>664</v>
      </c>
      <c r="HL15" s="108" t="s">
        <v>664</v>
      </c>
      <c r="HM15" s="108" t="s">
        <v>664</v>
      </c>
      <c r="HN15" s="108" t="s">
        <v>664</v>
      </c>
      <c r="HO15" s="108" t="s">
        <v>664</v>
      </c>
      <c r="HP15" s="108" t="s">
        <v>664</v>
      </c>
      <c r="HQ15" s="108" t="s">
        <v>503</v>
      </c>
      <c r="HR15" s="108" t="s">
        <v>503</v>
      </c>
      <c r="HS15" s="108" t="s">
        <v>503</v>
      </c>
      <c r="HT15" s="108" t="s">
        <v>503</v>
      </c>
      <c r="HU15" s="108" t="s">
        <v>503</v>
      </c>
      <c r="HV15" s="108" t="s">
        <v>503</v>
      </c>
      <c r="HW15" s="108" t="s">
        <v>503</v>
      </c>
      <c r="HX15" s="108" t="s">
        <v>503</v>
      </c>
      <c r="HY15" s="108" t="s">
        <v>503</v>
      </c>
      <c r="HZ15" s="108" t="s">
        <v>503</v>
      </c>
      <c r="IA15" s="108" t="s">
        <v>503</v>
      </c>
      <c r="IB15" s="108" t="s">
        <v>503</v>
      </c>
      <c r="IC15" s="108" t="s">
        <v>503</v>
      </c>
      <c r="ID15" s="108" t="s">
        <v>503</v>
      </c>
      <c r="IE15" s="108" t="s">
        <v>503</v>
      </c>
      <c r="IF15" s="108" t="s">
        <v>503</v>
      </c>
      <c r="IG15" s="108" t="s">
        <v>503</v>
      </c>
      <c r="IH15" s="108" t="s">
        <v>503</v>
      </c>
      <c r="II15" s="108" t="s">
        <v>503</v>
      </c>
      <c r="IJ15" s="108" t="s">
        <v>503</v>
      </c>
      <c r="IK15" s="108" t="s">
        <v>503</v>
      </c>
      <c r="IL15" s="108" t="s">
        <v>503</v>
      </c>
      <c r="IM15" s="108" t="s">
        <v>503</v>
      </c>
      <c r="IN15" s="108" t="s">
        <v>503</v>
      </c>
      <c r="IO15" s="120" t="s">
        <v>503</v>
      </c>
      <c r="IP15" s="120" t="s">
        <v>503</v>
      </c>
      <c r="IQ15" s="120" t="s">
        <v>503</v>
      </c>
      <c r="IR15" s="120" t="s">
        <v>664</v>
      </c>
      <c r="IS15" s="120" t="s">
        <v>664</v>
      </c>
      <c r="IT15" s="120" t="s">
        <v>664</v>
      </c>
      <c r="IU15" s="120" t="s">
        <v>503</v>
      </c>
      <c r="IV15" s="120" t="s">
        <v>503</v>
      </c>
      <c r="IW15" s="120" t="s">
        <v>503</v>
      </c>
      <c r="IX15" s="120" t="s">
        <v>503</v>
      </c>
      <c r="IY15" s="120" t="s">
        <v>503</v>
      </c>
      <c r="IZ15" s="120" t="s">
        <v>503</v>
      </c>
      <c r="JA15" s="120" t="s">
        <v>503</v>
      </c>
      <c r="JB15" s="120" t="s">
        <v>503</v>
      </c>
      <c r="JC15" s="120" t="s">
        <v>503</v>
      </c>
      <c r="JD15" s="120" t="s">
        <v>664</v>
      </c>
      <c r="JE15" s="120" t="s">
        <v>664</v>
      </c>
      <c r="JF15" s="120" t="s">
        <v>664</v>
      </c>
      <c r="JG15" s="120" t="s">
        <v>664</v>
      </c>
      <c r="JH15" s="120" t="s">
        <v>664</v>
      </c>
      <c r="JI15" s="120" t="s">
        <v>664</v>
      </c>
      <c r="JJ15" s="120" t="s">
        <v>664</v>
      </c>
      <c r="JK15" s="120" t="s">
        <v>664</v>
      </c>
      <c r="JL15" s="120" t="s">
        <v>664</v>
      </c>
      <c r="JM15" s="120" t="s">
        <v>664</v>
      </c>
      <c r="JN15" s="120" t="s">
        <v>664</v>
      </c>
      <c r="JO15" s="120" t="s">
        <v>664</v>
      </c>
      <c r="JP15" s="110">
        <v>462500</v>
      </c>
      <c r="JQ15" s="111">
        <v>552582.71600000001</v>
      </c>
      <c r="JR15" s="112">
        <f t="shared" si="0"/>
        <v>3</v>
      </c>
      <c r="JS15" s="113">
        <f t="shared" si="1"/>
        <v>630333.33333333337</v>
      </c>
      <c r="JT15" s="114">
        <f t="shared" si="2"/>
        <v>630350</v>
      </c>
      <c r="JU15" s="84"/>
    </row>
    <row r="16" spans="1:281" ht="101.25" customHeight="1" x14ac:dyDescent="0.2">
      <c r="A16" s="98">
        <v>50</v>
      </c>
      <c r="B16" s="99">
        <v>50</v>
      </c>
      <c r="C16" s="39" t="s">
        <v>11</v>
      </c>
      <c r="D16" s="139" t="s">
        <v>17</v>
      </c>
      <c r="E16" s="39">
        <v>25101900</v>
      </c>
      <c r="F16" s="135" t="s">
        <v>171</v>
      </c>
      <c r="G16" s="102" t="s">
        <v>51</v>
      </c>
      <c r="H16" s="103" t="s">
        <v>501</v>
      </c>
      <c r="I16" s="108" t="s">
        <v>503</v>
      </c>
      <c r="J16" s="108" t="s">
        <v>503</v>
      </c>
      <c r="K16" s="108" t="s">
        <v>503</v>
      </c>
      <c r="L16" s="108" t="s">
        <v>503</v>
      </c>
      <c r="M16" s="108" t="s">
        <v>503</v>
      </c>
      <c r="N16" s="108" t="s">
        <v>503</v>
      </c>
      <c r="O16" s="118" t="s">
        <v>502</v>
      </c>
      <c r="P16" s="118" t="s">
        <v>502</v>
      </c>
      <c r="Q16" s="118" t="s">
        <v>502</v>
      </c>
      <c r="R16" s="108" t="s">
        <v>503</v>
      </c>
      <c r="S16" s="108" t="s">
        <v>503</v>
      </c>
      <c r="T16" s="108" t="s">
        <v>503</v>
      </c>
      <c r="U16" s="108" t="s">
        <v>503</v>
      </c>
      <c r="V16" s="108" t="s">
        <v>503</v>
      </c>
      <c r="W16" s="108" t="s">
        <v>503</v>
      </c>
      <c r="X16" s="108" t="s">
        <v>503</v>
      </c>
      <c r="Y16" s="108" t="s">
        <v>503</v>
      </c>
      <c r="Z16" s="108" t="s">
        <v>503</v>
      </c>
      <c r="AA16" s="108" t="s">
        <v>503</v>
      </c>
      <c r="AB16" s="108" t="s">
        <v>503</v>
      </c>
      <c r="AC16" s="108" t="s">
        <v>503</v>
      </c>
      <c r="AD16" s="108" t="s">
        <v>503</v>
      </c>
      <c r="AE16" s="108" t="s">
        <v>503</v>
      </c>
      <c r="AF16" s="108" t="s">
        <v>503</v>
      </c>
      <c r="AG16" s="108" t="s">
        <v>503</v>
      </c>
      <c r="AH16" s="108" t="s">
        <v>503</v>
      </c>
      <c r="AI16" s="108" t="s">
        <v>503</v>
      </c>
      <c r="AJ16" s="108" t="s">
        <v>503</v>
      </c>
      <c r="AK16" s="108" t="s">
        <v>503</v>
      </c>
      <c r="AL16" s="108" t="s">
        <v>503</v>
      </c>
      <c r="AM16" s="108" t="s">
        <v>503</v>
      </c>
      <c r="AN16" s="108" t="s">
        <v>503</v>
      </c>
      <c r="AO16" s="108" t="s">
        <v>503</v>
      </c>
      <c r="AP16" s="108" t="s">
        <v>503</v>
      </c>
      <c r="AQ16" s="108" t="s">
        <v>503</v>
      </c>
      <c r="AR16" s="108" t="s">
        <v>503</v>
      </c>
      <c r="AS16" s="108" t="s">
        <v>503</v>
      </c>
      <c r="AT16" s="108" t="s">
        <v>503</v>
      </c>
      <c r="AU16" s="108" t="s">
        <v>503</v>
      </c>
      <c r="AV16" s="108" t="s">
        <v>503</v>
      </c>
      <c r="AW16" s="108" t="s">
        <v>503</v>
      </c>
      <c r="AX16" s="108" t="s">
        <v>503</v>
      </c>
      <c r="AY16" s="118" t="s">
        <v>502</v>
      </c>
      <c r="AZ16" s="118" t="s">
        <v>502</v>
      </c>
      <c r="BA16" s="118" t="s">
        <v>502</v>
      </c>
      <c r="BB16" s="71">
        <v>750000</v>
      </c>
      <c r="BC16" s="117">
        <f t="shared" si="5"/>
        <v>0</v>
      </c>
      <c r="BD16" s="71">
        <f t="shared" si="6"/>
        <v>750000</v>
      </c>
      <c r="BE16" s="108" t="s">
        <v>503</v>
      </c>
      <c r="BF16" s="108" t="s">
        <v>503</v>
      </c>
      <c r="BG16" s="108" t="s">
        <v>503</v>
      </c>
      <c r="BH16" s="108" t="s">
        <v>503</v>
      </c>
      <c r="BI16" s="108" t="s">
        <v>503</v>
      </c>
      <c r="BJ16" s="108" t="s">
        <v>503</v>
      </c>
      <c r="BK16" s="108" t="s">
        <v>503</v>
      </c>
      <c r="BL16" s="108" t="s">
        <v>503</v>
      </c>
      <c r="BM16" s="108" t="s">
        <v>503</v>
      </c>
      <c r="BN16" s="108" t="s">
        <v>503</v>
      </c>
      <c r="BO16" s="108" t="s">
        <v>503</v>
      </c>
      <c r="BP16" s="108" t="s">
        <v>503</v>
      </c>
      <c r="BQ16" s="108" t="s">
        <v>503</v>
      </c>
      <c r="BR16" s="108" t="s">
        <v>503</v>
      </c>
      <c r="BS16" s="108" t="s">
        <v>503</v>
      </c>
      <c r="BT16" s="108" t="s">
        <v>503</v>
      </c>
      <c r="BU16" s="108" t="s">
        <v>503</v>
      </c>
      <c r="BV16" s="108" t="s">
        <v>503</v>
      </c>
      <c r="BW16" s="108" t="s">
        <v>503</v>
      </c>
      <c r="BX16" s="108" t="s">
        <v>503</v>
      </c>
      <c r="BY16" s="108" t="s">
        <v>503</v>
      </c>
      <c r="BZ16" s="108" t="s">
        <v>503</v>
      </c>
      <c r="CA16" s="108" t="s">
        <v>503</v>
      </c>
      <c r="CB16" s="108" t="s">
        <v>503</v>
      </c>
      <c r="CC16" s="108" t="s">
        <v>503</v>
      </c>
      <c r="CD16" s="108" t="s">
        <v>503</v>
      </c>
      <c r="CE16" s="108" t="s">
        <v>503</v>
      </c>
      <c r="CF16" s="108" t="s">
        <v>503</v>
      </c>
      <c r="CG16" s="108" t="s">
        <v>503</v>
      </c>
      <c r="CH16" s="108" t="s">
        <v>503</v>
      </c>
      <c r="CI16" s="108" t="s">
        <v>503</v>
      </c>
      <c r="CJ16" s="108" t="s">
        <v>503</v>
      </c>
      <c r="CK16" s="108" t="s">
        <v>503</v>
      </c>
      <c r="CL16" s="108" t="s">
        <v>503</v>
      </c>
      <c r="CM16" s="108" t="s">
        <v>503</v>
      </c>
      <c r="CN16" s="108" t="s">
        <v>503</v>
      </c>
      <c r="CO16" s="108" t="s">
        <v>503</v>
      </c>
      <c r="CP16" s="108" t="s">
        <v>503</v>
      </c>
      <c r="CQ16" s="108" t="s">
        <v>503</v>
      </c>
      <c r="CR16" s="108" t="s">
        <v>503</v>
      </c>
      <c r="CS16" s="108" t="s">
        <v>503</v>
      </c>
      <c r="CT16" s="108" t="s">
        <v>503</v>
      </c>
      <c r="CU16" s="108" t="s">
        <v>503</v>
      </c>
      <c r="CV16" s="108" t="s">
        <v>503</v>
      </c>
      <c r="CW16" s="108" t="s">
        <v>503</v>
      </c>
      <c r="CX16" s="108" t="s">
        <v>503</v>
      </c>
      <c r="CY16" s="108" t="s">
        <v>503</v>
      </c>
      <c r="CZ16" s="108" t="s">
        <v>503</v>
      </c>
      <c r="DA16" s="141">
        <v>800000</v>
      </c>
      <c r="DB16" s="142">
        <f>+DA16*0%</f>
        <v>0</v>
      </c>
      <c r="DC16" s="143">
        <f>+DA16+DB16</f>
        <v>800000</v>
      </c>
      <c r="DD16" s="137">
        <v>720000</v>
      </c>
      <c r="DE16" s="140">
        <f>+DD16*0%</f>
        <v>0</v>
      </c>
      <c r="DF16" s="118">
        <f>+DD16+DE16</f>
        <v>720000</v>
      </c>
      <c r="DG16" s="108" t="s">
        <v>503</v>
      </c>
      <c r="DH16" s="108" t="s">
        <v>503</v>
      </c>
      <c r="DI16" s="108" t="s">
        <v>503</v>
      </c>
      <c r="DJ16" s="108" t="s">
        <v>503</v>
      </c>
      <c r="DK16" s="108" t="s">
        <v>503</v>
      </c>
      <c r="DL16" s="108" t="s">
        <v>503</v>
      </c>
      <c r="DM16" s="108" t="s">
        <v>503</v>
      </c>
      <c r="DN16" s="108" t="s">
        <v>503</v>
      </c>
      <c r="DO16" s="108" t="s">
        <v>503</v>
      </c>
      <c r="DP16" s="108" t="s">
        <v>669</v>
      </c>
      <c r="DQ16" s="108" t="s">
        <v>669</v>
      </c>
      <c r="DR16" s="108" t="s">
        <v>669</v>
      </c>
      <c r="DS16" s="108" t="s">
        <v>669</v>
      </c>
      <c r="DT16" s="108" t="s">
        <v>669</v>
      </c>
      <c r="DU16" s="108" t="s">
        <v>669</v>
      </c>
      <c r="DV16" s="108" t="s">
        <v>503</v>
      </c>
      <c r="DW16" s="108" t="s">
        <v>503</v>
      </c>
      <c r="DX16" s="108" t="s">
        <v>503</v>
      </c>
      <c r="DY16" s="108" t="s">
        <v>503</v>
      </c>
      <c r="DZ16" s="108" t="s">
        <v>503</v>
      </c>
      <c r="EA16" s="108" t="s">
        <v>503</v>
      </c>
      <c r="EB16" s="108" t="s">
        <v>503</v>
      </c>
      <c r="EC16" s="108" t="s">
        <v>503</v>
      </c>
      <c r="ED16" s="108" t="s">
        <v>503</v>
      </c>
      <c r="EE16" s="108" t="s">
        <v>503</v>
      </c>
      <c r="EF16" s="108" t="s">
        <v>503</v>
      </c>
      <c r="EG16" s="108" t="s">
        <v>503</v>
      </c>
      <c r="EH16" s="108" t="s">
        <v>502</v>
      </c>
      <c r="EI16" s="108" t="s">
        <v>502</v>
      </c>
      <c r="EJ16" s="108" t="s">
        <v>502</v>
      </c>
      <c r="EK16" s="108" t="s">
        <v>503</v>
      </c>
      <c r="EL16" s="108" t="s">
        <v>503</v>
      </c>
      <c r="EM16" s="108" t="s">
        <v>503</v>
      </c>
      <c r="EN16" s="108" t="s">
        <v>503</v>
      </c>
      <c r="EO16" s="108" t="s">
        <v>503</v>
      </c>
      <c r="EP16" s="108" t="s">
        <v>503</v>
      </c>
      <c r="EQ16" s="108" t="s">
        <v>503</v>
      </c>
      <c r="ER16" s="108" t="s">
        <v>503</v>
      </c>
      <c r="ES16" s="108" t="s">
        <v>503</v>
      </c>
      <c r="ET16" s="108" t="s">
        <v>503</v>
      </c>
      <c r="EU16" s="108" t="s">
        <v>503</v>
      </c>
      <c r="EV16" s="108" t="s">
        <v>503</v>
      </c>
      <c r="EW16" s="108" t="s">
        <v>503</v>
      </c>
      <c r="EX16" s="108" t="s">
        <v>503</v>
      </c>
      <c r="EY16" s="108" t="s">
        <v>503</v>
      </c>
      <c r="EZ16" s="108" t="s">
        <v>503</v>
      </c>
      <c r="FA16" s="108" t="s">
        <v>503</v>
      </c>
      <c r="FB16" s="108" t="s">
        <v>503</v>
      </c>
      <c r="FC16" s="108" t="s">
        <v>503</v>
      </c>
      <c r="FD16" s="108" t="s">
        <v>503</v>
      </c>
      <c r="FE16" s="108" t="s">
        <v>503</v>
      </c>
      <c r="FF16" s="108" t="s">
        <v>503</v>
      </c>
      <c r="FG16" s="108" t="s">
        <v>503</v>
      </c>
      <c r="FH16" s="108" t="s">
        <v>503</v>
      </c>
      <c r="FI16" s="108" t="s">
        <v>669</v>
      </c>
      <c r="FJ16" s="108" t="s">
        <v>669</v>
      </c>
      <c r="FK16" s="108" t="s">
        <v>669</v>
      </c>
      <c r="FL16" s="108" t="s">
        <v>503</v>
      </c>
      <c r="FM16" s="108" t="s">
        <v>503</v>
      </c>
      <c r="FN16" s="108" t="s">
        <v>503</v>
      </c>
      <c r="FO16" s="108" t="s">
        <v>503</v>
      </c>
      <c r="FP16" s="108" t="s">
        <v>503</v>
      </c>
      <c r="FQ16" s="108" t="s">
        <v>503</v>
      </c>
      <c r="FR16" s="108" t="s">
        <v>503</v>
      </c>
      <c r="FS16" s="108" t="s">
        <v>503</v>
      </c>
      <c r="FT16" s="108" t="s">
        <v>503</v>
      </c>
      <c r="FU16" s="108" t="s">
        <v>503</v>
      </c>
      <c r="FV16" s="108" t="s">
        <v>503</v>
      </c>
      <c r="FW16" s="108" t="s">
        <v>503</v>
      </c>
      <c r="FX16" s="108" t="s">
        <v>503</v>
      </c>
      <c r="FY16" s="108" t="s">
        <v>503</v>
      </c>
      <c r="FZ16" s="108" t="s">
        <v>503</v>
      </c>
      <c r="GA16" s="108" t="s">
        <v>502</v>
      </c>
      <c r="GB16" s="108" t="s">
        <v>502</v>
      </c>
      <c r="GC16" s="108" t="s">
        <v>502</v>
      </c>
      <c r="GD16" s="108" t="s">
        <v>502</v>
      </c>
      <c r="GE16" s="108" t="s">
        <v>502</v>
      </c>
      <c r="GF16" s="108" t="s">
        <v>502</v>
      </c>
      <c r="GG16" s="108" t="s">
        <v>503</v>
      </c>
      <c r="GH16" s="108" t="s">
        <v>503</v>
      </c>
      <c r="GI16" s="108" t="s">
        <v>503</v>
      </c>
      <c r="GJ16" s="108" t="s">
        <v>503</v>
      </c>
      <c r="GK16" s="108" t="s">
        <v>503</v>
      </c>
      <c r="GL16" s="108" t="s">
        <v>503</v>
      </c>
      <c r="GM16" s="108" t="s">
        <v>503</v>
      </c>
      <c r="GN16" s="108" t="s">
        <v>503</v>
      </c>
      <c r="GO16" s="108" t="s">
        <v>503</v>
      </c>
      <c r="GP16" s="108" t="s">
        <v>664</v>
      </c>
      <c r="GQ16" s="108" t="s">
        <v>664</v>
      </c>
      <c r="GR16" s="108" t="s">
        <v>664</v>
      </c>
      <c r="GS16" s="108" t="s">
        <v>664</v>
      </c>
      <c r="GT16" s="108" t="s">
        <v>664</v>
      </c>
      <c r="GU16" s="108" t="s">
        <v>664</v>
      </c>
      <c r="GV16" s="108" t="s">
        <v>664</v>
      </c>
      <c r="GW16" s="108" t="s">
        <v>664</v>
      </c>
      <c r="GX16" s="108" t="s">
        <v>664</v>
      </c>
      <c r="GY16" s="108" t="s">
        <v>664</v>
      </c>
      <c r="GZ16" s="108" t="s">
        <v>664</v>
      </c>
      <c r="HA16" s="108" t="s">
        <v>664</v>
      </c>
      <c r="HB16" s="108" t="s">
        <v>664</v>
      </c>
      <c r="HC16" s="108" t="s">
        <v>664</v>
      </c>
      <c r="HD16" s="108" t="s">
        <v>664</v>
      </c>
      <c r="HE16" s="108" t="s">
        <v>664</v>
      </c>
      <c r="HF16" s="108" t="s">
        <v>664</v>
      </c>
      <c r="HG16" s="108" t="s">
        <v>664</v>
      </c>
      <c r="HH16" s="108" t="s">
        <v>664</v>
      </c>
      <c r="HI16" s="108" t="s">
        <v>664</v>
      </c>
      <c r="HJ16" s="108" t="s">
        <v>664</v>
      </c>
      <c r="HK16" s="108" t="s">
        <v>664</v>
      </c>
      <c r="HL16" s="108" t="s">
        <v>664</v>
      </c>
      <c r="HM16" s="108" t="s">
        <v>664</v>
      </c>
      <c r="HN16" s="108" t="s">
        <v>664</v>
      </c>
      <c r="HO16" s="108" t="s">
        <v>664</v>
      </c>
      <c r="HP16" s="108" t="s">
        <v>664</v>
      </c>
      <c r="HQ16" s="108" t="s">
        <v>502</v>
      </c>
      <c r="HR16" s="108" t="s">
        <v>502</v>
      </c>
      <c r="HS16" s="108" t="s">
        <v>502</v>
      </c>
      <c r="HT16" s="108" t="s">
        <v>503</v>
      </c>
      <c r="HU16" s="108" t="s">
        <v>503</v>
      </c>
      <c r="HV16" s="108" t="s">
        <v>503</v>
      </c>
      <c r="HW16" s="108" t="s">
        <v>503</v>
      </c>
      <c r="HX16" s="108" t="s">
        <v>503</v>
      </c>
      <c r="HY16" s="108" t="s">
        <v>503</v>
      </c>
      <c r="HZ16" s="108" t="s">
        <v>503</v>
      </c>
      <c r="IA16" s="108" t="s">
        <v>503</v>
      </c>
      <c r="IB16" s="108" t="s">
        <v>503</v>
      </c>
      <c r="IC16" s="108" t="s">
        <v>503</v>
      </c>
      <c r="ID16" s="108" t="s">
        <v>503</v>
      </c>
      <c r="IE16" s="108" t="s">
        <v>503</v>
      </c>
      <c r="IF16" s="108" t="s">
        <v>503</v>
      </c>
      <c r="IG16" s="108" t="s">
        <v>503</v>
      </c>
      <c r="IH16" s="108" t="s">
        <v>503</v>
      </c>
      <c r="II16" s="108" t="s">
        <v>503</v>
      </c>
      <c r="IJ16" s="108" t="s">
        <v>503</v>
      </c>
      <c r="IK16" s="108" t="s">
        <v>503</v>
      </c>
      <c r="IL16" s="108" t="s">
        <v>503</v>
      </c>
      <c r="IM16" s="108" t="s">
        <v>503</v>
      </c>
      <c r="IN16" s="108" t="s">
        <v>503</v>
      </c>
      <c r="IO16" s="120" t="s">
        <v>503</v>
      </c>
      <c r="IP16" s="120" t="s">
        <v>503</v>
      </c>
      <c r="IQ16" s="120" t="s">
        <v>503</v>
      </c>
      <c r="IR16" s="120" t="s">
        <v>664</v>
      </c>
      <c r="IS16" s="120" t="s">
        <v>664</v>
      </c>
      <c r="IT16" s="120" t="s">
        <v>664</v>
      </c>
      <c r="IU16" s="120" t="s">
        <v>503</v>
      </c>
      <c r="IV16" s="120" t="s">
        <v>503</v>
      </c>
      <c r="IW16" s="120" t="s">
        <v>503</v>
      </c>
      <c r="IX16" s="120" t="s">
        <v>503</v>
      </c>
      <c r="IY16" s="120" t="s">
        <v>503</v>
      </c>
      <c r="IZ16" s="120" t="s">
        <v>503</v>
      </c>
      <c r="JA16" s="120" t="s">
        <v>503</v>
      </c>
      <c r="JB16" s="120" t="s">
        <v>503</v>
      </c>
      <c r="JC16" s="120" t="s">
        <v>503</v>
      </c>
      <c r="JD16" s="120" t="s">
        <v>664</v>
      </c>
      <c r="JE16" s="120" t="s">
        <v>664</v>
      </c>
      <c r="JF16" s="120" t="s">
        <v>664</v>
      </c>
      <c r="JG16" s="120" t="s">
        <v>664</v>
      </c>
      <c r="JH16" s="120" t="s">
        <v>664</v>
      </c>
      <c r="JI16" s="120" t="s">
        <v>664</v>
      </c>
      <c r="JJ16" s="120" t="s">
        <v>664</v>
      </c>
      <c r="JK16" s="120" t="s">
        <v>664</v>
      </c>
      <c r="JL16" s="120" t="s">
        <v>664</v>
      </c>
      <c r="JM16" s="120" t="s">
        <v>664</v>
      </c>
      <c r="JN16" s="120" t="s">
        <v>664</v>
      </c>
      <c r="JO16" s="120" t="s">
        <v>664</v>
      </c>
      <c r="JP16" s="110">
        <v>462500</v>
      </c>
      <c r="JQ16" s="111">
        <v>552582.71600000001</v>
      </c>
      <c r="JR16" s="112">
        <f t="shared" si="0"/>
        <v>3</v>
      </c>
      <c r="JS16" s="113">
        <f t="shared" si="1"/>
        <v>756666.66666666663</v>
      </c>
      <c r="JT16" s="114">
        <f t="shared" si="2"/>
        <v>756700</v>
      </c>
      <c r="JU16" s="84"/>
    </row>
    <row r="17" spans="1:281" ht="101.25" customHeight="1" x14ac:dyDescent="0.2">
      <c r="A17" s="98">
        <v>51</v>
      </c>
      <c r="B17" s="99">
        <v>51</v>
      </c>
      <c r="C17" s="39" t="s">
        <v>11</v>
      </c>
      <c r="D17" s="139" t="s">
        <v>18</v>
      </c>
      <c r="E17" s="39">
        <v>25101900</v>
      </c>
      <c r="F17" s="135" t="s">
        <v>172</v>
      </c>
      <c r="G17" s="102" t="s">
        <v>52</v>
      </c>
      <c r="H17" s="103" t="s">
        <v>501</v>
      </c>
      <c r="I17" s="108" t="s">
        <v>503</v>
      </c>
      <c r="J17" s="108" t="s">
        <v>503</v>
      </c>
      <c r="K17" s="108" t="s">
        <v>503</v>
      </c>
      <c r="L17" s="108" t="s">
        <v>503</v>
      </c>
      <c r="M17" s="108" t="s">
        <v>503</v>
      </c>
      <c r="N17" s="108" t="s">
        <v>503</v>
      </c>
      <c r="O17" s="108" t="s">
        <v>503</v>
      </c>
      <c r="P17" s="108" t="s">
        <v>503</v>
      </c>
      <c r="Q17" s="108" t="s">
        <v>503</v>
      </c>
      <c r="R17" s="108" t="s">
        <v>503</v>
      </c>
      <c r="S17" s="108" t="s">
        <v>503</v>
      </c>
      <c r="T17" s="108" t="s">
        <v>503</v>
      </c>
      <c r="U17" s="108" t="s">
        <v>503</v>
      </c>
      <c r="V17" s="108" t="s">
        <v>503</v>
      </c>
      <c r="W17" s="108" t="s">
        <v>503</v>
      </c>
      <c r="X17" s="108" t="s">
        <v>503</v>
      </c>
      <c r="Y17" s="108" t="s">
        <v>503</v>
      </c>
      <c r="Z17" s="108" t="s">
        <v>503</v>
      </c>
      <c r="AA17" s="108" t="s">
        <v>503</v>
      </c>
      <c r="AB17" s="108" t="s">
        <v>503</v>
      </c>
      <c r="AC17" s="108" t="s">
        <v>503</v>
      </c>
      <c r="AD17" s="108" t="s">
        <v>503</v>
      </c>
      <c r="AE17" s="108" t="s">
        <v>503</v>
      </c>
      <c r="AF17" s="108" t="s">
        <v>503</v>
      </c>
      <c r="AG17" s="108" t="s">
        <v>503</v>
      </c>
      <c r="AH17" s="108" t="s">
        <v>503</v>
      </c>
      <c r="AI17" s="108" t="s">
        <v>503</v>
      </c>
      <c r="AJ17" s="108" t="s">
        <v>503</v>
      </c>
      <c r="AK17" s="108" t="s">
        <v>503</v>
      </c>
      <c r="AL17" s="108" t="s">
        <v>503</v>
      </c>
      <c r="AM17" s="108" t="s">
        <v>503</v>
      </c>
      <c r="AN17" s="108" t="s">
        <v>503</v>
      </c>
      <c r="AO17" s="108" t="s">
        <v>503</v>
      </c>
      <c r="AP17" s="108" t="s">
        <v>503</v>
      </c>
      <c r="AQ17" s="108" t="s">
        <v>503</v>
      </c>
      <c r="AR17" s="108" t="s">
        <v>503</v>
      </c>
      <c r="AS17" s="108" t="s">
        <v>503</v>
      </c>
      <c r="AT17" s="108" t="s">
        <v>503</v>
      </c>
      <c r="AU17" s="108" t="s">
        <v>503</v>
      </c>
      <c r="AV17" s="108" t="s">
        <v>503</v>
      </c>
      <c r="AW17" s="108" t="s">
        <v>503</v>
      </c>
      <c r="AX17" s="108" t="s">
        <v>503</v>
      </c>
      <c r="AY17" s="125" t="s">
        <v>502</v>
      </c>
      <c r="AZ17" s="125" t="s">
        <v>502</v>
      </c>
      <c r="BA17" s="125" t="s">
        <v>502</v>
      </c>
      <c r="BB17" s="108" t="s">
        <v>503</v>
      </c>
      <c r="BC17" s="108" t="s">
        <v>503</v>
      </c>
      <c r="BD17" s="108" t="s">
        <v>503</v>
      </c>
      <c r="BE17" s="108" t="s">
        <v>503</v>
      </c>
      <c r="BF17" s="108" t="s">
        <v>503</v>
      </c>
      <c r="BG17" s="108" t="s">
        <v>503</v>
      </c>
      <c r="BH17" s="108" t="s">
        <v>503</v>
      </c>
      <c r="BI17" s="108" t="s">
        <v>503</v>
      </c>
      <c r="BJ17" s="108" t="s">
        <v>503</v>
      </c>
      <c r="BK17" s="108" t="s">
        <v>503</v>
      </c>
      <c r="BL17" s="108" t="s">
        <v>503</v>
      </c>
      <c r="BM17" s="108" t="s">
        <v>503</v>
      </c>
      <c r="BN17" s="108" t="s">
        <v>503</v>
      </c>
      <c r="BO17" s="108" t="s">
        <v>503</v>
      </c>
      <c r="BP17" s="108" t="s">
        <v>503</v>
      </c>
      <c r="BQ17" s="108" t="s">
        <v>503</v>
      </c>
      <c r="BR17" s="108" t="s">
        <v>503</v>
      </c>
      <c r="BS17" s="108" t="s">
        <v>503</v>
      </c>
      <c r="BT17" s="108" t="s">
        <v>503</v>
      </c>
      <c r="BU17" s="108" t="s">
        <v>503</v>
      </c>
      <c r="BV17" s="108" t="s">
        <v>503</v>
      </c>
      <c r="BW17" s="108" t="s">
        <v>503</v>
      </c>
      <c r="BX17" s="108" t="s">
        <v>503</v>
      </c>
      <c r="BY17" s="108" t="s">
        <v>503</v>
      </c>
      <c r="BZ17" s="108" t="s">
        <v>503</v>
      </c>
      <c r="CA17" s="108" t="s">
        <v>503</v>
      </c>
      <c r="CB17" s="108" t="s">
        <v>503</v>
      </c>
      <c r="CC17" s="108" t="s">
        <v>503</v>
      </c>
      <c r="CD17" s="108" t="s">
        <v>503</v>
      </c>
      <c r="CE17" s="108" t="s">
        <v>503</v>
      </c>
      <c r="CF17" s="108" t="s">
        <v>503</v>
      </c>
      <c r="CG17" s="108" t="s">
        <v>503</v>
      </c>
      <c r="CH17" s="108" t="s">
        <v>503</v>
      </c>
      <c r="CI17" s="108" t="s">
        <v>503</v>
      </c>
      <c r="CJ17" s="108" t="s">
        <v>503</v>
      </c>
      <c r="CK17" s="108" t="s">
        <v>503</v>
      </c>
      <c r="CL17" s="108" t="s">
        <v>503</v>
      </c>
      <c r="CM17" s="108" t="s">
        <v>503</v>
      </c>
      <c r="CN17" s="108" t="s">
        <v>503</v>
      </c>
      <c r="CO17" s="108" t="s">
        <v>503</v>
      </c>
      <c r="CP17" s="108" t="s">
        <v>503</v>
      </c>
      <c r="CQ17" s="108" t="s">
        <v>503</v>
      </c>
      <c r="CR17" s="108" t="s">
        <v>503</v>
      </c>
      <c r="CS17" s="108" t="s">
        <v>503</v>
      </c>
      <c r="CT17" s="108" t="s">
        <v>503</v>
      </c>
      <c r="CU17" s="108" t="s">
        <v>503</v>
      </c>
      <c r="CV17" s="108" t="s">
        <v>503</v>
      </c>
      <c r="CW17" s="108" t="s">
        <v>503</v>
      </c>
      <c r="CX17" s="108" t="s">
        <v>503</v>
      </c>
      <c r="CY17" s="108" t="s">
        <v>503</v>
      </c>
      <c r="CZ17" s="108" t="s">
        <v>503</v>
      </c>
      <c r="DA17" s="118" t="s">
        <v>502</v>
      </c>
      <c r="DB17" s="118" t="s">
        <v>502</v>
      </c>
      <c r="DC17" s="118" t="s">
        <v>502</v>
      </c>
      <c r="DD17" s="108" t="s">
        <v>503</v>
      </c>
      <c r="DE17" s="108" t="s">
        <v>503</v>
      </c>
      <c r="DF17" s="108" t="s">
        <v>503</v>
      </c>
      <c r="DG17" s="108" t="s">
        <v>503</v>
      </c>
      <c r="DH17" s="108" t="s">
        <v>503</v>
      </c>
      <c r="DI17" s="108" t="s">
        <v>503</v>
      </c>
      <c r="DJ17" s="108" t="s">
        <v>503</v>
      </c>
      <c r="DK17" s="108" t="s">
        <v>503</v>
      </c>
      <c r="DL17" s="108" t="s">
        <v>503</v>
      </c>
      <c r="DM17" s="108" t="s">
        <v>503</v>
      </c>
      <c r="DN17" s="108" t="s">
        <v>503</v>
      </c>
      <c r="DO17" s="108" t="s">
        <v>503</v>
      </c>
      <c r="DP17" s="108" t="s">
        <v>669</v>
      </c>
      <c r="DQ17" s="108" t="s">
        <v>669</v>
      </c>
      <c r="DR17" s="108" t="s">
        <v>669</v>
      </c>
      <c r="DS17" s="108" t="s">
        <v>669</v>
      </c>
      <c r="DT17" s="108" t="s">
        <v>669</v>
      </c>
      <c r="DU17" s="108" t="s">
        <v>669</v>
      </c>
      <c r="DV17" s="108" t="s">
        <v>503</v>
      </c>
      <c r="DW17" s="108" t="s">
        <v>503</v>
      </c>
      <c r="DX17" s="108" t="s">
        <v>503</v>
      </c>
      <c r="DY17" s="108" t="s">
        <v>503</v>
      </c>
      <c r="DZ17" s="108" t="s">
        <v>503</v>
      </c>
      <c r="EA17" s="108" t="s">
        <v>503</v>
      </c>
      <c r="EB17" s="108" t="s">
        <v>503</v>
      </c>
      <c r="EC17" s="108" t="s">
        <v>503</v>
      </c>
      <c r="ED17" s="108" t="s">
        <v>503</v>
      </c>
      <c r="EE17" s="108" t="s">
        <v>503</v>
      </c>
      <c r="EF17" s="108" t="s">
        <v>503</v>
      </c>
      <c r="EG17" s="108" t="s">
        <v>503</v>
      </c>
      <c r="EH17" s="108" t="s">
        <v>502</v>
      </c>
      <c r="EI17" s="108" t="s">
        <v>502</v>
      </c>
      <c r="EJ17" s="108" t="s">
        <v>502</v>
      </c>
      <c r="EK17" s="108" t="s">
        <v>503</v>
      </c>
      <c r="EL17" s="108" t="s">
        <v>503</v>
      </c>
      <c r="EM17" s="108" t="s">
        <v>503</v>
      </c>
      <c r="EN17" s="108" t="s">
        <v>503</v>
      </c>
      <c r="EO17" s="108" t="s">
        <v>503</v>
      </c>
      <c r="EP17" s="108" t="s">
        <v>503</v>
      </c>
      <c r="EQ17" s="108" t="s">
        <v>503</v>
      </c>
      <c r="ER17" s="108" t="s">
        <v>503</v>
      </c>
      <c r="ES17" s="108" t="s">
        <v>503</v>
      </c>
      <c r="ET17" s="108" t="s">
        <v>503</v>
      </c>
      <c r="EU17" s="108" t="s">
        <v>503</v>
      </c>
      <c r="EV17" s="108" t="s">
        <v>503</v>
      </c>
      <c r="EW17" s="108" t="s">
        <v>503</v>
      </c>
      <c r="EX17" s="108" t="s">
        <v>503</v>
      </c>
      <c r="EY17" s="108" t="s">
        <v>503</v>
      </c>
      <c r="EZ17" s="108" t="s">
        <v>503</v>
      </c>
      <c r="FA17" s="108" t="s">
        <v>503</v>
      </c>
      <c r="FB17" s="108" t="s">
        <v>503</v>
      </c>
      <c r="FC17" s="108" t="s">
        <v>503</v>
      </c>
      <c r="FD17" s="108" t="s">
        <v>503</v>
      </c>
      <c r="FE17" s="108" t="s">
        <v>503</v>
      </c>
      <c r="FF17" s="108" t="s">
        <v>503</v>
      </c>
      <c r="FG17" s="108" t="s">
        <v>503</v>
      </c>
      <c r="FH17" s="108" t="s">
        <v>503</v>
      </c>
      <c r="FI17" s="47">
        <v>8306000</v>
      </c>
      <c r="FJ17" s="47">
        <v>0</v>
      </c>
      <c r="FK17" s="47">
        <f>FI17+FJ17</f>
        <v>8306000</v>
      </c>
      <c r="FL17" s="108" t="s">
        <v>503</v>
      </c>
      <c r="FM17" s="108" t="s">
        <v>503</v>
      </c>
      <c r="FN17" s="108" t="s">
        <v>503</v>
      </c>
      <c r="FO17" s="108" t="s">
        <v>503</v>
      </c>
      <c r="FP17" s="108" t="s">
        <v>503</v>
      </c>
      <c r="FQ17" s="108" t="s">
        <v>503</v>
      </c>
      <c r="FR17" s="108" t="s">
        <v>503</v>
      </c>
      <c r="FS17" s="108" t="s">
        <v>503</v>
      </c>
      <c r="FT17" s="108" t="s">
        <v>503</v>
      </c>
      <c r="FU17" s="108" t="s">
        <v>503</v>
      </c>
      <c r="FV17" s="108" t="s">
        <v>503</v>
      </c>
      <c r="FW17" s="108" t="s">
        <v>503</v>
      </c>
      <c r="FX17" s="108" t="s">
        <v>503</v>
      </c>
      <c r="FY17" s="108" t="s">
        <v>503</v>
      </c>
      <c r="FZ17" s="108" t="s">
        <v>503</v>
      </c>
      <c r="GA17" s="108" t="s">
        <v>502</v>
      </c>
      <c r="GB17" s="108" t="s">
        <v>502</v>
      </c>
      <c r="GC17" s="108" t="s">
        <v>502</v>
      </c>
      <c r="GD17" s="108" t="s">
        <v>502</v>
      </c>
      <c r="GE17" s="108" t="s">
        <v>502</v>
      </c>
      <c r="GF17" s="108" t="s">
        <v>502</v>
      </c>
      <c r="GG17" s="108" t="s">
        <v>503</v>
      </c>
      <c r="GH17" s="108" t="s">
        <v>503</v>
      </c>
      <c r="GI17" s="108" t="s">
        <v>503</v>
      </c>
      <c r="GJ17" s="108" t="s">
        <v>503</v>
      </c>
      <c r="GK17" s="108" t="s">
        <v>503</v>
      </c>
      <c r="GL17" s="108" t="s">
        <v>503</v>
      </c>
      <c r="GM17" s="108" t="s">
        <v>503</v>
      </c>
      <c r="GN17" s="108" t="s">
        <v>503</v>
      </c>
      <c r="GO17" s="108" t="s">
        <v>503</v>
      </c>
      <c r="GP17" s="108" t="s">
        <v>664</v>
      </c>
      <c r="GQ17" s="108" t="s">
        <v>664</v>
      </c>
      <c r="GR17" s="108" t="s">
        <v>664</v>
      </c>
      <c r="GS17" s="108" t="s">
        <v>664</v>
      </c>
      <c r="GT17" s="108" t="s">
        <v>664</v>
      </c>
      <c r="GU17" s="108" t="s">
        <v>664</v>
      </c>
      <c r="GV17" s="108" t="s">
        <v>664</v>
      </c>
      <c r="GW17" s="108" t="s">
        <v>664</v>
      </c>
      <c r="GX17" s="108" t="s">
        <v>664</v>
      </c>
      <c r="GY17" s="108" t="s">
        <v>664</v>
      </c>
      <c r="GZ17" s="108" t="s">
        <v>664</v>
      </c>
      <c r="HA17" s="108" t="s">
        <v>664</v>
      </c>
      <c r="HB17" s="108" t="s">
        <v>664</v>
      </c>
      <c r="HC17" s="108" t="s">
        <v>664</v>
      </c>
      <c r="HD17" s="108" t="s">
        <v>664</v>
      </c>
      <c r="HE17" s="108" t="s">
        <v>664</v>
      </c>
      <c r="HF17" s="108" t="s">
        <v>664</v>
      </c>
      <c r="HG17" s="108" t="s">
        <v>664</v>
      </c>
      <c r="HH17" s="108" t="s">
        <v>664</v>
      </c>
      <c r="HI17" s="108" t="s">
        <v>664</v>
      </c>
      <c r="HJ17" s="108" t="s">
        <v>664</v>
      </c>
      <c r="HK17" s="108" t="s">
        <v>664</v>
      </c>
      <c r="HL17" s="108" t="s">
        <v>664</v>
      </c>
      <c r="HM17" s="108" t="s">
        <v>664</v>
      </c>
      <c r="HN17" s="108" t="s">
        <v>664</v>
      </c>
      <c r="HO17" s="108" t="s">
        <v>664</v>
      </c>
      <c r="HP17" s="108" t="s">
        <v>664</v>
      </c>
      <c r="HQ17" s="108" t="s">
        <v>502</v>
      </c>
      <c r="HR17" s="108" t="s">
        <v>502</v>
      </c>
      <c r="HS17" s="108" t="s">
        <v>502</v>
      </c>
      <c r="HT17" s="108" t="s">
        <v>503</v>
      </c>
      <c r="HU17" s="108" t="s">
        <v>503</v>
      </c>
      <c r="HV17" s="108" t="s">
        <v>503</v>
      </c>
      <c r="HW17" s="108" t="s">
        <v>503</v>
      </c>
      <c r="HX17" s="108" t="s">
        <v>503</v>
      </c>
      <c r="HY17" s="108" t="s">
        <v>503</v>
      </c>
      <c r="HZ17" s="108" t="s">
        <v>503</v>
      </c>
      <c r="IA17" s="108" t="s">
        <v>503</v>
      </c>
      <c r="IB17" s="108" t="s">
        <v>503</v>
      </c>
      <c r="IC17" s="108" t="s">
        <v>503</v>
      </c>
      <c r="ID17" s="108" t="s">
        <v>503</v>
      </c>
      <c r="IE17" s="108" t="s">
        <v>503</v>
      </c>
      <c r="IF17" s="108" t="s">
        <v>503</v>
      </c>
      <c r="IG17" s="108" t="s">
        <v>503</v>
      </c>
      <c r="IH17" s="108" t="s">
        <v>503</v>
      </c>
      <c r="II17" s="108" t="s">
        <v>503</v>
      </c>
      <c r="IJ17" s="108" t="s">
        <v>503</v>
      </c>
      <c r="IK17" s="108" t="s">
        <v>503</v>
      </c>
      <c r="IL17" s="108" t="s">
        <v>503</v>
      </c>
      <c r="IM17" s="108" t="s">
        <v>503</v>
      </c>
      <c r="IN17" s="108" t="s">
        <v>503</v>
      </c>
      <c r="IO17" s="120" t="s">
        <v>503</v>
      </c>
      <c r="IP17" s="120" t="s">
        <v>503</v>
      </c>
      <c r="IQ17" s="120" t="s">
        <v>503</v>
      </c>
      <c r="IR17" s="120" t="s">
        <v>664</v>
      </c>
      <c r="IS17" s="120" t="s">
        <v>664</v>
      </c>
      <c r="IT17" s="120" t="s">
        <v>664</v>
      </c>
      <c r="IU17" s="120" t="s">
        <v>503</v>
      </c>
      <c r="IV17" s="120" t="s">
        <v>503</v>
      </c>
      <c r="IW17" s="120" t="s">
        <v>503</v>
      </c>
      <c r="IX17" s="120" t="s">
        <v>503</v>
      </c>
      <c r="IY17" s="120" t="s">
        <v>503</v>
      </c>
      <c r="IZ17" s="120" t="s">
        <v>503</v>
      </c>
      <c r="JA17" s="136">
        <v>5205457</v>
      </c>
      <c r="JB17" s="136">
        <f>+JA17*0%</f>
        <v>0</v>
      </c>
      <c r="JC17" s="136">
        <f>+JA17+JB17</f>
        <v>5205457</v>
      </c>
      <c r="JD17" s="120" t="s">
        <v>664</v>
      </c>
      <c r="JE17" s="120" t="s">
        <v>664</v>
      </c>
      <c r="JF17" s="120" t="s">
        <v>664</v>
      </c>
      <c r="JG17" s="120" t="s">
        <v>664</v>
      </c>
      <c r="JH17" s="120" t="s">
        <v>664</v>
      </c>
      <c r="JI17" s="120" t="s">
        <v>664</v>
      </c>
      <c r="JJ17" s="120" t="s">
        <v>664</v>
      </c>
      <c r="JK17" s="120" t="s">
        <v>664</v>
      </c>
      <c r="JL17" s="120" t="s">
        <v>664</v>
      </c>
      <c r="JM17" s="120" t="s">
        <v>664</v>
      </c>
      <c r="JN17" s="120" t="s">
        <v>664</v>
      </c>
      <c r="JO17" s="120" t="s">
        <v>664</v>
      </c>
      <c r="JP17" s="110"/>
      <c r="JQ17" s="111">
        <v>5205457</v>
      </c>
      <c r="JR17" s="112">
        <f t="shared" si="0"/>
        <v>2</v>
      </c>
      <c r="JS17" s="113">
        <f t="shared" si="1"/>
        <v>6755728.5</v>
      </c>
      <c r="JT17" s="114">
        <f t="shared" si="2"/>
        <v>6755750</v>
      </c>
      <c r="JU17" s="84"/>
    </row>
    <row r="18" spans="1:281" ht="101.25" customHeight="1" x14ac:dyDescent="0.2">
      <c r="A18" s="98">
        <v>52</v>
      </c>
      <c r="B18" s="99">
        <v>52</v>
      </c>
      <c r="C18" s="39" t="s">
        <v>11</v>
      </c>
      <c r="D18" s="139" t="s">
        <v>18</v>
      </c>
      <c r="E18" s="39">
        <v>25101900</v>
      </c>
      <c r="F18" s="135" t="s">
        <v>172</v>
      </c>
      <c r="G18" s="102" t="s">
        <v>51</v>
      </c>
      <c r="H18" s="103" t="s">
        <v>501</v>
      </c>
      <c r="I18" s="108" t="s">
        <v>503</v>
      </c>
      <c r="J18" s="108" t="s">
        <v>503</v>
      </c>
      <c r="K18" s="108" t="s">
        <v>503</v>
      </c>
      <c r="L18" s="108" t="s">
        <v>503</v>
      </c>
      <c r="M18" s="108" t="s">
        <v>503</v>
      </c>
      <c r="N18" s="108" t="s">
        <v>503</v>
      </c>
      <c r="O18" s="71">
        <v>620000</v>
      </c>
      <c r="P18" s="117">
        <v>0</v>
      </c>
      <c r="Q18" s="71">
        <f>+O18+P18</f>
        <v>620000</v>
      </c>
      <c r="R18" s="108" t="s">
        <v>503</v>
      </c>
      <c r="S18" s="108" t="s">
        <v>503</v>
      </c>
      <c r="T18" s="108" t="s">
        <v>503</v>
      </c>
      <c r="U18" s="108" t="s">
        <v>503</v>
      </c>
      <c r="V18" s="108" t="s">
        <v>503</v>
      </c>
      <c r="W18" s="108" t="s">
        <v>503</v>
      </c>
      <c r="X18" s="108" t="s">
        <v>503</v>
      </c>
      <c r="Y18" s="108" t="s">
        <v>503</v>
      </c>
      <c r="Z18" s="108" t="s">
        <v>503</v>
      </c>
      <c r="AA18" s="108" t="s">
        <v>503</v>
      </c>
      <c r="AB18" s="108" t="s">
        <v>503</v>
      </c>
      <c r="AC18" s="108" t="s">
        <v>503</v>
      </c>
      <c r="AD18" s="108" t="s">
        <v>503</v>
      </c>
      <c r="AE18" s="108" t="s">
        <v>503</v>
      </c>
      <c r="AF18" s="108" t="s">
        <v>503</v>
      </c>
      <c r="AG18" s="108" t="s">
        <v>503</v>
      </c>
      <c r="AH18" s="108" t="s">
        <v>503</v>
      </c>
      <c r="AI18" s="108" t="s">
        <v>503</v>
      </c>
      <c r="AJ18" s="108" t="s">
        <v>503</v>
      </c>
      <c r="AK18" s="108" t="s">
        <v>503</v>
      </c>
      <c r="AL18" s="108" t="s">
        <v>503</v>
      </c>
      <c r="AM18" s="108" t="s">
        <v>503</v>
      </c>
      <c r="AN18" s="108" t="s">
        <v>503</v>
      </c>
      <c r="AO18" s="108" t="s">
        <v>503</v>
      </c>
      <c r="AP18" s="108" t="s">
        <v>503</v>
      </c>
      <c r="AQ18" s="108" t="s">
        <v>503</v>
      </c>
      <c r="AR18" s="108" t="s">
        <v>503</v>
      </c>
      <c r="AS18" s="108" t="s">
        <v>503</v>
      </c>
      <c r="AT18" s="108" t="s">
        <v>503</v>
      </c>
      <c r="AU18" s="108" t="s">
        <v>503</v>
      </c>
      <c r="AV18" s="71">
        <v>650000</v>
      </c>
      <c r="AW18" s="117">
        <f>+AV18*0%</f>
        <v>0</v>
      </c>
      <c r="AX18" s="71">
        <f>+AV18+AW18</f>
        <v>650000</v>
      </c>
      <c r="AY18" s="125" t="s">
        <v>502</v>
      </c>
      <c r="AZ18" s="125" t="s">
        <v>502</v>
      </c>
      <c r="BA18" s="125" t="s">
        <v>502</v>
      </c>
      <c r="BB18" s="108" t="s">
        <v>503</v>
      </c>
      <c r="BC18" s="108" t="s">
        <v>503</v>
      </c>
      <c r="BD18" s="108" t="s">
        <v>503</v>
      </c>
      <c r="BE18" s="108" t="s">
        <v>503</v>
      </c>
      <c r="BF18" s="108" t="s">
        <v>503</v>
      </c>
      <c r="BG18" s="108" t="s">
        <v>503</v>
      </c>
      <c r="BH18" s="108" t="s">
        <v>503</v>
      </c>
      <c r="BI18" s="108" t="s">
        <v>503</v>
      </c>
      <c r="BJ18" s="108" t="s">
        <v>503</v>
      </c>
      <c r="BK18" s="108" t="s">
        <v>503</v>
      </c>
      <c r="BL18" s="108" t="s">
        <v>503</v>
      </c>
      <c r="BM18" s="108" t="s">
        <v>503</v>
      </c>
      <c r="BN18" s="108" t="s">
        <v>503</v>
      </c>
      <c r="BO18" s="108" t="s">
        <v>503</v>
      </c>
      <c r="BP18" s="108" t="s">
        <v>503</v>
      </c>
      <c r="BQ18" s="108" t="s">
        <v>503</v>
      </c>
      <c r="BR18" s="108" t="s">
        <v>503</v>
      </c>
      <c r="BS18" s="108" t="s">
        <v>503</v>
      </c>
      <c r="BT18" s="108" t="s">
        <v>503</v>
      </c>
      <c r="BU18" s="108" t="s">
        <v>503</v>
      </c>
      <c r="BV18" s="108" t="s">
        <v>503</v>
      </c>
      <c r="BW18" s="108" t="s">
        <v>503</v>
      </c>
      <c r="BX18" s="108" t="s">
        <v>503</v>
      </c>
      <c r="BY18" s="108" t="s">
        <v>503</v>
      </c>
      <c r="BZ18" s="108" t="s">
        <v>503</v>
      </c>
      <c r="CA18" s="108" t="s">
        <v>503</v>
      </c>
      <c r="CB18" s="108" t="s">
        <v>503</v>
      </c>
      <c r="CC18" s="108" t="s">
        <v>503</v>
      </c>
      <c r="CD18" s="108" t="s">
        <v>503</v>
      </c>
      <c r="CE18" s="108" t="s">
        <v>503</v>
      </c>
      <c r="CF18" s="108" t="s">
        <v>503</v>
      </c>
      <c r="CG18" s="108" t="s">
        <v>503</v>
      </c>
      <c r="CH18" s="108" t="s">
        <v>503</v>
      </c>
      <c r="CI18" s="108" t="s">
        <v>503</v>
      </c>
      <c r="CJ18" s="108" t="s">
        <v>503</v>
      </c>
      <c r="CK18" s="108" t="s">
        <v>503</v>
      </c>
      <c r="CL18" s="108" t="s">
        <v>503</v>
      </c>
      <c r="CM18" s="108" t="s">
        <v>503</v>
      </c>
      <c r="CN18" s="108" t="s">
        <v>503</v>
      </c>
      <c r="CO18" s="108" t="s">
        <v>503</v>
      </c>
      <c r="CP18" s="108" t="s">
        <v>503</v>
      </c>
      <c r="CQ18" s="108" t="s">
        <v>503</v>
      </c>
      <c r="CR18" s="108" t="s">
        <v>503</v>
      </c>
      <c r="CS18" s="108" t="s">
        <v>503</v>
      </c>
      <c r="CT18" s="108" t="s">
        <v>503</v>
      </c>
      <c r="CU18" s="108" t="s">
        <v>503</v>
      </c>
      <c r="CV18" s="108" t="s">
        <v>503</v>
      </c>
      <c r="CW18" s="108" t="s">
        <v>503</v>
      </c>
      <c r="CX18" s="108" t="s">
        <v>503</v>
      </c>
      <c r="CY18" s="108" t="s">
        <v>503</v>
      </c>
      <c r="CZ18" s="108" t="s">
        <v>503</v>
      </c>
      <c r="DA18" s="137">
        <v>640000</v>
      </c>
      <c r="DB18" s="144">
        <f>+DA18*0%</f>
        <v>0</v>
      </c>
      <c r="DC18" s="144">
        <f>+DA18+DB18</f>
        <v>640000</v>
      </c>
      <c r="DD18" s="108" t="s">
        <v>503</v>
      </c>
      <c r="DE18" s="108" t="s">
        <v>503</v>
      </c>
      <c r="DF18" s="108" t="s">
        <v>503</v>
      </c>
      <c r="DG18" s="108" t="s">
        <v>503</v>
      </c>
      <c r="DH18" s="108" t="s">
        <v>503</v>
      </c>
      <c r="DI18" s="108" t="s">
        <v>503</v>
      </c>
      <c r="DJ18" s="108" t="s">
        <v>503</v>
      </c>
      <c r="DK18" s="108" t="s">
        <v>503</v>
      </c>
      <c r="DL18" s="108" t="s">
        <v>503</v>
      </c>
      <c r="DM18" s="108" t="s">
        <v>503</v>
      </c>
      <c r="DN18" s="108" t="s">
        <v>503</v>
      </c>
      <c r="DO18" s="108" t="s">
        <v>503</v>
      </c>
      <c r="DP18" s="108" t="s">
        <v>669</v>
      </c>
      <c r="DQ18" s="108" t="s">
        <v>669</v>
      </c>
      <c r="DR18" s="108" t="s">
        <v>669</v>
      </c>
      <c r="DS18" s="108" t="s">
        <v>669</v>
      </c>
      <c r="DT18" s="108" t="s">
        <v>669</v>
      </c>
      <c r="DU18" s="108" t="s">
        <v>669</v>
      </c>
      <c r="DV18" s="108" t="s">
        <v>503</v>
      </c>
      <c r="DW18" s="108" t="s">
        <v>503</v>
      </c>
      <c r="DX18" s="108" t="s">
        <v>503</v>
      </c>
      <c r="DY18" s="108" t="s">
        <v>503</v>
      </c>
      <c r="DZ18" s="108" t="s">
        <v>503</v>
      </c>
      <c r="EA18" s="108" t="s">
        <v>503</v>
      </c>
      <c r="EB18" s="108" t="s">
        <v>503</v>
      </c>
      <c r="EC18" s="108" t="s">
        <v>503</v>
      </c>
      <c r="ED18" s="108" t="s">
        <v>503</v>
      </c>
      <c r="EE18" s="108" t="s">
        <v>503</v>
      </c>
      <c r="EF18" s="108" t="s">
        <v>503</v>
      </c>
      <c r="EG18" s="108" t="s">
        <v>503</v>
      </c>
      <c r="EH18" s="108" t="s">
        <v>502</v>
      </c>
      <c r="EI18" s="108" t="s">
        <v>502</v>
      </c>
      <c r="EJ18" s="108" t="s">
        <v>502</v>
      </c>
      <c r="EK18" s="108" t="s">
        <v>503</v>
      </c>
      <c r="EL18" s="108" t="s">
        <v>503</v>
      </c>
      <c r="EM18" s="108" t="s">
        <v>503</v>
      </c>
      <c r="EN18" s="108" t="s">
        <v>503</v>
      </c>
      <c r="EO18" s="108" t="s">
        <v>503</v>
      </c>
      <c r="EP18" s="108" t="s">
        <v>503</v>
      </c>
      <c r="EQ18" s="108" t="s">
        <v>503</v>
      </c>
      <c r="ER18" s="108" t="s">
        <v>503</v>
      </c>
      <c r="ES18" s="108" t="s">
        <v>503</v>
      </c>
      <c r="ET18" s="108" t="s">
        <v>503</v>
      </c>
      <c r="EU18" s="108" t="s">
        <v>503</v>
      </c>
      <c r="EV18" s="108" t="s">
        <v>503</v>
      </c>
      <c r="EW18" s="108" t="s">
        <v>503</v>
      </c>
      <c r="EX18" s="108" t="s">
        <v>503</v>
      </c>
      <c r="EY18" s="108" t="s">
        <v>503</v>
      </c>
      <c r="EZ18" s="108" t="s">
        <v>503</v>
      </c>
      <c r="FA18" s="108" t="s">
        <v>503</v>
      </c>
      <c r="FB18" s="108" t="s">
        <v>503</v>
      </c>
      <c r="FC18" s="108" t="s">
        <v>503</v>
      </c>
      <c r="FD18" s="108" t="s">
        <v>503</v>
      </c>
      <c r="FE18" s="108" t="s">
        <v>503</v>
      </c>
      <c r="FF18" s="108" t="s">
        <v>503</v>
      </c>
      <c r="FG18" s="108" t="s">
        <v>503</v>
      </c>
      <c r="FH18" s="108" t="s">
        <v>503</v>
      </c>
      <c r="FI18" s="108" t="s">
        <v>503</v>
      </c>
      <c r="FJ18" s="108" t="s">
        <v>503</v>
      </c>
      <c r="FK18" s="108" t="s">
        <v>503</v>
      </c>
      <c r="FL18" s="108" t="s">
        <v>503</v>
      </c>
      <c r="FM18" s="108" t="s">
        <v>503</v>
      </c>
      <c r="FN18" s="108" t="s">
        <v>503</v>
      </c>
      <c r="FO18" s="108" t="s">
        <v>503</v>
      </c>
      <c r="FP18" s="108" t="s">
        <v>503</v>
      </c>
      <c r="FQ18" s="108" t="s">
        <v>503</v>
      </c>
      <c r="FR18" s="108" t="s">
        <v>503</v>
      </c>
      <c r="FS18" s="108" t="s">
        <v>503</v>
      </c>
      <c r="FT18" s="108" t="s">
        <v>503</v>
      </c>
      <c r="FU18" s="108" t="s">
        <v>503</v>
      </c>
      <c r="FV18" s="108" t="s">
        <v>503</v>
      </c>
      <c r="FW18" s="108" t="s">
        <v>503</v>
      </c>
      <c r="FX18" s="108" t="s">
        <v>503</v>
      </c>
      <c r="FY18" s="108" t="s">
        <v>503</v>
      </c>
      <c r="FZ18" s="108" t="s">
        <v>503</v>
      </c>
      <c r="GA18" s="108" t="s">
        <v>502</v>
      </c>
      <c r="GB18" s="108" t="s">
        <v>502</v>
      </c>
      <c r="GC18" s="108" t="s">
        <v>502</v>
      </c>
      <c r="GD18" s="108" t="s">
        <v>502</v>
      </c>
      <c r="GE18" s="108" t="s">
        <v>502</v>
      </c>
      <c r="GF18" s="108" t="s">
        <v>502</v>
      </c>
      <c r="GG18" s="108" t="s">
        <v>503</v>
      </c>
      <c r="GH18" s="108" t="s">
        <v>503</v>
      </c>
      <c r="GI18" s="108" t="s">
        <v>503</v>
      </c>
      <c r="GJ18" s="108" t="s">
        <v>503</v>
      </c>
      <c r="GK18" s="108" t="s">
        <v>503</v>
      </c>
      <c r="GL18" s="108" t="s">
        <v>503</v>
      </c>
      <c r="GM18" s="108" t="s">
        <v>503</v>
      </c>
      <c r="GN18" s="108" t="s">
        <v>503</v>
      </c>
      <c r="GO18" s="108" t="s">
        <v>503</v>
      </c>
      <c r="GP18" s="108" t="s">
        <v>664</v>
      </c>
      <c r="GQ18" s="108" t="s">
        <v>664</v>
      </c>
      <c r="GR18" s="108" t="s">
        <v>664</v>
      </c>
      <c r="GS18" s="108" t="s">
        <v>664</v>
      </c>
      <c r="GT18" s="108" t="s">
        <v>664</v>
      </c>
      <c r="GU18" s="108" t="s">
        <v>664</v>
      </c>
      <c r="GV18" s="108" t="s">
        <v>664</v>
      </c>
      <c r="GW18" s="108" t="s">
        <v>664</v>
      </c>
      <c r="GX18" s="108" t="s">
        <v>664</v>
      </c>
      <c r="GY18" s="108" t="s">
        <v>664</v>
      </c>
      <c r="GZ18" s="108" t="s">
        <v>664</v>
      </c>
      <c r="HA18" s="108" t="s">
        <v>664</v>
      </c>
      <c r="HB18" s="108" t="s">
        <v>664</v>
      </c>
      <c r="HC18" s="108" t="s">
        <v>664</v>
      </c>
      <c r="HD18" s="108" t="s">
        <v>664</v>
      </c>
      <c r="HE18" s="108" t="s">
        <v>664</v>
      </c>
      <c r="HF18" s="108" t="s">
        <v>664</v>
      </c>
      <c r="HG18" s="108" t="s">
        <v>664</v>
      </c>
      <c r="HH18" s="108" t="s">
        <v>664</v>
      </c>
      <c r="HI18" s="108" t="s">
        <v>664</v>
      </c>
      <c r="HJ18" s="108" t="s">
        <v>664</v>
      </c>
      <c r="HK18" s="108" t="s">
        <v>664</v>
      </c>
      <c r="HL18" s="108" t="s">
        <v>664</v>
      </c>
      <c r="HM18" s="108" t="s">
        <v>664</v>
      </c>
      <c r="HN18" s="108" t="s">
        <v>664</v>
      </c>
      <c r="HO18" s="108" t="s">
        <v>664</v>
      </c>
      <c r="HP18" s="108" t="s">
        <v>664</v>
      </c>
      <c r="HQ18" s="108" t="s">
        <v>502</v>
      </c>
      <c r="HR18" s="108" t="s">
        <v>502</v>
      </c>
      <c r="HS18" s="108" t="s">
        <v>502</v>
      </c>
      <c r="HT18" s="108" t="s">
        <v>503</v>
      </c>
      <c r="HU18" s="108" t="s">
        <v>503</v>
      </c>
      <c r="HV18" s="108" t="s">
        <v>503</v>
      </c>
      <c r="HW18" s="108" t="s">
        <v>503</v>
      </c>
      <c r="HX18" s="108" t="s">
        <v>503</v>
      </c>
      <c r="HY18" s="108" t="s">
        <v>503</v>
      </c>
      <c r="HZ18" s="108" t="s">
        <v>503</v>
      </c>
      <c r="IA18" s="108" t="s">
        <v>503</v>
      </c>
      <c r="IB18" s="108" t="s">
        <v>503</v>
      </c>
      <c r="IC18" s="108" t="s">
        <v>503</v>
      </c>
      <c r="ID18" s="108" t="s">
        <v>503</v>
      </c>
      <c r="IE18" s="108" t="s">
        <v>503</v>
      </c>
      <c r="IF18" s="108" t="s">
        <v>503</v>
      </c>
      <c r="IG18" s="108" t="s">
        <v>503</v>
      </c>
      <c r="IH18" s="108" t="s">
        <v>503</v>
      </c>
      <c r="II18" s="108" t="s">
        <v>503</v>
      </c>
      <c r="IJ18" s="108" t="s">
        <v>503</v>
      </c>
      <c r="IK18" s="108" t="s">
        <v>503</v>
      </c>
      <c r="IL18" s="108" t="s">
        <v>503</v>
      </c>
      <c r="IM18" s="108" t="s">
        <v>503</v>
      </c>
      <c r="IN18" s="108" t="s">
        <v>503</v>
      </c>
      <c r="IO18" s="120" t="s">
        <v>503</v>
      </c>
      <c r="IP18" s="120" t="s">
        <v>503</v>
      </c>
      <c r="IQ18" s="120" t="s">
        <v>503</v>
      </c>
      <c r="IR18" s="120" t="s">
        <v>664</v>
      </c>
      <c r="IS18" s="120" t="s">
        <v>664</v>
      </c>
      <c r="IT18" s="120" t="s">
        <v>664</v>
      </c>
      <c r="IU18" s="120" t="s">
        <v>503</v>
      </c>
      <c r="IV18" s="120" t="s">
        <v>503</v>
      </c>
      <c r="IW18" s="120" t="s">
        <v>503</v>
      </c>
      <c r="IX18" s="120" t="s">
        <v>503</v>
      </c>
      <c r="IY18" s="120" t="s">
        <v>503</v>
      </c>
      <c r="IZ18" s="120" t="s">
        <v>503</v>
      </c>
      <c r="JA18" s="120" t="s">
        <v>503</v>
      </c>
      <c r="JB18" s="120" t="s">
        <v>503</v>
      </c>
      <c r="JC18" s="120" t="s">
        <v>503</v>
      </c>
      <c r="JD18" s="120" t="s">
        <v>664</v>
      </c>
      <c r="JE18" s="120" t="s">
        <v>664</v>
      </c>
      <c r="JF18" s="120" t="s">
        <v>664</v>
      </c>
      <c r="JG18" s="120" t="s">
        <v>664</v>
      </c>
      <c r="JH18" s="120" t="s">
        <v>664</v>
      </c>
      <c r="JI18" s="120" t="s">
        <v>664</v>
      </c>
      <c r="JJ18" s="120" t="s">
        <v>664</v>
      </c>
      <c r="JK18" s="120" t="s">
        <v>664</v>
      </c>
      <c r="JL18" s="120" t="s">
        <v>664</v>
      </c>
      <c r="JM18" s="120" t="s">
        <v>664</v>
      </c>
      <c r="JN18" s="120" t="s">
        <v>664</v>
      </c>
      <c r="JO18" s="120" t="s">
        <v>664</v>
      </c>
      <c r="JP18" s="110"/>
      <c r="JQ18" s="111">
        <v>0</v>
      </c>
      <c r="JR18" s="112">
        <f t="shared" si="0"/>
        <v>3</v>
      </c>
      <c r="JS18" s="113">
        <f t="shared" si="1"/>
        <v>636666.66666666663</v>
      </c>
      <c r="JT18" s="114">
        <f t="shared" si="2"/>
        <v>636700</v>
      </c>
      <c r="JU18" s="84"/>
    </row>
    <row r="19" spans="1:281" ht="108.75" customHeight="1" x14ac:dyDescent="0.2">
      <c r="A19" s="98">
        <v>53</v>
      </c>
      <c r="B19" s="99">
        <v>53</v>
      </c>
      <c r="C19" s="39" t="s">
        <v>11</v>
      </c>
      <c r="D19" s="100" t="s">
        <v>19</v>
      </c>
      <c r="E19" s="39">
        <v>25101900</v>
      </c>
      <c r="F19" s="135" t="s">
        <v>173</v>
      </c>
      <c r="G19" s="102" t="s">
        <v>51</v>
      </c>
      <c r="H19" s="103" t="s">
        <v>501</v>
      </c>
      <c r="I19" s="108" t="s">
        <v>503</v>
      </c>
      <c r="J19" s="108" t="s">
        <v>503</v>
      </c>
      <c r="K19" s="108" t="s">
        <v>503</v>
      </c>
      <c r="L19" s="108" t="s">
        <v>503</v>
      </c>
      <c r="M19" s="108" t="s">
        <v>503</v>
      </c>
      <c r="N19" s="108" t="s">
        <v>503</v>
      </c>
      <c r="O19" s="118" t="s">
        <v>502</v>
      </c>
      <c r="P19" s="118" t="s">
        <v>502</v>
      </c>
      <c r="Q19" s="118" t="s">
        <v>502</v>
      </c>
      <c r="R19" s="108" t="s">
        <v>503</v>
      </c>
      <c r="S19" s="108" t="s">
        <v>503</v>
      </c>
      <c r="T19" s="108" t="s">
        <v>503</v>
      </c>
      <c r="U19" s="108" t="s">
        <v>503</v>
      </c>
      <c r="V19" s="108" t="s">
        <v>503</v>
      </c>
      <c r="W19" s="108" t="s">
        <v>503</v>
      </c>
      <c r="X19" s="108" t="s">
        <v>503</v>
      </c>
      <c r="Y19" s="108" t="s">
        <v>503</v>
      </c>
      <c r="Z19" s="108" t="s">
        <v>503</v>
      </c>
      <c r="AA19" s="108" t="s">
        <v>503</v>
      </c>
      <c r="AB19" s="108" t="s">
        <v>503</v>
      </c>
      <c r="AC19" s="108" t="s">
        <v>503</v>
      </c>
      <c r="AD19" s="108" t="s">
        <v>503</v>
      </c>
      <c r="AE19" s="108" t="s">
        <v>503</v>
      </c>
      <c r="AF19" s="108" t="s">
        <v>503</v>
      </c>
      <c r="AG19" s="108" t="s">
        <v>503</v>
      </c>
      <c r="AH19" s="108" t="s">
        <v>503</v>
      </c>
      <c r="AI19" s="108" t="s">
        <v>503</v>
      </c>
      <c r="AJ19" s="108" t="s">
        <v>503</v>
      </c>
      <c r="AK19" s="108" t="s">
        <v>503</v>
      </c>
      <c r="AL19" s="108" t="s">
        <v>503</v>
      </c>
      <c r="AM19" s="108" t="s">
        <v>503</v>
      </c>
      <c r="AN19" s="108" t="s">
        <v>503</v>
      </c>
      <c r="AO19" s="108" t="s">
        <v>503</v>
      </c>
      <c r="AP19" s="108" t="s">
        <v>503</v>
      </c>
      <c r="AQ19" s="108" t="s">
        <v>503</v>
      </c>
      <c r="AR19" s="108" t="s">
        <v>503</v>
      </c>
      <c r="AS19" s="108" t="s">
        <v>503</v>
      </c>
      <c r="AT19" s="108" t="s">
        <v>503</v>
      </c>
      <c r="AU19" s="108" t="s">
        <v>503</v>
      </c>
      <c r="AV19" s="118">
        <v>1700000</v>
      </c>
      <c r="AW19" s="119">
        <f>+AV19*0%</f>
        <v>0</v>
      </c>
      <c r="AX19" s="118">
        <f>+AV19+AW19</f>
        <v>1700000</v>
      </c>
      <c r="AY19" s="118" t="s">
        <v>502</v>
      </c>
      <c r="AZ19" s="118" t="s">
        <v>502</v>
      </c>
      <c r="BA19" s="118" t="s">
        <v>502</v>
      </c>
      <c r="BB19" s="118">
        <v>1800000</v>
      </c>
      <c r="BC19" s="119">
        <f t="shared" si="5"/>
        <v>0</v>
      </c>
      <c r="BD19" s="118">
        <f t="shared" si="6"/>
        <v>1800000</v>
      </c>
      <c r="BE19" s="108" t="s">
        <v>503</v>
      </c>
      <c r="BF19" s="108" t="s">
        <v>503</v>
      </c>
      <c r="BG19" s="108" t="s">
        <v>503</v>
      </c>
      <c r="BH19" s="108" t="s">
        <v>503</v>
      </c>
      <c r="BI19" s="108" t="s">
        <v>503</v>
      </c>
      <c r="BJ19" s="108" t="s">
        <v>503</v>
      </c>
      <c r="BK19" s="108" t="s">
        <v>503</v>
      </c>
      <c r="BL19" s="108" t="s">
        <v>503</v>
      </c>
      <c r="BM19" s="108" t="s">
        <v>503</v>
      </c>
      <c r="BN19" s="108" t="s">
        <v>503</v>
      </c>
      <c r="BO19" s="108" t="s">
        <v>503</v>
      </c>
      <c r="BP19" s="108" t="s">
        <v>503</v>
      </c>
      <c r="BQ19" s="108" t="s">
        <v>503</v>
      </c>
      <c r="BR19" s="108" t="s">
        <v>503</v>
      </c>
      <c r="BS19" s="108" t="s">
        <v>503</v>
      </c>
      <c r="BT19" s="108" t="s">
        <v>503</v>
      </c>
      <c r="BU19" s="108" t="s">
        <v>503</v>
      </c>
      <c r="BV19" s="108" t="s">
        <v>503</v>
      </c>
      <c r="BW19" s="108" t="s">
        <v>503</v>
      </c>
      <c r="BX19" s="108" t="s">
        <v>503</v>
      </c>
      <c r="BY19" s="108" t="s">
        <v>503</v>
      </c>
      <c r="BZ19" s="108" t="s">
        <v>503</v>
      </c>
      <c r="CA19" s="108" t="s">
        <v>503</v>
      </c>
      <c r="CB19" s="108" t="s">
        <v>503</v>
      </c>
      <c r="CC19" s="108" t="s">
        <v>503</v>
      </c>
      <c r="CD19" s="108" t="s">
        <v>503</v>
      </c>
      <c r="CE19" s="108" t="s">
        <v>503</v>
      </c>
      <c r="CF19" s="108" t="s">
        <v>503</v>
      </c>
      <c r="CG19" s="108" t="s">
        <v>503</v>
      </c>
      <c r="CH19" s="108" t="s">
        <v>503</v>
      </c>
      <c r="CI19" s="108" t="s">
        <v>503</v>
      </c>
      <c r="CJ19" s="108" t="s">
        <v>503</v>
      </c>
      <c r="CK19" s="108" t="s">
        <v>503</v>
      </c>
      <c r="CL19" s="108" t="s">
        <v>503</v>
      </c>
      <c r="CM19" s="108" t="s">
        <v>503</v>
      </c>
      <c r="CN19" s="108" t="s">
        <v>503</v>
      </c>
      <c r="CO19" s="108" t="s">
        <v>503</v>
      </c>
      <c r="CP19" s="108" t="s">
        <v>503</v>
      </c>
      <c r="CQ19" s="108" t="s">
        <v>503</v>
      </c>
      <c r="CR19" s="108" t="s">
        <v>503</v>
      </c>
      <c r="CS19" s="108" t="s">
        <v>503</v>
      </c>
      <c r="CT19" s="108" t="s">
        <v>503</v>
      </c>
      <c r="CU19" s="108" t="s">
        <v>503</v>
      </c>
      <c r="CV19" s="108" t="s">
        <v>503</v>
      </c>
      <c r="CW19" s="108" t="s">
        <v>503</v>
      </c>
      <c r="CX19" s="108" t="s">
        <v>503</v>
      </c>
      <c r="CY19" s="108" t="s">
        <v>503</v>
      </c>
      <c r="CZ19" s="108" t="s">
        <v>503</v>
      </c>
      <c r="DA19" s="118" t="s">
        <v>502</v>
      </c>
      <c r="DB19" s="118" t="s">
        <v>502</v>
      </c>
      <c r="DC19" s="118" t="s">
        <v>502</v>
      </c>
      <c r="DD19" s="108" t="s">
        <v>503</v>
      </c>
      <c r="DE19" s="108" t="s">
        <v>503</v>
      </c>
      <c r="DF19" s="108" t="s">
        <v>503</v>
      </c>
      <c r="DG19" s="108" t="s">
        <v>503</v>
      </c>
      <c r="DH19" s="108" t="s">
        <v>503</v>
      </c>
      <c r="DI19" s="108" t="s">
        <v>503</v>
      </c>
      <c r="DJ19" s="108" t="s">
        <v>503</v>
      </c>
      <c r="DK19" s="108" t="s">
        <v>503</v>
      </c>
      <c r="DL19" s="108" t="s">
        <v>503</v>
      </c>
      <c r="DM19" s="108" t="s">
        <v>503</v>
      </c>
      <c r="DN19" s="108" t="s">
        <v>503</v>
      </c>
      <c r="DO19" s="108" t="s">
        <v>503</v>
      </c>
      <c r="DP19" s="108" t="s">
        <v>669</v>
      </c>
      <c r="DQ19" s="108" t="s">
        <v>669</v>
      </c>
      <c r="DR19" s="108" t="s">
        <v>669</v>
      </c>
      <c r="DS19" s="108" t="s">
        <v>669</v>
      </c>
      <c r="DT19" s="108" t="s">
        <v>669</v>
      </c>
      <c r="DU19" s="108" t="s">
        <v>669</v>
      </c>
      <c r="DV19" s="118">
        <v>1700000</v>
      </c>
      <c r="DW19" s="119">
        <f>+DV19*0%</f>
        <v>0</v>
      </c>
      <c r="DX19" s="118">
        <f>+DV19+DW19</f>
        <v>1700000</v>
      </c>
      <c r="DY19" s="108" t="s">
        <v>503</v>
      </c>
      <c r="DZ19" s="108" t="s">
        <v>503</v>
      </c>
      <c r="EA19" s="108" t="s">
        <v>503</v>
      </c>
      <c r="EB19" s="108" t="s">
        <v>503</v>
      </c>
      <c r="EC19" s="108" t="s">
        <v>503</v>
      </c>
      <c r="ED19" s="108" t="s">
        <v>503</v>
      </c>
      <c r="EE19" s="108" t="s">
        <v>503</v>
      </c>
      <c r="EF19" s="108" t="s">
        <v>503</v>
      </c>
      <c r="EG19" s="108" t="s">
        <v>503</v>
      </c>
      <c r="EH19" s="108" t="s">
        <v>502</v>
      </c>
      <c r="EI19" s="108" t="s">
        <v>502</v>
      </c>
      <c r="EJ19" s="108" t="s">
        <v>502</v>
      </c>
      <c r="EK19" s="108" t="s">
        <v>503</v>
      </c>
      <c r="EL19" s="108" t="s">
        <v>503</v>
      </c>
      <c r="EM19" s="108" t="s">
        <v>503</v>
      </c>
      <c r="EN19" s="108" t="s">
        <v>503</v>
      </c>
      <c r="EO19" s="108" t="s">
        <v>503</v>
      </c>
      <c r="EP19" s="108" t="s">
        <v>503</v>
      </c>
      <c r="EQ19" s="108" t="s">
        <v>503</v>
      </c>
      <c r="ER19" s="108" t="s">
        <v>503</v>
      </c>
      <c r="ES19" s="108" t="s">
        <v>503</v>
      </c>
      <c r="ET19" s="108" t="s">
        <v>503</v>
      </c>
      <c r="EU19" s="108" t="s">
        <v>503</v>
      </c>
      <c r="EV19" s="108" t="s">
        <v>503</v>
      </c>
      <c r="EW19" s="108" t="s">
        <v>503</v>
      </c>
      <c r="EX19" s="108" t="s">
        <v>503</v>
      </c>
      <c r="EY19" s="108" t="s">
        <v>503</v>
      </c>
      <c r="EZ19" s="108" t="s">
        <v>503</v>
      </c>
      <c r="FA19" s="108" t="s">
        <v>503</v>
      </c>
      <c r="FB19" s="108" t="s">
        <v>503</v>
      </c>
      <c r="FC19" s="108" t="s">
        <v>503</v>
      </c>
      <c r="FD19" s="108" t="s">
        <v>503</v>
      </c>
      <c r="FE19" s="108" t="s">
        <v>503</v>
      </c>
      <c r="FF19" s="108" t="s">
        <v>503</v>
      </c>
      <c r="FG19" s="108" t="s">
        <v>503</v>
      </c>
      <c r="FH19" s="108" t="s">
        <v>503</v>
      </c>
      <c r="FI19" s="108" t="s">
        <v>669</v>
      </c>
      <c r="FJ19" s="108" t="s">
        <v>669</v>
      </c>
      <c r="FK19" s="108" t="s">
        <v>669</v>
      </c>
      <c r="FL19" s="108" t="s">
        <v>503</v>
      </c>
      <c r="FM19" s="108" t="s">
        <v>503</v>
      </c>
      <c r="FN19" s="108" t="s">
        <v>503</v>
      </c>
      <c r="FO19" s="108" t="s">
        <v>503</v>
      </c>
      <c r="FP19" s="108" t="s">
        <v>503</v>
      </c>
      <c r="FQ19" s="108" t="s">
        <v>503</v>
      </c>
      <c r="FR19" s="108" t="s">
        <v>503</v>
      </c>
      <c r="FS19" s="108" t="s">
        <v>503</v>
      </c>
      <c r="FT19" s="108" t="s">
        <v>503</v>
      </c>
      <c r="FU19" s="108" t="s">
        <v>503</v>
      </c>
      <c r="FV19" s="108" t="s">
        <v>503</v>
      </c>
      <c r="FW19" s="108" t="s">
        <v>503</v>
      </c>
      <c r="FX19" s="108" t="s">
        <v>503</v>
      </c>
      <c r="FY19" s="108" t="s">
        <v>503</v>
      </c>
      <c r="FZ19" s="108" t="s">
        <v>503</v>
      </c>
      <c r="GA19" s="108" t="s">
        <v>502</v>
      </c>
      <c r="GB19" s="108" t="s">
        <v>502</v>
      </c>
      <c r="GC19" s="108" t="s">
        <v>502</v>
      </c>
      <c r="GD19" s="108" t="s">
        <v>502</v>
      </c>
      <c r="GE19" s="108" t="s">
        <v>502</v>
      </c>
      <c r="GF19" s="108" t="s">
        <v>502</v>
      </c>
      <c r="GG19" s="108" t="s">
        <v>503</v>
      </c>
      <c r="GH19" s="108" t="s">
        <v>503</v>
      </c>
      <c r="GI19" s="108" t="s">
        <v>503</v>
      </c>
      <c r="GJ19" s="108" t="s">
        <v>503</v>
      </c>
      <c r="GK19" s="108" t="s">
        <v>503</v>
      </c>
      <c r="GL19" s="108" t="s">
        <v>503</v>
      </c>
      <c r="GM19" s="108" t="s">
        <v>503</v>
      </c>
      <c r="GN19" s="108" t="s">
        <v>503</v>
      </c>
      <c r="GO19" s="108" t="s">
        <v>503</v>
      </c>
      <c r="GP19" s="108" t="s">
        <v>664</v>
      </c>
      <c r="GQ19" s="108" t="s">
        <v>664</v>
      </c>
      <c r="GR19" s="108" t="s">
        <v>664</v>
      </c>
      <c r="GS19" s="108" t="s">
        <v>664</v>
      </c>
      <c r="GT19" s="108" t="s">
        <v>664</v>
      </c>
      <c r="GU19" s="108" t="s">
        <v>664</v>
      </c>
      <c r="GV19" s="108" t="s">
        <v>664</v>
      </c>
      <c r="GW19" s="108" t="s">
        <v>664</v>
      </c>
      <c r="GX19" s="108" t="s">
        <v>664</v>
      </c>
      <c r="GY19" s="108" t="s">
        <v>664</v>
      </c>
      <c r="GZ19" s="108" t="s">
        <v>664</v>
      </c>
      <c r="HA19" s="108" t="s">
        <v>664</v>
      </c>
      <c r="HB19" s="108" t="s">
        <v>664</v>
      </c>
      <c r="HC19" s="108" t="s">
        <v>664</v>
      </c>
      <c r="HD19" s="108" t="s">
        <v>664</v>
      </c>
      <c r="HE19" s="108" t="s">
        <v>664</v>
      </c>
      <c r="HF19" s="108" t="s">
        <v>664</v>
      </c>
      <c r="HG19" s="108" t="s">
        <v>664</v>
      </c>
      <c r="HH19" s="108" t="s">
        <v>664</v>
      </c>
      <c r="HI19" s="108" t="s">
        <v>664</v>
      </c>
      <c r="HJ19" s="108" t="s">
        <v>664</v>
      </c>
      <c r="HK19" s="108" t="s">
        <v>664</v>
      </c>
      <c r="HL19" s="108" t="s">
        <v>664</v>
      </c>
      <c r="HM19" s="108" t="s">
        <v>664</v>
      </c>
      <c r="HN19" s="108" t="s">
        <v>664</v>
      </c>
      <c r="HO19" s="108" t="s">
        <v>664</v>
      </c>
      <c r="HP19" s="108" t="s">
        <v>664</v>
      </c>
      <c r="HQ19" s="108" t="s">
        <v>502</v>
      </c>
      <c r="HR19" s="108" t="s">
        <v>502</v>
      </c>
      <c r="HS19" s="108" t="s">
        <v>502</v>
      </c>
      <c r="HT19" s="108" t="s">
        <v>503</v>
      </c>
      <c r="HU19" s="108" t="s">
        <v>503</v>
      </c>
      <c r="HV19" s="108" t="s">
        <v>503</v>
      </c>
      <c r="HW19" s="108" t="s">
        <v>503</v>
      </c>
      <c r="HX19" s="108" t="s">
        <v>503</v>
      </c>
      <c r="HY19" s="108" t="s">
        <v>503</v>
      </c>
      <c r="HZ19" s="108" t="s">
        <v>503</v>
      </c>
      <c r="IA19" s="108" t="s">
        <v>503</v>
      </c>
      <c r="IB19" s="108" t="s">
        <v>503</v>
      </c>
      <c r="IC19" s="108" t="s">
        <v>503</v>
      </c>
      <c r="ID19" s="108" t="s">
        <v>503</v>
      </c>
      <c r="IE19" s="108" t="s">
        <v>503</v>
      </c>
      <c r="IF19" s="108" t="s">
        <v>503</v>
      </c>
      <c r="IG19" s="108" t="s">
        <v>503</v>
      </c>
      <c r="IH19" s="108" t="s">
        <v>503</v>
      </c>
      <c r="II19" s="108" t="s">
        <v>503</v>
      </c>
      <c r="IJ19" s="108" t="s">
        <v>503</v>
      </c>
      <c r="IK19" s="108" t="s">
        <v>503</v>
      </c>
      <c r="IL19" s="108" t="s">
        <v>503</v>
      </c>
      <c r="IM19" s="108" t="s">
        <v>503</v>
      </c>
      <c r="IN19" s="108" t="s">
        <v>503</v>
      </c>
      <c r="IO19" s="120" t="s">
        <v>503</v>
      </c>
      <c r="IP19" s="120" t="s">
        <v>503</v>
      </c>
      <c r="IQ19" s="120" t="s">
        <v>503</v>
      </c>
      <c r="IR19" s="120" t="s">
        <v>664</v>
      </c>
      <c r="IS19" s="120" t="s">
        <v>664</v>
      </c>
      <c r="IT19" s="120" t="s">
        <v>664</v>
      </c>
      <c r="IU19" s="120" t="s">
        <v>503</v>
      </c>
      <c r="IV19" s="120" t="s">
        <v>503</v>
      </c>
      <c r="IW19" s="120" t="s">
        <v>503</v>
      </c>
      <c r="IX19" s="120" t="s">
        <v>503</v>
      </c>
      <c r="IY19" s="120" t="s">
        <v>503</v>
      </c>
      <c r="IZ19" s="120" t="s">
        <v>503</v>
      </c>
      <c r="JA19" s="136">
        <v>2001245.51</v>
      </c>
      <c r="JB19" s="136">
        <f>+JA19*0%</f>
        <v>0</v>
      </c>
      <c r="JC19" s="136">
        <f>+JA19+JB19</f>
        <v>2001245.51</v>
      </c>
      <c r="JD19" s="120" t="s">
        <v>664</v>
      </c>
      <c r="JE19" s="120" t="s">
        <v>664</v>
      </c>
      <c r="JF19" s="120" t="s">
        <v>664</v>
      </c>
      <c r="JG19" s="120" t="s">
        <v>664</v>
      </c>
      <c r="JH19" s="120" t="s">
        <v>664</v>
      </c>
      <c r="JI19" s="120" t="s">
        <v>664</v>
      </c>
      <c r="JJ19" s="120" t="s">
        <v>664</v>
      </c>
      <c r="JK19" s="120" t="s">
        <v>664</v>
      </c>
      <c r="JL19" s="120" t="s">
        <v>664</v>
      </c>
      <c r="JM19" s="120" t="s">
        <v>664</v>
      </c>
      <c r="JN19" s="120" t="s">
        <v>664</v>
      </c>
      <c r="JO19" s="120" t="s">
        <v>664</v>
      </c>
      <c r="JP19" s="145">
        <v>1675000</v>
      </c>
      <c r="JQ19" s="146">
        <v>2001245.5119999999</v>
      </c>
      <c r="JR19" s="112">
        <f t="shared" si="0"/>
        <v>4</v>
      </c>
      <c r="JS19" s="113">
        <f t="shared" si="1"/>
        <v>1800311.3774999999</v>
      </c>
      <c r="JT19" s="114">
        <f t="shared" si="2"/>
        <v>1800350</v>
      </c>
      <c r="JU19" s="84"/>
    </row>
    <row r="20" spans="1:281" s="127" customFormat="1" ht="101.25" customHeight="1" x14ac:dyDescent="0.2">
      <c r="A20" s="98">
        <v>98</v>
      </c>
      <c r="B20" s="99">
        <v>98</v>
      </c>
      <c r="C20" s="53" t="s">
        <v>673</v>
      </c>
      <c r="D20" s="147" t="s">
        <v>235</v>
      </c>
      <c r="E20" s="148">
        <v>44121600</v>
      </c>
      <c r="F20" s="149" t="s">
        <v>238</v>
      </c>
      <c r="G20" s="150" t="s">
        <v>239</v>
      </c>
      <c r="H20" s="151" t="s">
        <v>501</v>
      </c>
      <c r="I20" s="71">
        <v>15550</v>
      </c>
      <c r="J20" s="152">
        <f>+I20*19%</f>
        <v>2954.5</v>
      </c>
      <c r="K20" s="118">
        <f>+I20+J20</f>
        <v>18504.5</v>
      </c>
      <c r="L20" s="108" t="s">
        <v>503</v>
      </c>
      <c r="M20" s="108" t="s">
        <v>503</v>
      </c>
      <c r="N20" s="108" t="s">
        <v>503</v>
      </c>
      <c r="O20" s="108" t="s">
        <v>503</v>
      </c>
      <c r="P20" s="108" t="s">
        <v>503</v>
      </c>
      <c r="Q20" s="108" t="s">
        <v>503</v>
      </c>
      <c r="R20" s="108" t="s">
        <v>503</v>
      </c>
      <c r="S20" s="108" t="s">
        <v>503</v>
      </c>
      <c r="T20" s="108" t="s">
        <v>503</v>
      </c>
      <c r="U20" s="108" t="s">
        <v>503</v>
      </c>
      <c r="V20" s="108" t="s">
        <v>503</v>
      </c>
      <c r="W20" s="108" t="s">
        <v>503</v>
      </c>
      <c r="X20" s="108" t="s">
        <v>503</v>
      </c>
      <c r="Y20" s="108" t="s">
        <v>503</v>
      </c>
      <c r="Z20" s="108" t="s">
        <v>503</v>
      </c>
      <c r="AA20" s="108" t="s">
        <v>503</v>
      </c>
      <c r="AB20" s="108" t="s">
        <v>503</v>
      </c>
      <c r="AC20" s="108" t="s">
        <v>503</v>
      </c>
      <c r="AD20" s="108" t="s">
        <v>503</v>
      </c>
      <c r="AE20" s="108" t="s">
        <v>503</v>
      </c>
      <c r="AF20" s="108" t="s">
        <v>503</v>
      </c>
      <c r="AG20" s="108" t="s">
        <v>503</v>
      </c>
      <c r="AH20" s="108" t="s">
        <v>503</v>
      </c>
      <c r="AI20" s="108" t="s">
        <v>503</v>
      </c>
      <c r="AJ20" s="108" t="s">
        <v>503</v>
      </c>
      <c r="AK20" s="108" t="s">
        <v>503</v>
      </c>
      <c r="AL20" s="108" t="s">
        <v>503</v>
      </c>
      <c r="AM20" s="108" t="s">
        <v>503</v>
      </c>
      <c r="AN20" s="108" t="s">
        <v>503</v>
      </c>
      <c r="AO20" s="108" t="s">
        <v>503</v>
      </c>
      <c r="AP20" s="108" t="s">
        <v>503</v>
      </c>
      <c r="AQ20" s="108" t="s">
        <v>503</v>
      </c>
      <c r="AR20" s="108" t="s">
        <v>503</v>
      </c>
      <c r="AS20" s="108" t="s">
        <v>503</v>
      </c>
      <c r="AT20" s="108" t="s">
        <v>503</v>
      </c>
      <c r="AU20" s="108" t="s">
        <v>503</v>
      </c>
      <c r="AV20" s="108" t="s">
        <v>503</v>
      </c>
      <c r="AW20" s="108" t="s">
        <v>503</v>
      </c>
      <c r="AX20" s="108" t="s">
        <v>503</v>
      </c>
      <c r="AY20" s="108" t="s">
        <v>503</v>
      </c>
      <c r="AZ20" s="108" t="s">
        <v>503</v>
      </c>
      <c r="BA20" s="108" t="s">
        <v>503</v>
      </c>
      <c r="BB20" s="108" t="s">
        <v>503</v>
      </c>
      <c r="BC20" s="108" t="s">
        <v>503</v>
      </c>
      <c r="BD20" s="108" t="s">
        <v>503</v>
      </c>
      <c r="BE20" s="108" t="s">
        <v>503</v>
      </c>
      <c r="BF20" s="108" t="s">
        <v>503</v>
      </c>
      <c r="BG20" s="108" t="s">
        <v>503</v>
      </c>
      <c r="BH20" s="108" t="s">
        <v>503</v>
      </c>
      <c r="BI20" s="108" t="s">
        <v>503</v>
      </c>
      <c r="BJ20" s="108" t="s">
        <v>503</v>
      </c>
      <c r="BK20" s="108" t="s">
        <v>503</v>
      </c>
      <c r="BL20" s="108" t="s">
        <v>503</v>
      </c>
      <c r="BM20" s="108" t="s">
        <v>503</v>
      </c>
      <c r="BN20" s="108" t="s">
        <v>503</v>
      </c>
      <c r="BO20" s="108" t="s">
        <v>503</v>
      </c>
      <c r="BP20" s="108" t="s">
        <v>503</v>
      </c>
      <c r="BQ20" s="108" t="s">
        <v>503</v>
      </c>
      <c r="BR20" s="108" t="s">
        <v>503</v>
      </c>
      <c r="BS20" s="108" t="s">
        <v>503</v>
      </c>
      <c r="BT20" s="108" t="s">
        <v>503</v>
      </c>
      <c r="BU20" s="108" t="s">
        <v>503</v>
      </c>
      <c r="BV20" s="108" t="s">
        <v>503</v>
      </c>
      <c r="BW20" s="108" t="s">
        <v>503</v>
      </c>
      <c r="BX20" s="108" t="s">
        <v>503</v>
      </c>
      <c r="BY20" s="108" t="s">
        <v>503</v>
      </c>
      <c r="BZ20" s="108" t="s">
        <v>503</v>
      </c>
      <c r="CA20" s="108" t="s">
        <v>503</v>
      </c>
      <c r="CB20" s="108" t="s">
        <v>503</v>
      </c>
      <c r="CC20" s="108" t="s">
        <v>503</v>
      </c>
      <c r="CD20" s="108" t="s">
        <v>503</v>
      </c>
      <c r="CE20" s="108" t="s">
        <v>503</v>
      </c>
      <c r="CF20" s="108" t="s">
        <v>503</v>
      </c>
      <c r="CG20" s="108" t="s">
        <v>503</v>
      </c>
      <c r="CH20" s="108" t="s">
        <v>503</v>
      </c>
      <c r="CI20" s="108" t="s">
        <v>503</v>
      </c>
      <c r="CJ20" s="108" t="s">
        <v>503</v>
      </c>
      <c r="CK20" s="108" t="s">
        <v>503</v>
      </c>
      <c r="CL20" s="108" t="s">
        <v>503</v>
      </c>
      <c r="CM20" s="108" t="s">
        <v>503</v>
      </c>
      <c r="CN20" s="108" t="s">
        <v>503</v>
      </c>
      <c r="CO20" s="108" t="s">
        <v>503</v>
      </c>
      <c r="CP20" s="108" t="s">
        <v>503</v>
      </c>
      <c r="CQ20" s="108" t="s">
        <v>503</v>
      </c>
      <c r="CR20" s="108" t="s">
        <v>503</v>
      </c>
      <c r="CS20" s="108" t="s">
        <v>503</v>
      </c>
      <c r="CT20" s="108" t="s">
        <v>503</v>
      </c>
      <c r="CU20" s="153">
        <v>16945</v>
      </c>
      <c r="CV20" s="118">
        <f>+CU20*19%</f>
        <v>3219.55</v>
      </c>
      <c r="CW20" s="118">
        <f>+CU20+CV20</f>
        <v>20164.55</v>
      </c>
      <c r="CX20" s="71">
        <v>10000</v>
      </c>
      <c r="CY20" s="71">
        <f>+CX20*19%</f>
        <v>1900</v>
      </c>
      <c r="CZ20" s="71">
        <f>+CX20+CY20</f>
        <v>11900</v>
      </c>
      <c r="DA20" s="108" t="s">
        <v>503</v>
      </c>
      <c r="DB20" s="108" t="s">
        <v>503</v>
      </c>
      <c r="DC20" s="108" t="s">
        <v>503</v>
      </c>
      <c r="DD20" s="108" t="s">
        <v>503</v>
      </c>
      <c r="DE20" s="108" t="s">
        <v>503</v>
      </c>
      <c r="DF20" s="108" t="s">
        <v>503</v>
      </c>
      <c r="DG20" s="108" t="s">
        <v>503</v>
      </c>
      <c r="DH20" s="108" t="s">
        <v>503</v>
      </c>
      <c r="DI20" s="108" t="s">
        <v>503</v>
      </c>
      <c r="DJ20" s="118" t="s">
        <v>502</v>
      </c>
      <c r="DK20" s="118" t="s">
        <v>502</v>
      </c>
      <c r="DL20" s="118" t="s">
        <v>502</v>
      </c>
      <c r="DM20" s="108" t="s">
        <v>503</v>
      </c>
      <c r="DN20" s="108" t="s">
        <v>503</v>
      </c>
      <c r="DO20" s="108" t="s">
        <v>503</v>
      </c>
      <c r="DP20" s="108" t="s">
        <v>669</v>
      </c>
      <c r="DQ20" s="108" t="s">
        <v>669</v>
      </c>
      <c r="DR20" s="108" t="s">
        <v>669</v>
      </c>
      <c r="DS20" s="108" t="s">
        <v>669</v>
      </c>
      <c r="DT20" s="108" t="s">
        <v>669</v>
      </c>
      <c r="DU20" s="108" t="s">
        <v>669</v>
      </c>
      <c r="DV20" s="108" t="s">
        <v>669</v>
      </c>
      <c r="DW20" s="108" t="s">
        <v>669</v>
      </c>
      <c r="DX20" s="108" t="s">
        <v>669</v>
      </c>
      <c r="DY20" s="108" t="s">
        <v>503</v>
      </c>
      <c r="DZ20" s="108" t="s">
        <v>503</v>
      </c>
      <c r="EA20" s="108" t="s">
        <v>503</v>
      </c>
      <c r="EB20" s="108" t="s">
        <v>503</v>
      </c>
      <c r="EC20" s="108" t="s">
        <v>503</v>
      </c>
      <c r="ED20" s="108" t="s">
        <v>503</v>
      </c>
      <c r="EE20" s="108" t="s">
        <v>503</v>
      </c>
      <c r="EF20" s="108" t="s">
        <v>503</v>
      </c>
      <c r="EG20" s="108" t="s">
        <v>503</v>
      </c>
      <c r="EH20" s="108" t="s">
        <v>503</v>
      </c>
      <c r="EI20" s="108" t="s">
        <v>503</v>
      </c>
      <c r="EJ20" s="108" t="s">
        <v>503</v>
      </c>
      <c r="EK20" s="108" t="s">
        <v>503</v>
      </c>
      <c r="EL20" s="108" t="s">
        <v>503</v>
      </c>
      <c r="EM20" s="108" t="s">
        <v>503</v>
      </c>
      <c r="EN20" s="108" t="s">
        <v>503</v>
      </c>
      <c r="EO20" s="108" t="s">
        <v>503</v>
      </c>
      <c r="EP20" s="108" t="s">
        <v>503</v>
      </c>
      <c r="EQ20" s="108" t="s">
        <v>503</v>
      </c>
      <c r="ER20" s="108" t="s">
        <v>503</v>
      </c>
      <c r="ES20" s="108" t="s">
        <v>503</v>
      </c>
      <c r="ET20" s="108" t="s">
        <v>503</v>
      </c>
      <c r="EU20" s="108" t="s">
        <v>503</v>
      </c>
      <c r="EV20" s="108" t="s">
        <v>503</v>
      </c>
      <c r="EW20" s="108" t="s">
        <v>503</v>
      </c>
      <c r="EX20" s="108" t="s">
        <v>503</v>
      </c>
      <c r="EY20" s="108" t="s">
        <v>503</v>
      </c>
      <c r="EZ20" s="108" t="s">
        <v>503</v>
      </c>
      <c r="FA20" s="108" t="s">
        <v>503</v>
      </c>
      <c r="FB20" s="108" t="s">
        <v>503</v>
      </c>
      <c r="FC20" s="108" t="s">
        <v>503</v>
      </c>
      <c r="FD20" s="108" t="s">
        <v>503</v>
      </c>
      <c r="FE20" s="108" t="s">
        <v>503</v>
      </c>
      <c r="FF20" s="108" t="s">
        <v>503</v>
      </c>
      <c r="FG20" s="108" t="s">
        <v>503</v>
      </c>
      <c r="FH20" s="108" t="s">
        <v>503</v>
      </c>
      <c r="FI20" s="108" t="s">
        <v>503</v>
      </c>
      <c r="FJ20" s="108" t="s">
        <v>503</v>
      </c>
      <c r="FK20" s="108" t="s">
        <v>503</v>
      </c>
      <c r="FL20" s="71">
        <f>2100*10/1.19</f>
        <v>17647.058823529413</v>
      </c>
      <c r="FM20" s="71">
        <f>FL20*0.19</f>
        <v>3352.9411764705883</v>
      </c>
      <c r="FN20" s="71">
        <f>FL20+FM20</f>
        <v>21000</v>
      </c>
      <c r="FO20" s="108" t="s">
        <v>503</v>
      </c>
      <c r="FP20" s="108" t="s">
        <v>503</v>
      </c>
      <c r="FQ20" s="108" t="s">
        <v>503</v>
      </c>
      <c r="FR20" s="108" t="s">
        <v>503</v>
      </c>
      <c r="FS20" s="108" t="s">
        <v>503</v>
      </c>
      <c r="FT20" s="108" t="s">
        <v>503</v>
      </c>
      <c r="FU20" s="108" t="s">
        <v>503</v>
      </c>
      <c r="FV20" s="108" t="s">
        <v>503</v>
      </c>
      <c r="FW20" s="108" t="s">
        <v>503</v>
      </c>
      <c r="FX20" s="108" t="s">
        <v>503</v>
      </c>
      <c r="FY20" s="108" t="s">
        <v>503</v>
      </c>
      <c r="FZ20" s="108" t="s">
        <v>503</v>
      </c>
      <c r="GA20" s="108" t="s">
        <v>503</v>
      </c>
      <c r="GB20" s="108" t="s">
        <v>503</v>
      </c>
      <c r="GC20" s="108" t="s">
        <v>503</v>
      </c>
      <c r="GD20" s="108" t="s">
        <v>503</v>
      </c>
      <c r="GE20" s="108" t="s">
        <v>503</v>
      </c>
      <c r="GF20" s="108" t="s">
        <v>503</v>
      </c>
      <c r="GG20" s="108" t="s">
        <v>503</v>
      </c>
      <c r="GH20" s="108" t="s">
        <v>503</v>
      </c>
      <c r="GI20" s="108" t="s">
        <v>503</v>
      </c>
      <c r="GJ20" s="108" t="s">
        <v>503</v>
      </c>
      <c r="GK20" s="108" t="s">
        <v>503</v>
      </c>
      <c r="GL20" s="108" t="s">
        <v>503</v>
      </c>
      <c r="GM20" s="108" t="s">
        <v>503</v>
      </c>
      <c r="GN20" s="108" t="s">
        <v>503</v>
      </c>
      <c r="GO20" s="108" t="s">
        <v>503</v>
      </c>
      <c r="GP20" s="108" t="s">
        <v>664</v>
      </c>
      <c r="GQ20" s="108" t="s">
        <v>664</v>
      </c>
      <c r="GR20" s="108" t="s">
        <v>664</v>
      </c>
      <c r="GS20" s="108" t="s">
        <v>664</v>
      </c>
      <c r="GT20" s="108" t="s">
        <v>664</v>
      </c>
      <c r="GU20" s="108" t="s">
        <v>664</v>
      </c>
      <c r="GV20" s="108" t="s">
        <v>664</v>
      </c>
      <c r="GW20" s="108" t="s">
        <v>664</v>
      </c>
      <c r="GX20" s="108" t="s">
        <v>664</v>
      </c>
      <c r="GY20" s="108" t="s">
        <v>664</v>
      </c>
      <c r="GZ20" s="108" t="s">
        <v>664</v>
      </c>
      <c r="HA20" s="108" t="s">
        <v>664</v>
      </c>
      <c r="HB20" s="108" t="s">
        <v>664</v>
      </c>
      <c r="HC20" s="108" t="s">
        <v>664</v>
      </c>
      <c r="HD20" s="108" t="s">
        <v>664</v>
      </c>
      <c r="HE20" s="108" t="s">
        <v>664</v>
      </c>
      <c r="HF20" s="108" t="s">
        <v>664</v>
      </c>
      <c r="HG20" s="108" t="s">
        <v>664</v>
      </c>
      <c r="HH20" s="108" t="s">
        <v>664</v>
      </c>
      <c r="HI20" s="108" t="s">
        <v>664</v>
      </c>
      <c r="HJ20" s="108" t="s">
        <v>664</v>
      </c>
      <c r="HK20" s="108" t="s">
        <v>664</v>
      </c>
      <c r="HL20" s="108" t="s">
        <v>664</v>
      </c>
      <c r="HM20" s="108" t="s">
        <v>664</v>
      </c>
      <c r="HN20" s="108" t="s">
        <v>664</v>
      </c>
      <c r="HO20" s="108" t="s">
        <v>664</v>
      </c>
      <c r="HP20" s="108" t="s">
        <v>664</v>
      </c>
      <c r="HQ20" s="108" t="s">
        <v>664</v>
      </c>
      <c r="HR20" s="108" t="s">
        <v>664</v>
      </c>
      <c r="HS20" s="108" t="s">
        <v>664</v>
      </c>
      <c r="HT20" s="108" t="s">
        <v>664</v>
      </c>
      <c r="HU20" s="108" t="s">
        <v>664</v>
      </c>
      <c r="HV20" s="108" t="s">
        <v>664</v>
      </c>
      <c r="HW20" s="108" t="s">
        <v>664</v>
      </c>
      <c r="HX20" s="108" t="s">
        <v>664</v>
      </c>
      <c r="HY20" s="108" t="s">
        <v>664</v>
      </c>
      <c r="HZ20" s="108" t="s">
        <v>664</v>
      </c>
      <c r="IA20" s="108" t="s">
        <v>664</v>
      </c>
      <c r="IB20" s="108" t="s">
        <v>664</v>
      </c>
      <c r="IC20" s="108" t="s">
        <v>664</v>
      </c>
      <c r="ID20" s="108" t="s">
        <v>664</v>
      </c>
      <c r="IE20" s="108" t="s">
        <v>664</v>
      </c>
      <c r="IF20" s="108" t="s">
        <v>664</v>
      </c>
      <c r="IG20" s="108" t="s">
        <v>664</v>
      </c>
      <c r="IH20" s="108" t="s">
        <v>664</v>
      </c>
      <c r="II20" s="108" t="s">
        <v>664</v>
      </c>
      <c r="IJ20" s="108" t="s">
        <v>664</v>
      </c>
      <c r="IK20" s="108" t="s">
        <v>664</v>
      </c>
      <c r="IL20" s="108" t="s">
        <v>664</v>
      </c>
      <c r="IM20" s="108" t="s">
        <v>664</v>
      </c>
      <c r="IN20" s="108" t="s">
        <v>664</v>
      </c>
      <c r="IO20" s="120" t="s">
        <v>503</v>
      </c>
      <c r="IP20" s="120" t="s">
        <v>503</v>
      </c>
      <c r="IQ20" s="120" t="s">
        <v>503</v>
      </c>
      <c r="IR20" s="120" t="s">
        <v>664</v>
      </c>
      <c r="IS20" s="120" t="s">
        <v>664</v>
      </c>
      <c r="IT20" s="120" t="s">
        <v>664</v>
      </c>
      <c r="IU20" s="108" t="s">
        <v>502</v>
      </c>
      <c r="IV20" s="108" t="s">
        <v>502</v>
      </c>
      <c r="IW20" s="108" t="s">
        <v>502</v>
      </c>
      <c r="IX20" s="120" t="s">
        <v>503</v>
      </c>
      <c r="IY20" s="120" t="s">
        <v>503</v>
      </c>
      <c r="IZ20" s="120" t="s">
        <v>503</v>
      </c>
      <c r="JA20" s="120" t="s">
        <v>503</v>
      </c>
      <c r="JB20" s="120" t="s">
        <v>503</v>
      </c>
      <c r="JC20" s="120" t="s">
        <v>503</v>
      </c>
      <c r="JD20" s="120" t="s">
        <v>664</v>
      </c>
      <c r="JE20" s="120" t="s">
        <v>664</v>
      </c>
      <c r="JF20" s="120" t="s">
        <v>664</v>
      </c>
      <c r="JG20" s="120" t="s">
        <v>664</v>
      </c>
      <c r="JH20" s="120" t="s">
        <v>664</v>
      </c>
      <c r="JI20" s="120" t="s">
        <v>664</v>
      </c>
      <c r="JJ20" s="120" t="s">
        <v>664</v>
      </c>
      <c r="JK20" s="120" t="s">
        <v>664</v>
      </c>
      <c r="JL20" s="120" t="s">
        <v>664</v>
      </c>
      <c r="JM20" s="120" t="s">
        <v>664</v>
      </c>
      <c r="JN20" s="120" t="s">
        <v>664</v>
      </c>
      <c r="JO20" s="120" t="s">
        <v>664</v>
      </c>
      <c r="JP20" s="110">
        <v>20150</v>
      </c>
      <c r="JQ20" s="111">
        <v>24074.684816000001</v>
      </c>
      <c r="JR20" s="112">
        <f t="shared" si="0"/>
        <v>4</v>
      </c>
      <c r="JS20" s="113">
        <f t="shared" si="1"/>
        <v>17892.262500000001</v>
      </c>
      <c r="JT20" s="114">
        <f t="shared" si="2"/>
        <v>17900</v>
      </c>
      <c r="JU20" s="134"/>
    </row>
    <row r="21" spans="1:281" s="127" customFormat="1" ht="101.25" customHeight="1" x14ac:dyDescent="0.2">
      <c r="A21" s="98">
        <v>99</v>
      </c>
      <c r="B21" s="99">
        <v>99</v>
      </c>
      <c r="C21" s="39" t="s">
        <v>673</v>
      </c>
      <c r="D21" s="154" t="s">
        <v>236</v>
      </c>
      <c r="E21" s="61">
        <v>44121600</v>
      </c>
      <c r="F21" s="129" t="s">
        <v>240</v>
      </c>
      <c r="G21" s="102" t="s">
        <v>241</v>
      </c>
      <c r="H21" s="103" t="s">
        <v>501</v>
      </c>
      <c r="I21" s="71">
        <v>20170</v>
      </c>
      <c r="J21" s="152">
        <f t="shared" ref="J21:J26" si="7">+I21*19%</f>
        <v>3832.3</v>
      </c>
      <c r="K21" s="118">
        <f t="shared" ref="K21:K26" si="8">+I21+J21</f>
        <v>24002.3</v>
      </c>
      <c r="L21" s="108" t="s">
        <v>503</v>
      </c>
      <c r="M21" s="108" t="s">
        <v>503</v>
      </c>
      <c r="N21" s="108" t="s">
        <v>503</v>
      </c>
      <c r="O21" s="108" t="s">
        <v>503</v>
      </c>
      <c r="P21" s="108" t="s">
        <v>503</v>
      </c>
      <c r="Q21" s="108" t="s">
        <v>503</v>
      </c>
      <c r="R21" s="108" t="s">
        <v>503</v>
      </c>
      <c r="S21" s="108" t="s">
        <v>503</v>
      </c>
      <c r="T21" s="108" t="s">
        <v>503</v>
      </c>
      <c r="U21" s="108" t="s">
        <v>503</v>
      </c>
      <c r="V21" s="108" t="s">
        <v>503</v>
      </c>
      <c r="W21" s="108" t="s">
        <v>503</v>
      </c>
      <c r="X21" s="108" t="s">
        <v>503</v>
      </c>
      <c r="Y21" s="108" t="s">
        <v>503</v>
      </c>
      <c r="Z21" s="108" t="s">
        <v>503</v>
      </c>
      <c r="AA21" s="108" t="s">
        <v>503</v>
      </c>
      <c r="AB21" s="108" t="s">
        <v>503</v>
      </c>
      <c r="AC21" s="108" t="s">
        <v>503</v>
      </c>
      <c r="AD21" s="108" t="s">
        <v>503</v>
      </c>
      <c r="AE21" s="108" t="s">
        <v>503</v>
      </c>
      <c r="AF21" s="108" t="s">
        <v>503</v>
      </c>
      <c r="AG21" s="108" t="s">
        <v>503</v>
      </c>
      <c r="AH21" s="108" t="s">
        <v>503</v>
      </c>
      <c r="AI21" s="108" t="s">
        <v>503</v>
      </c>
      <c r="AJ21" s="108" t="s">
        <v>503</v>
      </c>
      <c r="AK21" s="108" t="s">
        <v>503</v>
      </c>
      <c r="AL21" s="108" t="s">
        <v>503</v>
      </c>
      <c r="AM21" s="108" t="s">
        <v>503</v>
      </c>
      <c r="AN21" s="108" t="s">
        <v>503</v>
      </c>
      <c r="AO21" s="108" t="s">
        <v>503</v>
      </c>
      <c r="AP21" s="108" t="s">
        <v>503</v>
      </c>
      <c r="AQ21" s="108" t="s">
        <v>503</v>
      </c>
      <c r="AR21" s="108" t="s">
        <v>503</v>
      </c>
      <c r="AS21" s="108" t="s">
        <v>503</v>
      </c>
      <c r="AT21" s="108" t="s">
        <v>503</v>
      </c>
      <c r="AU21" s="108" t="s">
        <v>503</v>
      </c>
      <c r="AV21" s="108" t="s">
        <v>503</v>
      </c>
      <c r="AW21" s="108" t="s">
        <v>503</v>
      </c>
      <c r="AX21" s="108" t="s">
        <v>503</v>
      </c>
      <c r="AY21" s="108" t="s">
        <v>503</v>
      </c>
      <c r="AZ21" s="108" t="s">
        <v>503</v>
      </c>
      <c r="BA21" s="108" t="s">
        <v>503</v>
      </c>
      <c r="BB21" s="108" t="s">
        <v>503</v>
      </c>
      <c r="BC21" s="108" t="s">
        <v>503</v>
      </c>
      <c r="BD21" s="108" t="s">
        <v>503</v>
      </c>
      <c r="BE21" s="108" t="s">
        <v>503</v>
      </c>
      <c r="BF21" s="108" t="s">
        <v>503</v>
      </c>
      <c r="BG21" s="108" t="s">
        <v>503</v>
      </c>
      <c r="BH21" s="108" t="s">
        <v>503</v>
      </c>
      <c r="BI21" s="108" t="s">
        <v>503</v>
      </c>
      <c r="BJ21" s="108" t="s">
        <v>503</v>
      </c>
      <c r="BK21" s="108" t="s">
        <v>503</v>
      </c>
      <c r="BL21" s="108" t="s">
        <v>503</v>
      </c>
      <c r="BM21" s="108" t="s">
        <v>503</v>
      </c>
      <c r="BN21" s="108" t="s">
        <v>503</v>
      </c>
      <c r="BO21" s="108" t="s">
        <v>503</v>
      </c>
      <c r="BP21" s="108" t="s">
        <v>503</v>
      </c>
      <c r="BQ21" s="108" t="s">
        <v>503</v>
      </c>
      <c r="BR21" s="108" t="s">
        <v>503</v>
      </c>
      <c r="BS21" s="108" t="s">
        <v>503</v>
      </c>
      <c r="BT21" s="108" t="s">
        <v>503</v>
      </c>
      <c r="BU21" s="108" t="s">
        <v>503</v>
      </c>
      <c r="BV21" s="108" t="s">
        <v>503</v>
      </c>
      <c r="BW21" s="108" t="s">
        <v>503</v>
      </c>
      <c r="BX21" s="108" t="s">
        <v>503</v>
      </c>
      <c r="BY21" s="108" t="s">
        <v>503</v>
      </c>
      <c r="BZ21" s="108" t="s">
        <v>503</v>
      </c>
      <c r="CA21" s="108" t="s">
        <v>503</v>
      </c>
      <c r="CB21" s="108" t="s">
        <v>503</v>
      </c>
      <c r="CC21" s="108" t="s">
        <v>503</v>
      </c>
      <c r="CD21" s="108" t="s">
        <v>503</v>
      </c>
      <c r="CE21" s="108" t="s">
        <v>503</v>
      </c>
      <c r="CF21" s="108" t="s">
        <v>503</v>
      </c>
      <c r="CG21" s="108" t="s">
        <v>503</v>
      </c>
      <c r="CH21" s="108" t="s">
        <v>503</v>
      </c>
      <c r="CI21" s="108" t="s">
        <v>503</v>
      </c>
      <c r="CJ21" s="108" t="s">
        <v>503</v>
      </c>
      <c r="CK21" s="108" t="s">
        <v>503</v>
      </c>
      <c r="CL21" s="108" t="s">
        <v>503</v>
      </c>
      <c r="CM21" s="108" t="s">
        <v>503</v>
      </c>
      <c r="CN21" s="108" t="s">
        <v>503</v>
      </c>
      <c r="CO21" s="108" t="s">
        <v>503</v>
      </c>
      <c r="CP21" s="108" t="s">
        <v>503</v>
      </c>
      <c r="CQ21" s="108" t="s">
        <v>503</v>
      </c>
      <c r="CR21" s="108" t="s">
        <v>503</v>
      </c>
      <c r="CS21" s="108" t="s">
        <v>503</v>
      </c>
      <c r="CT21" s="108" t="s">
        <v>503</v>
      </c>
      <c r="CU21" s="153">
        <v>22400</v>
      </c>
      <c r="CV21" s="118">
        <f>+CU21*19%</f>
        <v>4256</v>
      </c>
      <c r="CW21" s="118">
        <f>+CU21+CV21</f>
        <v>26656</v>
      </c>
      <c r="CX21" s="108" t="s">
        <v>503</v>
      </c>
      <c r="CY21" s="108" t="s">
        <v>503</v>
      </c>
      <c r="CZ21" s="108" t="s">
        <v>503</v>
      </c>
      <c r="DA21" s="108" t="s">
        <v>503</v>
      </c>
      <c r="DB21" s="108" t="s">
        <v>503</v>
      </c>
      <c r="DC21" s="108" t="s">
        <v>503</v>
      </c>
      <c r="DD21" s="108" t="s">
        <v>503</v>
      </c>
      <c r="DE21" s="108" t="s">
        <v>503</v>
      </c>
      <c r="DF21" s="108" t="s">
        <v>503</v>
      </c>
      <c r="DG21" s="108" t="s">
        <v>503</v>
      </c>
      <c r="DH21" s="108" t="s">
        <v>503</v>
      </c>
      <c r="DI21" s="108" t="s">
        <v>503</v>
      </c>
      <c r="DJ21" s="118" t="s">
        <v>502</v>
      </c>
      <c r="DK21" s="118" t="s">
        <v>502</v>
      </c>
      <c r="DL21" s="118" t="s">
        <v>502</v>
      </c>
      <c r="DM21" s="108" t="s">
        <v>503</v>
      </c>
      <c r="DN21" s="108" t="s">
        <v>503</v>
      </c>
      <c r="DO21" s="108" t="s">
        <v>503</v>
      </c>
      <c r="DP21" s="108" t="s">
        <v>669</v>
      </c>
      <c r="DQ21" s="108" t="s">
        <v>669</v>
      </c>
      <c r="DR21" s="108" t="s">
        <v>669</v>
      </c>
      <c r="DS21" s="108" t="s">
        <v>669</v>
      </c>
      <c r="DT21" s="108" t="s">
        <v>669</v>
      </c>
      <c r="DU21" s="108" t="s">
        <v>669</v>
      </c>
      <c r="DV21" s="108" t="s">
        <v>669</v>
      </c>
      <c r="DW21" s="108" t="s">
        <v>669</v>
      </c>
      <c r="DX21" s="108" t="s">
        <v>669</v>
      </c>
      <c r="DY21" s="108" t="s">
        <v>503</v>
      </c>
      <c r="DZ21" s="108" t="s">
        <v>503</v>
      </c>
      <c r="EA21" s="108" t="s">
        <v>503</v>
      </c>
      <c r="EB21" s="108" t="s">
        <v>503</v>
      </c>
      <c r="EC21" s="108" t="s">
        <v>503</v>
      </c>
      <c r="ED21" s="108" t="s">
        <v>503</v>
      </c>
      <c r="EE21" s="108" t="s">
        <v>503</v>
      </c>
      <c r="EF21" s="108" t="s">
        <v>503</v>
      </c>
      <c r="EG21" s="108" t="s">
        <v>503</v>
      </c>
      <c r="EH21" s="108" t="s">
        <v>503</v>
      </c>
      <c r="EI21" s="108" t="s">
        <v>503</v>
      </c>
      <c r="EJ21" s="108" t="s">
        <v>503</v>
      </c>
      <c r="EK21" s="108" t="s">
        <v>503</v>
      </c>
      <c r="EL21" s="108" t="s">
        <v>503</v>
      </c>
      <c r="EM21" s="108" t="s">
        <v>503</v>
      </c>
      <c r="EN21" s="108" t="s">
        <v>503</v>
      </c>
      <c r="EO21" s="108" t="s">
        <v>503</v>
      </c>
      <c r="EP21" s="108" t="s">
        <v>503</v>
      </c>
      <c r="EQ21" s="108" t="s">
        <v>503</v>
      </c>
      <c r="ER21" s="108" t="s">
        <v>503</v>
      </c>
      <c r="ES21" s="108" t="s">
        <v>503</v>
      </c>
      <c r="ET21" s="108" t="s">
        <v>503</v>
      </c>
      <c r="EU21" s="108" t="s">
        <v>503</v>
      </c>
      <c r="EV21" s="108" t="s">
        <v>503</v>
      </c>
      <c r="EW21" s="108" t="s">
        <v>503</v>
      </c>
      <c r="EX21" s="108" t="s">
        <v>503</v>
      </c>
      <c r="EY21" s="108" t="s">
        <v>503</v>
      </c>
      <c r="EZ21" s="108" t="s">
        <v>503</v>
      </c>
      <c r="FA21" s="108" t="s">
        <v>503</v>
      </c>
      <c r="FB21" s="108" t="s">
        <v>503</v>
      </c>
      <c r="FC21" s="108" t="s">
        <v>503</v>
      </c>
      <c r="FD21" s="108" t="s">
        <v>503</v>
      </c>
      <c r="FE21" s="108" t="s">
        <v>503</v>
      </c>
      <c r="FF21" s="108" t="s">
        <v>503</v>
      </c>
      <c r="FG21" s="108" t="s">
        <v>503</v>
      </c>
      <c r="FH21" s="108" t="s">
        <v>503</v>
      </c>
      <c r="FI21" s="108" t="s">
        <v>503</v>
      </c>
      <c r="FJ21" s="108" t="s">
        <v>503</v>
      </c>
      <c r="FK21" s="108" t="s">
        <v>503</v>
      </c>
      <c r="FL21" s="71">
        <f>2200*10/1.19</f>
        <v>18487.394957983193</v>
      </c>
      <c r="FM21" s="71">
        <f>FL21*0.19</f>
        <v>3512.6050420168067</v>
      </c>
      <c r="FN21" s="71">
        <f>FL21+FM21</f>
        <v>22000</v>
      </c>
      <c r="FO21" s="108" t="s">
        <v>503</v>
      </c>
      <c r="FP21" s="108" t="s">
        <v>503</v>
      </c>
      <c r="FQ21" s="108" t="s">
        <v>503</v>
      </c>
      <c r="FR21" s="108" t="s">
        <v>503</v>
      </c>
      <c r="FS21" s="108" t="s">
        <v>503</v>
      </c>
      <c r="FT21" s="108" t="s">
        <v>503</v>
      </c>
      <c r="FU21" s="108" t="s">
        <v>503</v>
      </c>
      <c r="FV21" s="108" t="s">
        <v>503</v>
      </c>
      <c r="FW21" s="108" t="s">
        <v>503</v>
      </c>
      <c r="FX21" s="108" t="s">
        <v>503</v>
      </c>
      <c r="FY21" s="108" t="s">
        <v>503</v>
      </c>
      <c r="FZ21" s="108" t="s">
        <v>503</v>
      </c>
      <c r="GA21" s="108" t="s">
        <v>503</v>
      </c>
      <c r="GB21" s="108" t="s">
        <v>503</v>
      </c>
      <c r="GC21" s="108" t="s">
        <v>503</v>
      </c>
      <c r="GD21" s="108" t="s">
        <v>503</v>
      </c>
      <c r="GE21" s="108" t="s">
        <v>503</v>
      </c>
      <c r="GF21" s="108" t="s">
        <v>503</v>
      </c>
      <c r="GG21" s="108" t="s">
        <v>503</v>
      </c>
      <c r="GH21" s="108" t="s">
        <v>503</v>
      </c>
      <c r="GI21" s="108" t="s">
        <v>503</v>
      </c>
      <c r="GJ21" s="108" t="s">
        <v>503</v>
      </c>
      <c r="GK21" s="108" t="s">
        <v>503</v>
      </c>
      <c r="GL21" s="108" t="s">
        <v>503</v>
      </c>
      <c r="GM21" s="108" t="s">
        <v>503</v>
      </c>
      <c r="GN21" s="108" t="s">
        <v>503</v>
      </c>
      <c r="GO21" s="108" t="s">
        <v>503</v>
      </c>
      <c r="GP21" s="108" t="s">
        <v>664</v>
      </c>
      <c r="GQ21" s="108" t="s">
        <v>664</v>
      </c>
      <c r="GR21" s="108" t="s">
        <v>664</v>
      </c>
      <c r="GS21" s="108" t="s">
        <v>664</v>
      </c>
      <c r="GT21" s="108" t="s">
        <v>664</v>
      </c>
      <c r="GU21" s="108" t="s">
        <v>664</v>
      </c>
      <c r="GV21" s="108" t="s">
        <v>664</v>
      </c>
      <c r="GW21" s="108" t="s">
        <v>664</v>
      </c>
      <c r="GX21" s="108" t="s">
        <v>664</v>
      </c>
      <c r="GY21" s="108" t="s">
        <v>664</v>
      </c>
      <c r="GZ21" s="108" t="s">
        <v>664</v>
      </c>
      <c r="HA21" s="108" t="s">
        <v>664</v>
      </c>
      <c r="HB21" s="108" t="s">
        <v>664</v>
      </c>
      <c r="HC21" s="108" t="s">
        <v>664</v>
      </c>
      <c r="HD21" s="108" t="s">
        <v>664</v>
      </c>
      <c r="HE21" s="108" t="s">
        <v>664</v>
      </c>
      <c r="HF21" s="108" t="s">
        <v>664</v>
      </c>
      <c r="HG21" s="108" t="s">
        <v>664</v>
      </c>
      <c r="HH21" s="108" t="s">
        <v>664</v>
      </c>
      <c r="HI21" s="108" t="s">
        <v>664</v>
      </c>
      <c r="HJ21" s="108" t="s">
        <v>664</v>
      </c>
      <c r="HK21" s="108" t="s">
        <v>664</v>
      </c>
      <c r="HL21" s="108" t="s">
        <v>664</v>
      </c>
      <c r="HM21" s="108" t="s">
        <v>664</v>
      </c>
      <c r="HN21" s="108" t="s">
        <v>664</v>
      </c>
      <c r="HO21" s="108" t="s">
        <v>664</v>
      </c>
      <c r="HP21" s="108" t="s">
        <v>664</v>
      </c>
      <c r="HQ21" s="108" t="s">
        <v>664</v>
      </c>
      <c r="HR21" s="108" t="s">
        <v>664</v>
      </c>
      <c r="HS21" s="108" t="s">
        <v>664</v>
      </c>
      <c r="HT21" s="108" t="s">
        <v>664</v>
      </c>
      <c r="HU21" s="108" t="s">
        <v>664</v>
      </c>
      <c r="HV21" s="108" t="s">
        <v>664</v>
      </c>
      <c r="HW21" s="108" t="s">
        <v>664</v>
      </c>
      <c r="HX21" s="108" t="s">
        <v>664</v>
      </c>
      <c r="HY21" s="108" t="s">
        <v>664</v>
      </c>
      <c r="HZ21" s="108" t="s">
        <v>664</v>
      </c>
      <c r="IA21" s="108" t="s">
        <v>664</v>
      </c>
      <c r="IB21" s="108" t="s">
        <v>664</v>
      </c>
      <c r="IC21" s="108" t="s">
        <v>664</v>
      </c>
      <c r="ID21" s="108" t="s">
        <v>664</v>
      </c>
      <c r="IE21" s="108" t="s">
        <v>664</v>
      </c>
      <c r="IF21" s="108" t="s">
        <v>664</v>
      </c>
      <c r="IG21" s="108" t="s">
        <v>664</v>
      </c>
      <c r="IH21" s="108" t="s">
        <v>664</v>
      </c>
      <c r="II21" s="108" t="s">
        <v>664</v>
      </c>
      <c r="IJ21" s="108" t="s">
        <v>664</v>
      </c>
      <c r="IK21" s="108" t="s">
        <v>664</v>
      </c>
      <c r="IL21" s="108" t="s">
        <v>664</v>
      </c>
      <c r="IM21" s="108" t="s">
        <v>664</v>
      </c>
      <c r="IN21" s="108" t="s">
        <v>664</v>
      </c>
      <c r="IO21" s="120" t="s">
        <v>503</v>
      </c>
      <c r="IP21" s="120" t="s">
        <v>503</v>
      </c>
      <c r="IQ21" s="120" t="s">
        <v>503</v>
      </c>
      <c r="IR21" s="120" t="s">
        <v>664</v>
      </c>
      <c r="IS21" s="120" t="s">
        <v>664</v>
      </c>
      <c r="IT21" s="120" t="s">
        <v>664</v>
      </c>
      <c r="IU21" s="108" t="s">
        <v>502</v>
      </c>
      <c r="IV21" s="108" t="s">
        <v>502</v>
      </c>
      <c r="IW21" s="108" t="s">
        <v>502</v>
      </c>
      <c r="IX21" s="120" t="s">
        <v>503</v>
      </c>
      <c r="IY21" s="120" t="s">
        <v>503</v>
      </c>
      <c r="IZ21" s="120" t="s">
        <v>503</v>
      </c>
      <c r="JA21" s="120" t="s">
        <v>503</v>
      </c>
      <c r="JB21" s="120" t="s">
        <v>503</v>
      </c>
      <c r="JC21" s="120" t="s">
        <v>503</v>
      </c>
      <c r="JD21" s="120" t="s">
        <v>664</v>
      </c>
      <c r="JE21" s="120" t="s">
        <v>664</v>
      </c>
      <c r="JF21" s="120" t="s">
        <v>664</v>
      </c>
      <c r="JG21" s="120" t="s">
        <v>664</v>
      </c>
      <c r="JH21" s="120" t="s">
        <v>664</v>
      </c>
      <c r="JI21" s="120" t="s">
        <v>664</v>
      </c>
      <c r="JJ21" s="120" t="s">
        <v>664</v>
      </c>
      <c r="JK21" s="120" t="s">
        <v>664</v>
      </c>
      <c r="JL21" s="120" t="s">
        <v>664</v>
      </c>
      <c r="JM21" s="120" t="s">
        <v>664</v>
      </c>
      <c r="JN21" s="120" t="s">
        <v>664</v>
      </c>
      <c r="JO21" s="120" t="s">
        <v>664</v>
      </c>
      <c r="JP21" s="110"/>
      <c r="JQ21" s="111">
        <v>0</v>
      </c>
      <c r="JR21" s="112">
        <f t="shared" si="0"/>
        <v>3</v>
      </c>
      <c r="JS21" s="113">
        <f t="shared" si="1"/>
        <v>24219.433333333334</v>
      </c>
      <c r="JT21" s="114">
        <f t="shared" si="2"/>
        <v>24250</v>
      </c>
      <c r="JU21" s="134"/>
    </row>
    <row r="22" spans="1:281" s="127" customFormat="1" ht="101.25" customHeight="1" x14ac:dyDescent="0.2">
      <c r="A22" s="98">
        <v>100</v>
      </c>
      <c r="B22" s="99">
        <v>100</v>
      </c>
      <c r="C22" s="39" t="s">
        <v>673</v>
      </c>
      <c r="D22" s="154" t="s">
        <v>237</v>
      </c>
      <c r="E22" s="61">
        <v>44121600</v>
      </c>
      <c r="F22" s="129" t="s">
        <v>242</v>
      </c>
      <c r="G22" s="102" t="s">
        <v>86</v>
      </c>
      <c r="H22" s="103" t="s">
        <v>501</v>
      </c>
      <c r="I22" s="125" t="s">
        <v>502</v>
      </c>
      <c r="J22" s="155" t="s">
        <v>502</v>
      </c>
      <c r="K22" s="155" t="s">
        <v>502</v>
      </c>
      <c r="L22" s="108" t="s">
        <v>503</v>
      </c>
      <c r="M22" s="108" t="s">
        <v>503</v>
      </c>
      <c r="N22" s="108" t="s">
        <v>503</v>
      </c>
      <c r="O22" s="108" t="s">
        <v>503</v>
      </c>
      <c r="P22" s="108" t="s">
        <v>503</v>
      </c>
      <c r="Q22" s="108" t="s">
        <v>503</v>
      </c>
      <c r="R22" s="108" t="s">
        <v>503</v>
      </c>
      <c r="S22" s="108" t="s">
        <v>503</v>
      </c>
      <c r="T22" s="108" t="s">
        <v>503</v>
      </c>
      <c r="U22" s="108" t="s">
        <v>503</v>
      </c>
      <c r="V22" s="108" t="s">
        <v>503</v>
      </c>
      <c r="W22" s="108" t="s">
        <v>503</v>
      </c>
      <c r="X22" s="108" t="s">
        <v>503</v>
      </c>
      <c r="Y22" s="108" t="s">
        <v>503</v>
      </c>
      <c r="Z22" s="108" t="s">
        <v>503</v>
      </c>
      <c r="AA22" s="108" t="s">
        <v>503</v>
      </c>
      <c r="AB22" s="108" t="s">
        <v>503</v>
      </c>
      <c r="AC22" s="108" t="s">
        <v>503</v>
      </c>
      <c r="AD22" s="108" t="s">
        <v>503</v>
      </c>
      <c r="AE22" s="108" t="s">
        <v>503</v>
      </c>
      <c r="AF22" s="108" t="s">
        <v>503</v>
      </c>
      <c r="AG22" s="108" t="s">
        <v>503</v>
      </c>
      <c r="AH22" s="108" t="s">
        <v>503</v>
      </c>
      <c r="AI22" s="108" t="s">
        <v>503</v>
      </c>
      <c r="AJ22" s="108" t="s">
        <v>503</v>
      </c>
      <c r="AK22" s="108" t="s">
        <v>503</v>
      </c>
      <c r="AL22" s="108" t="s">
        <v>503</v>
      </c>
      <c r="AM22" s="108" t="s">
        <v>503</v>
      </c>
      <c r="AN22" s="108" t="s">
        <v>503</v>
      </c>
      <c r="AO22" s="108" t="s">
        <v>503</v>
      </c>
      <c r="AP22" s="108" t="s">
        <v>503</v>
      </c>
      <c r="AQ22" s="108" t="s">
        <v>503</v>
      </c>
      <c r="AR22" s="108" t="s">
        <v>503</v>
      </c>
      <c r="AS22" s="108" t="s">
        <v>503</v>
      </c>
      <c r="AT22" s="108" t="s">
        <v>503</v>
      </c>
      <c r="AU22" s="108" t="s">
        <v>503</v>
      </c>
      <c r="AV22" s="108" t="s">
        <v>503</v>
      </c>
      <c r="AW22" s="108" t="s">
        <v>503</v>
      </c>
      <c r="AX22" s="108" t="s">
        <v>503</v>
      </c>
      <c r="AY22" s="108" t="s">
        <v>503</v>
      </c>
      <c r="AZ22" s="108" t="s">
        <v>503</v>
      </c>
      <c r="BA22" s="108" t="s">
        <v>503</v>
      </c>
      <c r="BB22" s="108" t="s">
        <v>503</v>
      </c>
      <c r="BC22" s="108" t="s">
        <v>503</v>
      </c>
      <c r="BD22" s="108" t="s">
        <v>503</v>
      </c>
      <c r="BE22" s="108" t="s">
        <v>503</v>
      </c>
      <c r="BF22" s="108" t="s">
        <v>503</v>
      </c>
      <c r="BG22" s="108" t="s">
        <v>503</v>
      </c>
      <c r="BH22" s="108" t="s">
        <v>503</v>
      </c>
      <c r="BI22" s="108" t="s">
        <v>503</v>
      </c>
      <c r="BJ22" s="108" t="s">
        <v>503</v>
      </c>
      <c r="BK22" s="108" t="s">
        <v>503</v>
      </c>
      <c r="BL22" s="108" t="s">
        <v>503</v>
      </c>
      <c r="BM22" s="108" t="s">
        <v>503</v>
      </c>
      <c r="BN22" s="108" t="s">
        <v>503</v>
      </c>
      <c r="BO22" s="108" t="s">
        <v>503</v>
      </c>
      <c r="BP22" s="108" t="s">
        <v>503</v>
      </c>
      <c r="BQ22" s="108" t="s">
        <v>503</v>
      </c>
      <c r="BR22" s="108" t="s">
        <v>503</v>
      </c>
      <c r="BS22" s="108" t="s">
        <v>503</v>
      </c>
      <c r="BT22" s="108" t="s">
        <v>503</v>
      </c>
      <c r="BU22" s="108" t="s">
        <v>503</v>
      </c>
      <c r="BV22" s="108" t="s">
        <v>503</v>
      </c>
      <c r="BW22" s="108" t="s">
        <v>503</v>
      </c>
      <c r="BX22" s="108" t="s">
        <v>503</v>
      </c>
      <c r="BY22" s="108" t="s">
        <v>503</v>
      </c>
      <c r="BZ22" s="108" t="s">
        <v>503</v>
      </c>
      <c r="CA22" s="108" t="s">
        <v>503</v>
      </c>
      <c r="CB22" s="108" t="s">
        <v>503</v>
      </c>
      <c r="CC22" s="108" t="s">
        <v>503</v>
      </c>
      <c r="CD22" s="108" t="s">
        <v>503</v>
      </c>
      <c r="CE22" s="108" t="s">
        <v>503</v>
      </c>
      <c r="CF22" s="108" t="s">
        <v>503</v>
      </c>
      <c r="CG22" s="108" t="s">
        <v>503</v>
      </c>
      <c r="CH22" s="108" t="s">
        <v>503</v>
      </c>
      <c r="CI22" s="108" t="s">
        <v>503</v>
      </c>
      <c r="CJ22" s="108" t="s">
        <v>503</v>
      </c>
      <c r="CK22" s="108" t="s">
        <v>503</v>
      </c>
      <c r="CL22" s="108" t="s">
        <v>503</v>
      </c>
      <c r="CM22" s="108" t="s">
        <v>503</v>
      </c>
      <c r="CN22" s="108" t="s">
        <v>503</v>
      </c>
      <c r="CO22" s="108" t="s">
        <v>503</v>
      </c>
      <c r="CP22" s="108" t="s">
        <v>503</v>
      </c>
      <c r="CQ22" s="108" t="s">
        <v>503</v>
      </c>
      <c r="CR22" s="108" t="s">
        <v>503</v>
      </c>
      <c r="CS22" s="108" t="s">
        <v>503</v>
      </c>
      <c r="CT22" s="108" t="s">
        <v>503</v>
      </c>
      <c r="CU22" s="108" t="s">
        <v>503</v>
      </c>
      <c r="CV22" s="108" t="s">
        <v>503</v>
      </c>
      <c r="CW22" s="108" t="s">
        <v>503</v>
      </c>
      <c r="CX22" s="71">
        <v>32000</v>
      </c>
      <c r="CY22" s="71">
        <f t="shared" ref="CY22:CY26" si="9">+CX22*19%</f>
        <v>6080</v>
      </c>
      <c r="CZ22" s="71">
        <f t="shared" ref="CZ22:CZ26" si="10">+CX22+CY22</f>
        <v>38080</v>
      </c>
      <c r="DA22" s="108" t="s">
        <v>503</v>
      </c>
      <c r="DB22" s="108" t="s">
        <v>503</v>
      </c>
      <c r="DC22" s="108" t="s">
        <v>503</v>
      </c>
      <c r="DD22" s="108" t="s">
        <v>503</v>
      </c>
      <c r="DE22" s="108" t="s">
        <v>503</v>
      </c>
      <c r="DF22" s="108" t="s">
        <v>503</v>
      </c>
      <c r="DG22" s="108" t="s">
        <v>503</v>
      </c>
      <c r="DH22" s="108" t="s">
        <v>503</v>
      </c>
      <c r="DI22" s="108" t="s">
        <v>503</v>
      </c>
      <c r="DJ22" s="118">
        <v>38400</v>
      </c>
      <c r="DK22" s="118">
        <f>+DJ22*19%</f>
        <v>7296</v>
      </c>
      <c r="DL22" s="118">
        <f>+DJ22+DK22</f>
        <v>45696</v>
      </c>
      <c r="DM22" s="118">
        <v>33000</v>
      </c>
      <c r="DN22" s="118">
        <f>+DM22*19%</f>
        <v>6270</v>
      </c>
      <c r="DO22" s="118">
        <f>+DM22+DN22</f>
        <v>39270</v>
      </c>
      <c r="DP22" s="108" t="s">
        <v>669</v>
      </c>
      <c r="DQ22" s="108" t="s">
        <v>669</v>
      </c>
      <c r="DR22" s="108" t="s">
        <v>669</v>
      </c>
      <c r="DS22" s="108" t="s">
        <v>669</v>
      </c>
      <c r="DT22" s="108" t="s">
        <v>669</v>
      </c>
      <c r="DU22" s="108" t="s">
        <v>669</v>
      </c>
      <c r="DV22" s="108" t="s">
        <v>669</v>
      </c>
      <c r="DW22" s="108" t="s">
        <v>669</v>
      </c>
      <c r="DX22" s="108" t="s">
        <v>669</v>
      </c>
      <c r="DY22" s="108" t="s">
        <v>503</v>
      </c>
      <c r="DZ22" s="108" t="s">
        <v>503</v>
      </c>
      <c r="EA22" s="108" t="s">
        <v>503</v>
      </c>
      <c r="EB22" s="108" t="s">
        <v>503</v>
      </c>
      <c r="EC22" s="108" t="s">
        <v>503</v>
      </c>
      <c r="ED22" s="108" t="s">
        <v>503</v>
      </c>
      <c r="EE22" s="108" t="s">
        <v>503</v>
      </c>
      <c r="EF22" s="108" t="s">
        <v>503</v>
      </c>
      <c r="EG22" s="108" t="s">
        <v>503</v>
      </c>
      <c r="EH22" s="108" t="s">
        <v>503</v>
      </c>
      <c r="EI22" s="108" t="s">
        <v>503</v>
      </c>
      <c r="EJ22" s="108" t="s">
        <v>503</v>
      </c>
      <c r="EK22" s="108" t="s">
        <v>503</v>
      </c>
      <c r="EL22" s="108" t="s">
        <v>503</v>
      </c>
      <c r="EM22" s="108" t="s">
        <v>503</v>
      </c>
      <c r="EN22" s="108" t="s">
        <v>503</v>
      </c>
      <c r="EO22" s="108" t="s">
        <v>503</v>
      </c>
      <c r="EP22" s="108" t="s">
        <v>503</v>
      </c>
      <c r="EQ22" s="108" t="s">
        <v>503</v>
      </c>
      <c r="ER22" s="108" t="s">
        <v>503</v>
      </c>
      <c r="ES22" s="108" t="s">
        <v>503</v>
      </c>
      <c r="ET22" s="108" t="s">
        <v>503</v>
      </c>
      <c r="EU22" s="108" t="s">
        <v>503</v>
      </c>
      <c r="EV22" s="108" t="s">
        <v>503</v>
      </c>
      <c r="EW22" s="108" t="s">
        <v>503</v>
      </c>
      <c r="EX22" s="108" t="s">
        <v>503</v>
      </c>
      <c r="EY22" s="108" t="s">
        <v>503</v>
      </c>
      <c r="EZ22" s="108" t="s">
        <v>503</v>
      </c>
      <c r="FA22" s="108" t="s">
        <v>503</v>
      </c>
      <c r="FB22" s="108" t="s">
        <v>503</v>
      </c>
      <c r="FC22" s="108" t="s">
        <v>503</v>
      </c>
      <c r="FD22" s="108" t="s">
        <v>503</v>
      </c>
      <c r="FE22" s="108" t="s">
        <v>503</v>
      </c>
      <c r="FF22" s="108" t="s">
        <v>503</v>
      </c>
      <c r="FG22" s="108" t="s">
        <v>503</v>
      </c>
      <c r="FH22" s="108" t="s">
        <v>503</v>
      </c>
      <c r="FI22" s="108" t="s">
        <v>503</v>
      </c>
      <c r="FJ22" s="108" t="s">
        <v>503</v>
      </c>
      <c r="FK22" s="108" t="s">
        <v>503</v>
      </c>
      <c r="FL22" s="108" t="s">
        <v>502</v>
      </c>
      <c r="FM22" s="108" t="s">
        <v>502</v>
      </c>
      <c r="FN22" s="108" t="s">
        <v>502</v>
      </c>
      <c r="FO22" s="108" t="s">
        <v>503</v>
      </c>
      <c r="FP22" s="108" t="s">
        <v>503</v>
      </c>
      <c r="FQ22" s="108" t="s">
        <v>503</v>
      </c>
      <c r="FR22" s="108" t="s">
        <v>503</v>
      </c>
      <c r="FS22" s="108" t="s">
        <v>503</v>
      </c>
      <c r="FT22" s="108" t="s">
        <v>503</v>
      </c>
      <c r="FU22" s="108" t="s">
        <v>503</v>
      </c>
      <c r="FV22" s="108" t="s">
        <v>503</v>
      </c>
      <c r="FW22" s="108" t="s">
        <v>503</v>
      </c>
      <c r="FX22" s="108" t="s">
        <v>503</v>
      </c>
      <c r="FY22" s="108" t="s">
        <v>503</v>
      </c>
      <c r="FZ22" s="108" t="s">
        <v>503</v>
      </c>
      <c r="GA22" s="108" t="s">
        <v>503</v>
      </c>
      <c r="GB22" s="108" t="s">
        <v>503</v>
      </c>
      <c r="GC22" s="108" t="s">
        <v>503</v>
      </c>
      <c r="GD22" s="108" t="s">
        <v>503</v>
      </c>
      <c r="GE22" s="108" t="s">
        <v>503</v>
      </c>
      <c r="GF22" s="108" t="s">
        <v>503</v>
      </c>
      <c r="GG22" s="108" t="s">
        <v>503</v>
      </c>
      <c r="GH22" s="108" t="s">
        <v>503</v>
      </c>
      <c r="GI22" s="108" t="s">
        <v>503</v>
      </c>
      <c r="GJ22" s="108" t="s">
        <v>503</v>
      </c>
      <c r="GK22" s="108" t="s">
        <v>503</v>
      </c>
      <c r="GL22" s="108" t="s">
        <v>503</v>
      </c>
      <c r="GM22" s="108" t="s">
        <v>503</v>
      </c>
      <c r="GN22" s="108" t="s">
        <v>503</v>
      </c>
      <c r="GO22" s="108" t="s">
        <v>503</v>
      </c>
      <c r="GP22" s="108" t="s">
        <v>664</v>
      </c>
      <c r="GQ22" s="108" t="s">
        <v>664</v>
      </c>
      <c r="GR22" s="108" t="s">
        <v>664</v>
      </c>
      <c r="GS22" s="108" t="s">
        <v>664</v>
      </c>
      <c r="GT22" s="108" t="s">
        <v>664</v>
      </c>
      <c r="GU22" s="108" t="s">
        <v>664</v>
      </c>
      <c r="GV22" s="108" t="s">
        <v>664</v>
      </c>
      <c r="GW22" s="108" t="s">
        <v>664</v>
      </c>
      <c r="GX22" s="108" t="s">
        <v>664</v>
      </c>
      <c r="GY22" s="108" t="s">
        <v>664</v>
      </c>
      <c r="GZ22" s="108" t="s">
        <v>664</v>
      </c>
      <c r="HA22" s="108" t="s">
        <v>664</v>
      </c>
      <c r="HB22" s="108" t="s">
        <v>664</v>
      </c>
      <c r="HC22" s="108" t="s">
        <v>664</v>
      </c>
      <c r="HD22" s="108" t="s">
        <v>664</v>
      </c>
      <c r="HE22" s="108" t="s">
        <v>664</v>
      </c>
      <c r="HF22" s="108" t="s">
        <v>664</v>
      </c>
      <c r="HG22" s="108" t="s">
        <v>664</v>
      </c>
      <c r="HH22" s="108" t="s">
        <v>664</v>
      </c>
      <c r="HI22" s="108" t="s">
        <v>664</v>
      </c>
      <c r="HJ22" s="108" t="s">
        <v>664</v>
      </c>
      <c r="HK22" s="108" t="s">
        <v>664</v>
      </c>
      <c r="HL22" s="108" t="s">
        <v>664</v>
      </c>
      <c r="HM22" s="108" t="s">
        <v>664</v>
      </c>
      <c r="HN22" s="108" t="s">
        <v>664</v>
      </c>
      <c r="HO22" s="108" t="s">
        <v>664</v>
      </c>
      <c r="HP22" s="108" t="s">
        <v>664</v>
      </c>
      <c r="HQ22" s="108" t="s">
        <v>664</v>
      </c>
      <c r="HR22" s="108" t="s">
        <v>664</v>
      </c>
      <c r="HS22" s="108" t="s">
        <v>664</v>
      </c>
      <c r="HT22" s="108" t="s">
        <v>664</v>
      </c>
      <c r="HU22" s="108" t="s">
        <v>664</v>
      </c>
      <c r="HV22" s="108" t="s">
        <v>664</v>
      </c>
      <c r="HW22" s="108" t="s">
        <v>664</v>
      </c>
      <c r="HX22" s="108" t="s">
        <v>664</v>
      </c>
      <c r="HY22" s="108" t="s">
        <v>664</v>
      </c>
      <c r="HZ22" s="108" t="s">
        <v>664</v>
      </c>
      <c r="IA22" s="108" t="s">
        <v>664</v>
      </c>
      <c r="IB22" s="108" t="s">
        <v>664</v>
      </c>
      <c r="IC22" s="108" t="s">
        <v>664</v>
      </c>
      <c r="ID22" s="108" t="s">
        <v>664</v>
      </c>
      <c r="IE22" s="108" t="s">
        <v>664</v>
      </c>
      <c r="IF22" s="108" t="s">
        <v>664</v>
      </c>
      <c r="IG22" s="108" t="s">
        <v>664</v>
      </c>
      <c r="IH22" s="108" t="s">
        <v>664</v>
      </c>
      <c r="II22" s="108" t="s">
        <v>664</v>
      </c>
      <c r="IJ22" s="108" t="s">
        <v>664</v>
      </c>
      <c r="IK22" s="108" t="s">
        <v>664</v>
      </c>
      <c r="IL22" s="108" t="s">
        <v>664</v>
      </c>
      <c r="IM22" s="108" t="s">
        <v>664</v>
      </c>
      <c r="IN22" s="108" t="s">
        <v>664</v>
      </c>
      <c r="IO22" s="120" t="s">
        <v>503</v>
      </c>
      <c r="IP22" s="120" t="s">
        <v>503</v>
      </c>
      <c r="IQ22" s="120" t="s">
        <v>503</v>
      </c>
      <c r="IR22" s="120" t="s">
        <v>664</v>
      </c>
      <c r="IS22" s="120" t="s">
        <v>664</v>
      </c>
      <c r="IT22" s="120" t="s">
        <v>664</v>
      </c>
      <c r="IU22" s="108" t="s">
        <v>502</v>
      </c>
      <c r="IV22" s="108" t="s">
        <v>502</v>
      </c>
      <c r="IW22" s="108" t="s">
        <v>502</v>
      </c>
      <c r="IX22" s="120" t="s">
        <v>503</v>
      </c>
      <c r="IY22" s="120" t="s">
        <v>503</v>
      </c>
      <c r="IZ22" s="120" t="s">
        <v>503</v>
      </c>
      <c r="JA22" s="120" t="s">
        <v>503</v>
      </c>
      <c r="JB22" s="120" t="s">
        <v>503</v>
      </c>
      <c r="JC22" s="120" t="s">
        <v>503</v>
      </c>
      <c r="JD22" s="120" t="s">
        <v>664</v>
      </c>
      <c r="JE22" s="120" t="s">
        <v>664</v>
      </c>
      <c r="JF22" s="120" t="s">
        <v>664</v>
      </c>
      <c r="JG22" s="120" t="s">
        <v>664</v>
      </c>
      <c r="JH22" s="120" t="s">
        <v>664</v>
      </c>
      <c r="JI22" s="120" t="s">
        <v>664</v>
      </c>
      <c r="JJ22" s="120" t="s">
        <v>664</v>
      </c>
      <c r="JK22" s="120" t="s">
        <v>664</v>
      </c>
      <c r="JL22" s="120" t="s">
        <v>664</v>
      </c>
      <c r="JM22" s="120" t="s">
        <v>664</v>
      </c>
      <c r="JN22" s="120" t="s">
        <v>664</v>
      </c>
      <c r="JO22" s="120" t="s">
        <v>664</v>
      </c>
      <c r="JP22" s="110">
        <v>52500</v>
      </c>
      <c r="JQ22" s="111">
        <v>62725.605600000003</v>
      </c>
      <c r="JR22" s="112">
        <f t="shared" si="0"/>
        <v>3</v>
      </c>
      <c r="JS22" s="113">
        <f t="shared" si="1"/>
        <v>41015.333333333336</v>
      </c>
      <c r="JT22" s="114">
        <f t="shared" si="2"/>
        <v>41050</v>
      </c>
      <c r="JU22" s="134"/>
    </row>
    <row r="23" spans="1:281" ht="101.25" customHeight="1" x14ac:dyDescent="0.2">
      <c r="A23" s="98">
        <v>107</v>
      </c>
      <c r="B23" s="99">
        <v>107</v>
      </c>
      <c r="C23" s="39" t="s">
        <v>673</v>
      </c>
      <c r="D23" s="100" t="s">
        <v>245</v>
      </c>
      <c r="E23" s="61">
        <v>44121600</v>
      </c>
      <c r="F23" s="101" t="s">
        <v>247</v>
      </c>
      <c r="G23" s="102" t="s">
        <v>248</v>
      </c>
      <c r="H23" s="103" t="s">
        <v>501</v>
      </c>
      <c r="I23" s="125" t="s">
        <v>502</v>
      </c>
      <c r="J23" s="125" t="s">
        <v>502</v>
      </c>
      <c r="K23" s="125" t="s">
        <v>502</v>
      </c>
      <c r="L23" s="108" t="s">
        <v>503</v>
      </c>
      <c r="M23" s="108" t="s">
        <v>503</v>
      </c>
      <c r="N23" s="108" t="s">
        <v>503</v>
      </c>
      <c r="O23" s="108" t="s">
        <v>503</v>
      </c>
      <c r="P23" s="108" t="s">
        <v>503</v>
      </c>
      <c r="Q23" s="108" t="s">
        <v>503</v>
      </c>
      <c r="R23" s="108" t="s">
        <v>503</v>
      </c>
      <c r="S23" s="108" t="s">
        <v>503</v>
      </c>
      <c r="T23" s="108" t="s">
        <v>503</v>
      </c>
      <c r="U23" s="108" t="s">
        <v>503</v>
      </c>
      <c r="V23" s="108" t="s">
        <v>503</v>
      </c>
      <c r="W23" s="108" t="s">
        <v>503</v>
      </c>
      <c r="X23" s="108" t="s">
        <v>503</v>
      </c>
      <c r="Y23" s="108" t="s">
        <v>503</v>
      </c>
      <c r="Z23" s="108" t="s">
        <v>503</v>
      </c>
      <c r="AA23" s="108" t="s">
        <v>503</v>
      </c>
      <c r="AB23" s="108" t="s">
        <v>503</v>
      </c>
      <c r="AC23" s="108" t="s">
        <v>503</v>
      </c>
      <c r="AD23" s="108" t="s">
        <v>503</v>
      </c>
      <c r="AE23" s="108" t="s">
        <v>503</v>
      </c>
      <c r="AF23" s="108" t="s">
        <v>503</v>
      </c>
      <c r="AG23" s="108" t="s">
        <v>503</v>
      </c>
      <c r="AH23" s="108" t="s">
        <v>503</v>
      </c>
      <c r="AI23" s="108" t="s">
        <v>503</v>
      </c>
      <c r="AJ23" s="108" t="s">
        <v>503</v>
      </c>
      <c r="AK23" s="108" t="s">
        <v>503</v>
      </c>
      <c r="AL23" s="108" t="s">
        <v>503</v>
      </c>
      <c r="AM23" s="108" t="s">
        <v>503</v>
      </c>
      <c r="AN23" s="108" t="s">
        <v>503</v>
      </c>
      <c r="AO23" s="108" t="s">
        <v>503</v>
      </c>
      <c r="AP23" s="108" t="s">
        <v>503</v>
      </c>
      <c r="AQ23" s="108" t="s">
        <v>503</v>
      </c>
      <c r="AR23" s="108" t="s">
        <v>503</v>
      </c>
      <c r="AS23" s="108" t="s">
        <v>503</v>
      </c>
      <c r="AT23" s="108" t="s">
        <v>503</v>
      </c>
      <c r="AU23" s="108" t="s">
        <v>503</v>
      </c>
      <c r="AV23" s="108" t="s">
        <v>503</v>
      </c>
      <c r="AW23" s="108" t="s">
        <v>503</v>
      </c>
      <c r="AX23" s="108" t="s">
        <v>503</v>
      </c>
      <c r="AY23" s="108" t="s">
        <v>503</v>
      </c>
      <c r="AZ23" s="108" t="s">
        <v>503</v>
      </c>
      <c r="BA23" s="108" t="s">
        <v>503</v>
      </c>
      <c r="BB23" s="108" t="s">
        <v>503</v>
      </c>
      <c r="BC23" s="108" t="s">
        <v>503</v>
      </c>
      <c r="BD23" s="108" t="s">
        <v>503</v>
      </c>
      <c r="BE23" s="108" t="s">
        <v>503</v>
      </c>
      <c r="BF23" s="108" t="s">
        <v>503</v>
      </c>
      <c r="BG23" s="108" t="s">
        <v>503</v>
      </c>
      <c r="BH23" s="108" t="s">
        <v>503</v>
      </c>
      <c r="BI23" s="108" t="s">
        <v>503</v>
      </c>
      <c r="BJ23" s="108" t="s">
        <v>503</v>
      </c>
      <c r="BK23" s="108" t="s">
        <v>503</v>
      </c>
      <c r="BL23" s="108" t="s">
        <v>503</v>
      </c>
      <c r="BM23" s="108" t="s">
        <v>503</v>
      </c>
      <c r="BN23" s="108" t="s">
        <v>503</v>
      </c>
      <c r="BO23" s="108" t="s">
        <v>503</v>
      </c>
      <c r="BP23" s="108" t="s">
        <v>503</v>
      </c>
      <c r="BQ23" s="108" t="s">
        <v>503</v>
      </c>
      <c r="BR23" s="108" t="s">
        <v>503</v>
      </c>
      <c r="BS23" s="108" t="s">
        <v>503</v>
      </c>
      <c r="BT23" s="108" t="s">
        <v>503</v>
      </c>
      <c r="BU23" s="108" t="s">
        <v>503</v>
      </c>
      <c r="BV23" s="108" t="s">
        <v>503</v>
      </c>
      <c r="BW23" s="108" t="s">
        <v>503</v>
      </c>
      <c r="BX23" s="108" t="s">
        <v>503</v>
      </c>
      <c r="BY23" s="108" t="s">
        <v>503</v>
      </c>
      <c r="BZ23" s="108" t="s">
        <v>503</v>
      </c>
      <c r="CA23" s="108" t="s">
        <v>503</v>
      </c>
      <c r="CB23" s="108" t="s">
        <v>503</v>
      </c>
      <c r="CC23" s="108" t="s">
        <v>503</v>
      </c>
      <c r="CD23" s="108" t="s">
        <v>503</v>
      </c>
      <c r="CE23" s="108" t="s">
        <v>503</v>
      </c>
      <c r="CF23" s="108" t="s">
        <v>503</v>
      </c>
      <c r="CG23" s="108" t="s">
        <v>503</v>
      </c>
      <c r="CH23" s="108" t="s">
        <v>503</v>
      </c>
      <c r="CI23" s="108" t="s">
        <v>503</v>
      </c>
      <c r="CJ23" s="108" t="s">
        <v>503</v>
      </c>
      <c r="CK23" s="108" t="s">
        <v>503</v>
      </c>
      <c r="CL23" s="108" t="s">
        <v>503</v>
      </c>
      <c r="CM23" s="108" t="s">
        <v>503</v>
      </c>
      <c r="CN23" s="108" t="s">
        <v>503</v>
      </c>
      <c r="CO23" s="108" t="s">
        <v>503</v>
      </c>
      <c r="CP23" s="108" t="s">
        <v>503</v>
      </c>
      <c r="CQ23" s="108" t="s">
        <v>503</v>
      </c>
      <c r="CR23" s="108" t="s">
        <v>503</v>
      </c>
      <c r="CS23" s="108" t="s">
        <v>503</v>
      </c>
      <c r="CT23" s="108" t="s">
        <v>503</v>
      </c>
      <c r="CU23" s="153">
        <v>2500</v>
      </c>
      <c r="CV23" s="118">
        <f t="shared" ref="CV23:CV26" si="11">+CU23*19%</f>
        <v>475</v>
      </c>
      <c r="CW23" s="118">
        <f t="shared" ref="CW23:CW26" si="12">+CU23+CV23</f>
        <v>2975</v>
      </c>
      <c r="CX23" s="108" t="s">
        <v>503</v>
      </c>
      <c r="CY23" s="108" t="s">
        <v>503</v>
      </c>
      <c r="CZ23" s="108" t="s">
        <v>503</v>
      </c>
      <c r="DA23" s="108" t="s">
        <v>503</v>
      </c>
      <c r="DB23" s="108" t="s">
        <v>503</v>
      </c>
      <c r="DC23" s="108" t="s">
        <v>503</v>
      </c>
      <c r="DD23" s="108" t="s">
        <v>503</v>
      </c>
      <c r="DE23" s="108" t="s">
        <v>503</v>
      </c>
      <c r="DF23" s="108" t="s">
        <v>503</v>
      </c>
      <c r="DG23" s="108" t="s">
        <v>503</v>
      </c>
      <c r="DH23" s="108" t="s">
        <v>503</v>
      </c>
      <c r="DI23" s="108" t="s">
        <v>503</v>
      </c>
      <c r="DJ23" s="118" t="s">
        <v>502</v>
      </c>
      <c r="DK23" s="118" t="s">
        <v>502</v>
      </c>
      <c r="DL23" s="118" t="s">
        <v>502</v>
      </c>
      <c r="DM23" s="108" t="s">
        <v>503</v>
      </c>
      <c r="DN23" s="108" t="s">
        <v>503</v>
      </c>
      <c r="DO23" s="108" t="s">
        <v>503</v>
      </c>
      <c r="DP23" s="108" t="s">
        <v>669</v>
      </c>
      <c r="DQ23" s="108" t="s">
        <v>669</v>
      </c>
      <c r="DR23" s="108" t="s">
        <v>669</v>
      </c>
      <c r="DS23" s="108" t="s">
        <v>669</v>
      </c>
      <c r="DT23" s="108" t="s">
        <v>669</v>
      </c>
      <c r="DU23" s="108" t="s">
        <v>669</v>
      </c>
      <c r="DV23" s="108" t="s">
        <v>669</v>
      </c>
      <c r="DW23" s="108" t="s">
        <v>669</v>
      </c>
      <c r="DX23" s="108" t="s">
        <v>669</v>
      </c>
      <c r="DY23" s="108" t="s">
        <v>503</v>
      </c>
      <c r="DZ23" s="108" t="s">
        <v>503</v>
      </c>
      <c r="EA23" s="108" t="s">
        <v>503</v>
      </c>
      <c r="EB23" s="108" t="s">
        <v>503</v>
      </c>
      <c r="EC23" s="108" t="s">
        <v>503</v>
      </c>
      <c r="ED23" s="108" t="s">
        <v>503</v>
      </c>
      <c r="EE23" s="108" t="s">
        <v>503</v>
      </c>
      <c r="EF23" s="108" t="s">
        <v>503</v>
      </c>
      <c r="EG23" s="108" t="s">
        <v>503</v>
      </c>
      <c r="EH23" s="108" t="s">
        <v>503</v>
      </c>
      <c r="EI23" s="108" t="s">
        <v>503</v>
      </c>
      <c r="EJ23" s="108" t="s">
        <v>503</v>
      </c>
      <c r="EK23" s="108" t="s">
        <v>503</v>
      </c>
      <c r="EL23" s="108" t="s">
        <v>503</v>
      </c>
      <c r="EM23" s="108" t="s">
        <v>503</v>
      </c>
      <c r="EN23" s="108" t="s">
        <v>503</v>
      </c>
      <c r="EO23" s="108" t="s">
        <v>503</v>
      </c>
      <c r="EP23" s="108" t="s">
        <v>503</v>
      </c>
      <c r="EQ23" s="108" t="s">
        <v>503</v>
      </c>
      <c r="ER23" s="108" t="s">
        <v>503</v>
      </c>
      <c r="ES23" s="108" t="s">
        <v>503</v>
      </c>
      <c r="ET23" s="108" t="s">
        <v>503</v>
      </c>
      <c r="EU23" s="108" t="s">
        <v>503</v>
      </c>
      <c r="EV23" s="108" t="s">
        <v>503</v>
      </c>
      <c r="EW23" s="108" t="s">
        <v>503</v>
      </c>
      <c r="EX23" s="108" t="s">
        <v>503</v>
      </c>
      <c r="EY23" s="108" t="s">
        <v>503</v>
      </c>
      <c r="EZ23" s="108" t="s">
        <v>503</v>
      </c>
      <c r="FA23" s="108" t="s">
        <v>503</v>
      </c>
      <c r="FB23" s="108" t="s">
        <v>503</v>
      </c>
      <c r="FC23" s="108" t="s">
        <v>503</v>
      </c>
      <c r="FD23" s="108" t="s">
        <v>503</v>
      </c>
      <c r="FE23" s="108" t="s">
        <v>503</v>
      </c>
      <c r="FF23" s="108" t="s">
        <v>503</v>
      </c>
      <c r="FG23" s="108" t="s">
        <v>503</v>
      </c>
      <c r="FH23" s="108" t="s">
        <v>503</v>
      </c>
      <c r="FI23" s="108" t="s">
        <v>503</v>
      </c>
      <c r="FJ23" s="108" t="s">
        <v>503</v>
      </c>
      <c r="FK23" s="108" t="s">
        <v>503</v>
      </c>
      <c r="FL23" s="71">
        <f>2700/1.19</f>
        <v>2268.90756302521</v>
      </c>
      <c r="FM23" s="71">
        <f>FL23*0.19</f>
        <v>431.0924369747899</v>
      </c>
      <c r="FN23" s="71">
        <f>FL23+FM23</f>
        <v>2700</v>
      </c>
      <c r="FO23" s="108" t="s">
        <v>503</v>
      </c>
      <c r="FP23" s="108" t="s">
        <v>503</v>
      </c>
      <c r="FQ23" s="108" t="s">
        <v>503</v>
      </c>
      <c r="FR23" s="108" t="s">
        <v>503</v>
      </c>
      <c r="FS23" s="108" t="s">
        <v>503</v>
      </c>
      <c r="FT23" s="108" t="s">
        <v>503</v>
      </c>
      <c r="FU23" s="108" t="s">
        <v>503</v>
      </c>
      <c r="FV23" s="108" t="s">
        <v>503</v>
      </c>
      <c r="FW23" s="108" t="s">
        <v>503</v>
      </c>
      <c r="FX23" s="108" t="s">
        <v>503</v>
      </c>
      <c r="FY23" s="108" t="s">
        <v>503</v>
      </c>
      <c r="FZ23" s="108" t="s">
        <v>503</v>
      </c>
      <c r="GA23" s="108" t="s">
        <v>503</v>
      </c>
      <c r="GB23" s="108" t="s">
        <v>503</v>
      </c>
      <c r="GC23" s="108" t="s">
        <v>503</v>
      </c>
      <c r="GD23" s="108" t="s">
        <v>503</v>
      </c>
      <c r="GE23" s="108" t="s">
        <v>503</v>
      </c>
      <c r="GF23" s="108" t="s">
        <v>503</v>
      </c>
      <c r="GG23" s="108" t="s">
        <v>503</v>
      </c>
      <c r="GH23" s="108" t="s">
        <v>503</v>
      </c>
      <c r="GI23" s="108" t="s">
        <v>503</v>
      </c>
      <c r="GJ23" s="108" t="s">
        <v>503</v>
      </c>
      <c r="GK23" s="108" t="s">
        <v>503</v>
      </c>
      <c r="GL23" s="108" t="s">
        <v>503</v>
      </c>
      <c r="GM23" s="108" t="s">
        <v>503</v>
      </c>
      <c r="GN23" s="108" t="s">
        <v>503</v>
      </c>
      <c r="GO23" s="108" t="s">
        <v>503</v>
      </c>
      <c r="GP23" s="108" t="s">
        <v>664</v>
      </c>
      <c r="GQ23" s="108" t="s">
        <v>664</v>
      </c>
      <c r="GR23" s="108" t="s">
        <v>664</v>
      </c>
      <c r="GS23" s="108" t="s">
        <v>664</v>
      </c>
      <c r="GT23" s="108" t="s">
        <v>664</v>
      </c>
      <c r="GU23" s="108" t="s">
        <v>664</v>
      </c>
      <c r="GV23" s="108" t="s">
        <v>664</v>
      </c>
      <c r="GW23" s="108" t="s">
        <v>664</v>
      </c>
      <c r="GX23" s="108" t="s">
        <v>664</v>
      </c>
      <c r="GY23" s="108" t="s">
        <v>664</v>
      </c>
      <c r="GZ23" s="108" t="s">
        <v>664</v>
      </c>
      <c r="HA23" s="108" t="s">
        <v>664</v>
      </c>
      <c r="HB23" s="108" t="s">
        <v>664</v>
      </c>
      <c r="HC23" s="108" t="s">
        <v>664</v>
      </c>
      <c r="HD23" s="108" t="s">
        <v>664</v>
      </c>
      <c r="HE23" s="108" t="s">
        <v>664</v>
      </c>
      <c r="HF23" s="108" t="s">
        <v>664</v>
      </c>
      <c r="HG23" s="108" t="s">
        <v>664</v>
      </c>
      <c r="HH23" s="108" t="s">
        <v>664</v>
      </c>
      <c r="HI23" s="108" t="s">
        <v>664</v>
      </c>
      <c r="HJ23" s="108" t="s">
        <v>664</v>
      </c>
      <c r="HK23" s="108" t="s">
        <v>664</v>
      </c>
      <c r="HL23" s="108" t="s">
        <v>664</v>
      </c>
      <c r="HM23" s="108" t="s">
        <v>664</v>
      </c>
      <c r="HN23" s="108" t="s">
        <v>664</v>
      </c>
      <c r="HO23" s="108" t="s">
        <v>664</v>
      </c>
      <c r="HP23" s="108" t="s">
        <v>664</v>
      </c>
      <c r="HQ23" s="108" t="s">
        <v>664</v>
      </c>
      <c r="HR23" s="108" t="s">
        <v>664</v>
      </c>
      <c r="HS23" s="108" t="s">
        <v>664</v>
      </c>
      <c r="HT23" s="108" t="s">
        <v>664</v>
      </c>
      <c r="HU23" s="108" t="s">
        <v>664</v>
      </c>
      <c r="HV23" s="108" t="s">
        <v>664</v>
      </c>
      <c r="HW23" s="108" t="s">
        <v>664</v>
      </c>
      <c r="HX23" s="108" t="s">
        <v>664</v>
      </c>
      <c r="HY23" s="108" t="s">
        <v>664</v>
      </c>
      <c r="HZ23" s="108" t="s">
        <v>664</v>
      </c>
      <c r="IA23" s="108" t="s">
        <v>664</v>
      </c>
      <c r="IB23" s="108" t="s">
        <v>664</v>
      </c>
      <c r="IC23" s="108" t="s">
        <v>664</v>
      </c>
      <c r="ID23" s="108" t="s">
        <v>664</v>
      </c>
      <c r="IE23" s="108" t="s">
        <v>664</v>
      </c>
      <c r="IF23" s="108" t="s">
        <v>664</v>
      </c>
      <c r="IG23" s="108" t="s">
        <v>664</v>
      </c>
      <c r="IH23" s="108" t="s">
        <v>664</v>
      </c>
      <c r="II23" s="108" t="s">
        <v>664</v>
      </c>
      <c r="IJ23" s="108" t="s">
        <v>664</v>
      </c>
      <c r="IK23" s="108" t="s">
        <v>664</v>
      </c>
      <c r="IL23" s="108" t="s">
        <v>664</v>
      </c>
      <c r="IM23" s="108" t="s">
        <v>664</v>
      </c>
      <c r="IN23" s="108" t="s">
        <v>664</v>
      </c>
      <c r="IO23" s="120" t="s">
        <v>503</v>
      </c>
      <c r="IP23" s="120" t="s">
        <v>503</v>
      </c>
      <c r="IQ23" s="120" t="s">
        <v>503</v>
      </c>
      <c r="IR23" s="120" t="s">
        <v>664</v>
      </c>
      <c r="IS23" s="120" t="s">
        <v>664</v>
      </c>
      <c r="IT23" s="120" t="s">
        <v>664</v>
      </c>
      <c r="IU23" s="108" t="s">
        <v>502</v>
      </c>
      <c r="IV23" s="108" t="s">
        <v>502</v>
      </c>
      <c r="IW23" s="108" t="s">
        <v>502</v>
      </c>
      <c r="IX23" s="120" t="s">
        <v>503</v>
      </c>
      <c r="IY23" s="120" t="s">
        <v>503</v>
      </c>
      <c r="IZ23" s="120" t="s">
        <v>503</v>
      </c>
      <c r="JA23" s="120" t="s">
        <v>503</v>
      </c>
      <c r="JB23" s="120" t="s">
        <v>503</v>
      </c>
      <c r="JC23" s="120" t="s">
        <v>503</v>
      </c>
      <c r="JD23" s="120" t="s">
        <v>664</v>
      </c>
      <c r="JE23" s="120" t="s">
        <v>664</v>
      </c>
      <c r="JF23" s="120" t="s">
        <v>664</v>
      </c>
      <c r="JG23" s="120" t="s">
        <v>664</v>
      </c>
      <c r="JH23" s="120" t="s">
        <v>664</v>
      </c>
      <c r="JI23" s="120" t="s">
        <v>664</v>
      </c>
      <c r="JJ23" s="120" t="s">
        <v>664</v>
      </c>
      <c r="JK23" s="120" t="s">
        <v>664</v>
      </c>
      <c r="JL23" s="120" t="s">
        <v>664</v>
      </c>
      <c r="JM23" s="120" t="s">
        <v>664</v>
      </c>
      <c r="JN23" s="120" t="s">
        <v>664</v>
      </c>
      <c r="JO23" s="120" t="s">
        <v>664</v>
      </c>
      <c r="JP23" s="110">
        <v>3450</v>
      </c>
      <c r="JQ23" s="111">
        <v>4121.9683679999998</v>
      </c>
      <c r="JR23" s="112">
        <f t="shared" si="0"/>
        <v>2</v>
      </c>
      <c r="JS23" s="113">
        <f t="shared" si="1"/>
        <v>2837.5</v>
      </c>
      <c r="JT23" s="114">
        <f t="shared" si="2"/>
        <v>2850</v>
      </c>
      <c r="JU23" s="134"/>
    </row>
    <row r="24" spans="1:281" ht="101.25" customHeight="1" x14ac:dyDescent="0.2">
      <c r="A24" s="98">
        <v>108</v>
      </c>
      <c r="B24" s="99">
        <v>108</v>
      </c>
      <c r="C24" s="39" t="s">
        <v>673</v>
      </c>
      <c r="D24" s="100" t="s">
        <v>246</v>
      </c>
      <c r="E24" s="61">
        <v>44121600</v>
      </c>
      <c r="F24" s="101" t="s">
        <v>249</v>
      </c>
      <c r="G24" s="102" t="s">
        <v>87</v>
      </c>
      <c r="H24" s="103" t="s">
        <v>501</v>
      </c>
      <c r="I24" s="71">
        <v>29714</v>
      </c>
      <c r="J24" s="156">
        <f t="shared" si="7"/>
        <v>5645.66</v>
      </c>
      <c r="K24" s="71">
        <f t="shared" si="8"/>
        <v>35359.660000000003</v>
      </c>
      <c r="L24" s="108" t="s">
        <v>503</v>
      </c>
      <c r="M24" s="108" t="s">
        <v>503</v>
      </c>
      <c r="N24" s="108" t="s">
        <v>503</v>
      </c>
      <c r="O24" s="108" t="s">
        <v>503</v>
      </c>
      <c r="P24" s="108" t="s">
        <v>503</v>
      </c>
      <c r="Q24" s="108" t="s">
        <v>503</v>
      </c>
      <c r="R24" s="108" t="s">
        <v>503</v>
      </c>
      <c r="S24" s="108" t="s">
        <v>503</v>
      </c>
      <c r="T24" s="108" t="s">
        <v>503</v>
      </c>
      <c r="U24" s="108" t="s">
        <v>503</v>
      </c>
      <c r="V24" s="108" t="s">
        <v>503</v>
      </c>
      <c r="W24" s="108" t="s">
        <v>503</v>
      </c>
      <c r="X24" s="108" t="s">
        <v>503</v>
      </c>
      <c r="Y24" s="108" t="s">
        <v>503</v>
      </c>
      <c r="Z24" s="108" t="s">
        <v>503</v>
      </c>
      <c r="AA24" s="108" t="s">
        <v>503</v>
      </c>
      <c r="AB24" s="108" t="s">
        <v>503</v>
      </c>
      <c r="AC24" s="108" t="s">
        <v>503</v>
      </c>
      <c r="AD24" s="108" t="s">
        <v>503</v>
      </c>
      <c r="AE24" s="108" t="s">
        <v>503</v>
      </c>
      <c r="AF24" s="108" t="s">
        <v>503</v>
      </c>
      <c r="AG24" s="108" t="s">
        <v>503</v>
      </c>
      <c r="AH24" s="108" t="s">
        <v>503</v>
      </c>
      <c r="AI24" s="108" t="s">
        <v>503</v>
      </c>
      <c r="AJ24" s="108" t="s">
        <v>503</v>
      </c>
      <c r="AK24" s="108" t="s">
        <v>503</v>
      </c>
      <c r="AL24" s="108" t="s">
        <v>503</v>
      </c>
      <c r="AM24" s="108" t="s">
        <v>503</v>
      </c>
      <c r="AN24" s="108" t="s">
        <v>503</v>
      </c>
      <c r="AO24" s="108" t="s">
        <v>503</v>
      </c>
      <c r="AP24" s="108" t="s">
        <v>503</v>
      </c>
      <c r="AQ24" s="108" t="s">
        <v>503</v>
      </c>
      <c r="AR24" s="108" t="s">
        <v>503</v>
      </c>
      <c r="AS24" s="108" t="s">
        <v>503</v>
      </c>
      <c r="AT24" s="108" t="s">
        <v>503</v>
      </c>
      <c r="AU24" s="108" t="s">
        <v>503</v>
      </c>
      <c r="AV24" s="108" t="s">
        <v>503</v>
      </c>
      <c r="AW24" s="108" t="s">
        <v>503</v>
      </c>
      <c r="AX24" s="108" t="s">
        <v>503</v>
      </c>
      <c r="AY24" s="108" t="s">
        <v>503</v>
      </c>
      <c r="AZ24" s="108" t="s">
        <v>503</v>
      </c>
      <c r="BA24" s="108" t="s">
        <v>503</v>
      </c>
      <c r="BB24" s="108" t="s">
        <v>503</v>
      </c>
      <c r="BC24" s="108" t="s">
        <v>503</v>
      </c>
      <c r="BD24" s="108" t="s">
        <v>503</v>
      </c>
      <c r="BE24" s="108" t="s">
        <v>503</v>
      </c>
      <c r="BF24" s="108" t="s">
        <v>503</v>
      </c>
      <c r="BG24" s="108" t="s">
        <v>503</v>
      </c>
      <c r="BH24" s="108" t="s">
        <v>503</v>
      </c>
      <c r="BI24" s="108" t="s">
        <v>503</v>
      </c>
      <c r="BJ24" s="108" t="s">
        <v>503</v>
      </c>
      <c r="BK24" s="108" t="s">
        <v>503</v>
      </c>
      <c r="BL24" s="108" t="s">
        <v>503</v>
      </c>
      <c r="BM24" s="108" t="s">
        <v>503</v>
      </c>
      <c r="BN24" s="108" t="s">
        <v>503</v>
      </c>
      <c r="BO24" s="108" t="s">
        <v>503</v>
      </c>
      <c r="BP24" s="108" t="s">
        <v>503</v>
      </c>
      <c r="BQ24" s="108" t="s">
        <v>503</v>
      </c>
      <c r="BR24" s="108" t="s">
        <v>503</v>
      </c>
      <c r="BS24" s="108" t="s">
        <v>503</v>
      </c>
      <c r="BT24" s="108" t="s">
        <v>503</v>
      </c>
      <c r="BU24" s="108" t="s">
        <v>503</v>
      </c>
      <c r="BV24" s="108" t="s">
        <v>503</v>
      </c>
      <c r="BW24" s="108" t="s">
        <v>503</v>
      </c>
      <c r="BX24" s="108" t="s">
        <v>503</v>
      </c>
      <c r="BY24" s="108" t="s">
        <v>503</v>
      </c>
      <c r="BZ24" s="108" t="s">
        <v>503</v>
      </c>
      <c r="CA24" s="108" t="s">
        <v>503</v>
      </c>
      <c r="CB24" s="108" t="s">
        <v>503</v>
      </c>
      <c r="CC24" s="108" t="s">
        <v>503</v>
      </c>
      <c r="CD24" s="108" t="s">
        <v>503</v>
      </c>
      <c r="CE24" s="108" t="s">
        <v>503</v>
      </c>
      <c r="CF24" s="108" t="s">
        <v>503</v>
      </c>
      <c r="CG24" s="108" t="s">
        <v>503</v>
      </c>
      <c r="CH24" s="108" t="s">
        <v>503</v>
      </c>
      <c r="CI24" s="108" t="s">
        <v>503</v>
      </c>
      <c r="CJ24" s="108" t="s">
        <v>503</v>
      </c>
      <c r="CK24" s="108" t="s">
        <v>503</v>
      </c>
      <c r="CL24" s="108" t="s">
        <v>503</v>
      </c>
      <c r="CM24" s="108" t="s">
        <v>503</v>
      </c>
      <c r="CN24" s="108" t="s">
        <v>503</v>
      </c>
      <c r="CO24" s="108" t="s">
        <v>503</v>
      </c>
      <c r="CP24" s="108" t="s">
        <v>503</v>
      </c>
      <c r="CQ24" s="108" t="s">
        <v>503</v>
      </c>
      <c r="CR24" s="108" t="s">
        <v>503</v>
      </c>
      <c r="CS24" s="108" t="s">
        <v>503</v>
      </c>
      <c r="CT24" s="108" t="s">
        <v>503</v>
      </c>
      <c r="CU24" s="108" t="s">
        <v>503</v>
      </c>
      <c r="CV24" s="108" t="s">
        <v>503</v>
      </c>
      <c r="CW24" s="108" t="s">
        <v>503</v>
      </c>
      <c r="CX24" s="71">
        <v>34000</v>
      </c>
      <c r="CY24" s="71">
        <f t="shared" si="9"/>
        <v>6460</v>
      </c>
      <c r="CZ24" s="71">
        <f t="shared" si="10"/>
        <v>40460</v>
      </c>
      <c r="DA24" s="108" t="s">
        <v>503</v>
      </c>
      <c r="DB24" s="108" t="s">
        <v>503</v>
      </c>
      <c r="DC24" s="108" t="s">
        <v>503</v>
      </c>
      <c r="DD24" s="108" t="s">
        <v>503</v>
      </c>
      <c r="DE24" s="108" t="s">
        <v>503</v>
      </c>
      <c r="DF24" s="108" t="s">
        <v>503</v>
      </c>
      <c r="DG24" s="108" t="s">
        <v>503</v>
      </c>
      <c r="DH24" s="108" t="s">
        <v>503</v>
      </c>
      <c r="DI24" s="108" t="s">
        <v>503</v>
      </c>
      <c r="DJ24" s="118" t="s">
        <v>502</v>
      </c>
      <c r="DK24" s="118" t="s">
        <v>502</v>
      </c>
      <c r="DL24" s="118" t="s">
        <v>502</v>
      </c>
      <c r="DM24" s="108" t="s">
        <v>503</v>
      </c>
      <c r="DN24" s="108" t="s">
        <v>503</v>
      </c>
      <c r="DO24" s="108" t="s">
        <v>503</v>
      </c>
      <c r="DP24" s="108" t="s">
        <v>669</v>
      </c>
      <c r="DQ24" s="108" t="s">
        <v>669</v>
      </c>
      <c r="DR24" s="108" t="s">
        <v>669</v>
      </c>
      <c r="DS24" s="108" t="s">
        <v>669</v>
      </c>
      <c r="DT24" s="108" t="s">
        <v>669</v>
      </c>
      <c r="DU24" s="108" t="s">
        <v>669</v>
      </c>
      <c r="DV24" s="108" t="s">
        <v>669</v>
      </c>
      <c r="DW24" s="108" t="s">
        <v>669</v>
      </c>
      <c r="DX24" s="108" t="s">
        <v>669</v>
      </c>
      <c r="DY24" s="108" t="s">
        <v>503</v>
      </c>
      <c r="DZ24" s="108" t="s">
        <v>503</v>
      </c>
      <c r="EA24" s="108" t="s">
        <v>503</v>
      </c>
      <c r="EB24" s="108" t="s">
        <v>503</v>
      </c>
      <c r="EC24" s="108" t="s">
        <v>503</v>
      </c>
      <c r="ED24" s="108" t="s">
        <v>503</v>
      </c>
      <c r="EE24" s="108" t="s">
        <v>503</v>
      </c>
      <c r="EF24" s="108" t="s">
        <v>503</v>
      </c>
      <c r="EG24" s="108" t="s">
        <v>503</v>
      </c>
      <c r="EH24" s="108" t="s">
        <v>503</v>
      </c>
      <c r="EI24" s="108" t="s">
        <v>503</v>
      </c>
      <c r="EJ24" s="108" t="s">
        <v>503</v>
      </c>
      <c r="EK24" s="108" t="s">
        <v>503</v>
      </c>
      <c r="EL24" s="108" t="s">
        <v>503</v>
      </c>
      <c r="EM24" s="108" t="s">
        <v>503</v>
      </c>
      <c r="EN24" s="108" t="s">
        <v>503</v>
      </c>
      <c r="EO24" s="108" t="s">
        <v>503</v>
      </c>
      <c r="EP24" s="108" t="s">
        <v>503</v>
      </c>
      <c r="EQ24" s="108" t="s">
        <v>503</v>
      </c>
      <c r="ER24" s="108" t="s">
        <v>503</v>
      </c>
      <c r="ES24" s="108" t="s">
        <v>503</v>
      </c>
      <c r="ET24" s="108" t="s">
        <v>503</v>
      </c>
      <c r="EU24" s="108" t="s">
        <v>503</v>
      </c>
      <c r="EV24" s="108" t="s">
        <v>503</v>
      </c>
      <c r="EW24" s="108" t="s">
        <v>503</v>
      </c>
      <c r="EX24" s="108" t="s">
        <v>503</v>
      </c>
      <c r="EY24" s="108" t="s">
        <v>503</v>
      </c>
      <c r="EZ24" s="108" t="s">
        <v>503</v>
      </c>
      <c r="FA24" s="108" t="s">
        <v>503</v>
      </c>
      <c r="FB24" s="108" t="s">
        <v>503</v>
      </c>
      <c r="FC24" s="108" t="s">
        <v>503</v>
      </c>
      <c r="FD24" s="108" t="s">
        <v>503</v>
      </c>
      <c r="FE24" s="108" t="s">
        <v>503</v>
      </c>
      <c r="FF24" s="108" t="s">
        <v>503</v>
      </c>
      <c r="FG24" s="108" t="s">
        <v>503</v>
      </c>
      <c r="FH24" s="108" t="s">
        <v>503</v>
      </c>
      <c r="FI24" s="108" t="s">
        <v>503</v>
      </c>
      <c r="FJ24" s="108" t="s">
        <v>503</v>
      </c>
      <c r="FK24" s="108" t="s">
        <v>503</v>
      </c>
      <c r="FL24" s="108" t="s">
        <v>502</v>
      </c>
      <c r="FM24" s="108" t="s">
        <v>502</v>
      </c>
      <c r="FN24" s="108" t="s">
        <v>502</v>
      </c>
      <c r="FO24" s="108" t="s">
        <v>503</v>
      </c>
      <c r="FP24" s="108" t="s">
        <v>503</v>
      </c>
      <c r="FQ24" s="108" t="s">
        <v>503</v>
      </c>
      <c r="FR24" s="108" t="s">
        <v>503</v>
      </c>
      <c r="FS24" s="108" t="s">
        <v>503</v>
      </c>
      <c r="FT24" s="108" t="s">
        <v>503</v>
      </c>
      <c r="FU24" s="108" t="s">
        <v>503</v>
      </c>
      <c r="FV24" s="108" t="s">
        <v>503</v>
      </c>
      <c r="FW24" s="108" t="s">
        <v>503</v>
      </c>
      <c r="FX24" s="108" t="s">
        <v>503</v>
      </c>
      <c r="FY24" s="108" t="s">
        <v>503</v>
      </c>
      <c r="FZ24" s="108" t="s">
        <v>503</v>
      </c>
      <c r="GA24" s="108" t="s">
        <v>503</v>
      </c>
      <c r="GB24" s="108" t="s">
        <v>503</v>
      </c>
      <c r="GC24" s="108" t="s">
        <v>503</v>
      </c>
      <c r="GD24" s="108" t="s">
        <v>503</v>
      </c>
      <c r="GE24" s="108" t="s">
        <v>503</v>
      </c>
      <c r="GF24" s="108" t="s">
        <v>503</v>
      </c>
      <c r="GG24" s="108" t="s">
        <v>503</v>
      </c>
      <c r="GH24" s="108" t="s">
        <v>503</v>
      </c>
      <c r="GI24" s="108" t="s">
        <v>503</v>
      </c>
      <c r="GJ24" s="108" t="s">
        <v>503</v>
      </c>
      <c r="GK24" s="108" t="s">
        <v>503</v>
      </c>
      <c r="GL24" s="108" t="s">
        <v>503</v>
      </c>
      <c r="GM24" s="108" t="s">
        <v>503</v>
      </c>
      <c r="GN24" s="108" t="s">
        <v>503</v>
      </c>
      <c r="GO24" s="108" t="s">
        <v>503</v>
      </c>
      <c r="GP24" s="108" t="s">
        <v>664</v>
      </c>
      <c r="GQ24" s="108" t="s">
        <v>664</v>
      </c>
      <c r="GR24" s="108" t="s">
        <v>664</v>
      </c>
      <c r="GS24" s="108" t="s">
        <v>664</v>
      </c>
      <c r="GT24" s="108" t="s">
        <v>664</v>
      </c>
      <c r="GU24" s="108" t="s">
        <v>664</v>
      </c>
      <c r="GV24" s="108" t="s">
        <v>664</v>
      </c>
      <c r="GW24" s="108" t="s">
        <v>664</v>
      </c>
      <c r="GX24" s="108" t="s">
        <v>664</v>
      </c>
      <c r="GY24" s="108" t="s">
        <v>664</v>
      </c>
      <c r="GZ24" s="108" t="s">
        <v>664</v>
      </c>
      <c r="HA24" s="108" t="s">
        <v>664</v>
      </c>
      <c r="HB24" s="108" t="s">
        <v>664</v>
      </c>
      <c r="HC24" s="108" t="s">
        <v>664</v>
      </c>
      <c r="HD24" s="108" t="s">
        <v>664</v>
      </c>
      <c r="HE24" s="108" t="s">
        <v>664</v>
      </c>
      <c r="HF24" s="108" t="s">
        <v>664</v>
      </c>
      <c r="HG24" s="108" t="s">
        <v>664</v>
      </c>
      <c r="HH24" s="108" t="s">
        <v>664</v>
      </c>
      <c r="HI24" s="108" t="s">
        <v>664</v>
      </c>
      <c r="HJ24" s="108" t="s">
        <v>664</v>
      </c>
      <c r="HK24" s="108" t="s">
        <v>664</v>
      </c>
      <c r="HL24" s="108" t="s">
        <v>664</v>
      </c>
      <c r="HM24" s="108" t="s">
        <v>664</v>
      </c>
      <c r="HN24" s="108" t="s">
        <v>664</v>
      </c>
      <c r="HO24" s="108" t="s">
        <v>664</v>
      </c>
      <c r="HP24" s="108" t="s">
        <v>664</v>
      </c>
      <c r="HQ24" s="108" t="s">
        <v>664</v>
      </c>
      <c r="HR24" s="108" t="s">
        <v>664</v>
      </c>
      <c r="HS24" s="108" t="s">
        <v>664</v>
      </c>
      <c r="HT24" s="108" t="s">
        <v>664</v>
      </c>
      <c r="HU24" s="108" t="s">
        <v>664</v>
      </c>
      <c r="HV24" s="108" t="s">
        <v>664</v>
      </c>
      <c r="HW24" s="108" t="s">
        <v>664</v>
      </c>
      <c r="HX24" s="108" t="s">
        <v>664</v>
      </c>
      <c r="HY24" s="108" t="s">
        <v>664</v>
      </c>
      <c r="HZ24" s="108" t="s">
        <v>664</v>
      </c>
      <c r="IA24" s="108" t="s">
        <v>664</v>
      </c>
      <c r="IB24" s="108" t="s">
        <v>664</v>
      </c>
      <c r="IC24" s="108" t="s">
        <v>664</v>
      </c>
      <c r="ID24" s="108" t="s">
        <v>664</v>
      </c>
      <c r="IE24" s="108" t="s">
        <v>664</v>
      </c>
      <c r="IF24" s="108" t="s">
        <v>664</v>
      </c>
      <c r="IG24" s="108" t="s">
        <v>664</v>
      </c>
      <c r="IH24" s="108" t="s">
        <v>664</v>
      </c>
      <c r="II24" s="108" t="s">
        <v>664</v>
      </c>
      <c r="IJ24" s="108" t="s">
        <v>664</v>
      </c>
      <c r="IK24" s="108" t="s">
        <v>664</v>
      </c>
      <c r="IL24" s="108" t="s">
        <v>664</v>
      </c>
      <c r="IM24" s="108" t="s">
        <v>664</v>
      </c>
      <c r="IN24" s="108" t="s">
        <v>664</v>
      </c>
      <c r="IO24" s="120" t="s">
        <v>503</v>
      </c>
      <c r="IP24" s="120" t="s">
        <v>503</v>
      </c>
      <c r="IQ24" s="120" t="s">
        <v>503</v>
      </c>
      <c r="IR24" s="120" t="s">
        <v>664</v>
      </c>
      <c r="IS24" s="120" t="s">
        <v>664</v>
      </c>
      <c r="IT24" s="120" t="s">
        <v>664</v>
      </c>
      <c r="IU24" s="47">
        <f>45100/1.19</f>
        <v>37899.159663865546</v>
      </c>
      <c r="IV24" s="47">
        <f>+IU24*19%</f>
        <v>7200.8403361344535</v>
      </c>
      <c r="IW24" s="47">
        <f>+IU24+IV24</f>
        <v>45100</v>
      </c>
      <c r="IX24" s="120" t="s">
        <v>503</v>
      </c>
      <c r="IY24" s="120" t="s">
        <v>503</v>
      </c>
      <c r="IZ24" s="120" t="s">
        <v>503</v>
      </c>
      <c r="JA24" s="120" t="s">
        <v>503</v>
      </c>
      <c r="JB24" s="120" t="s">
        <v>503</v>
      </c>
      <c r="JC24" s="120" t="s">
        <v>503</v>
      </c>
      <c r="JD24" s="120" t="s">
        <v>664</v>
      </c>
      <c r="JE24" s="120" t="s">
        <v>664</v>
      </c>
      <c r="JF24" s="120" t="s">
        <v>664</v>
      </c>
      <c r="JG24" s="120" t="s">
        <v>664</v>
      </c>
      <c r="JH24" s="120" t="s">
        <v>664</v>
      </c>
      <c r="JI24" s="120" t="s">
        <v>664</v>
      </c>
      <c r="JJ24" s="120" t="s">
        <v>664</v>
      </c>
      <c r="JK24" s="120" t="s">
        <v>664</v>
      </c>
      <c r="JL24" s="120" t="s">
        <v>664</v>
      </c>
      <c r="JM24" s="120" t="s">
        <v>664</v>
      </c>
      <c r="JN24" s="120" t="s">
        <v>664</v>
      </c>
      <c r="JO24" s="120" t="s">
        <v>664</v>
      </c>
      <c r="JP24" s="110">
        <v>38150</v>
      </c>
      <c r="JQ24" s="111">
        <v>45580.606736000002</v>
      </c>
      <c r="JR24" s="112">
        <f t="shared" si="0"/>
        <v>3</v>
      </c>
      <c r="JS24" s="113">
        <f t="shared" si="1"/>
        <v>40306.553333333337</v>
      </c>
      <c r="JT24" s="114">
        <f t="shared" si="2"/>
        <v>40350</v>
      </c>
      <c r="JU24" s="134"/>
    </row>
    <row r="25" spans="1:281" ht="101.25" customHeight="1" x14ac:dyDescent="0.2">
      <c r="A25" s="98">
        <v>110</v>
      </c>
      <c r="B25" s="99">
        <v>110</v>
      </c>
      <c r="C25" s="39" t="s">
        <v>673</v>
      </c>
      <c r="D25" s="100" t="s">
        <v>79</v>
      </c>
      <c r="E25" s="61">
        <v>44121600</v>
      </c>
      <c r="F25" s="101" t="s">
        <v>107</v>
      </c>
      <c r="G25" s="102" t="s">
        <v>86</v>
      </c>
      <c r="H25" s="103" t="s">
        <v>501</v>
      </c>
      <c r="I25" s="47">
        <v>3235</v>
      </c>
      <c r="J25" s="157">
        <f t="shared" si="7"/>
        <v>614.65</v>
      </c>
      <c r="K25" s="47">
        <f t="shared" si="8"/>
        <v>3849.65</v>
      </c>
      <c r="L25" s="108" t="s">
        <v>503</v>
      </c>
      <c r="M25" s="108" t="s">
        <v>503</v>
      </c>
      <c r="N25" s="108" t="s">
        <v>503</v>
      </c>
      <c r="O25" s="108" t="s">
        <v>503</v>
      </c>
      <c r="P25" s="108" t="s">
        <v>503</v>
      </c>
      <c r="Q25" s="108" t="s">
        <v>503</v>
      </c>
      <c r="R25" s="108" t="s">
        <v>503</v>
      </c>
      <c r="S25" s="108" t="s">
        <v>503</v>
      </c>
      <c r="T25" s="108" t="s">
        <v>503</v>
      </c>
      <c r="U25" s="108" t="s">
        <v>503</v>
      </c>
      <c r="V25" s="108" t="s">
        <v>503</v>
      </c>
      <c r="W25" s="108" t="s">
        <v>503</v>
      </c>
      <c r="X25" s="108" t="s">
        <v>503</v>
      </c>
      <c r="Y25" s="108" t="s">
        <v>503</v>
      </c>
      <c r="Z25" s="108" t="s">
        <v>503</v>
      </c>
      <c r="AA25" s="108" t="s">
        <v>503</v>
      </c>
      <c r="AB25" s="108" t="s">
        <v>503</v>
      </c>
      <c r="AC25" s="108" t="s">
        <v>503</v>
      </c>
      <c r="AD25" s="108" t="s">
        <v>503</v>
      </c>
      <c r="AE25" s="108" t="s">
        <v>503</v>
      </c>
      <c r="AF25" s="108" t="s">
        <v>503</v>
      </c>
      <c r="AG25" s="108" t="s">
        <v>503</v>
      </c>
      <c r="AH25" s="108" t="s">
        <v>503</v>
      </c>
      <c r="AI25" s="108" t="s">
        <v>503</v>
      </c>
      <c r="AJ25" s="108" t="s">
        <v>503</v>
      </c>
      <c r="AK25" s="108" t="s">
        <v>503</v>
      </c>
      <c r="AL25" s="108" t="s">
        <v>503</v>
      </c>
      <c r="AM25" s="108" t="s">
        <v>503</v>
      </c>
      <c r="AN25" s="108" t="s">
        <v>503</v>
      </c>
      <c r="AO25" s="108" t="s">
        <v>503</v>
      </c>
      <c r="AP25" s="108" t="s">
        <v>503</v>
      </c>
      <c r="AQ25" s="108" t="s">
        <v>503</v>
      </c>
      <c r="AR25" s="108" t="s">
        <v>503</v>
      </c>
      <c r="AS25" s="108" t="s">
        <v>503</v>
      </c>
      <c r="AT25" s="108" t="s">
        <v>503</v>
      </c>
      <c r="AU25" s="108" t="s">
        <v>503</v>
      </c>
      <c r="AV25" s="108" t="s">
        <v>503</v>
      </c>
      <c r="AW25" s="108" t="s">
        <v>503</v>
      </c>
      <c r="AX25" s="108" t="s">
        <v>503</v>
      </c>
      <c r="AY25" s="108" t="s">
        <v>503</v>
      </c>
      <c r="AZ25" s="108" t="s">
        <v>503</v>
      </c>
      <c r="BA25" s="108" t="s">
        <v>503</v>
      </c>
      <c r="BB25" s="108" t="s">
        <v>503</v>
      </c>
      <c r="BC25" s="108" t="s">
        <v>503</v>
      </c>
      <c r="BD25" s="108" t="s">
        <v>503</v>
      </c>
      <c r="BE25" s="108" t="s">
        <v>503</v>
      </c>
      <c r="BF25" s="108" t="s">
        <v>503</v>
      </c>
      <c r="BG25" s="108" t="s">
        <v>503</v>
      </c>
      <c r="BH25" s="108" t="s">
        <v>503</v>
      </c>
      <c r="BI25" s="108" t="s">
        <v>503</v>
      </c>
      <c r="BJ25" s="108" t="s">
        <v>503</v>
      </c>
      <c r="BK25" s="108" t="s">
        <v>503</v>
      </c>
      <c r="BL25" s="108" t="s">
        <v>503</v>
      </c>
      <c r="BM25" s="108" t="s">
        <v>503</v>
      </c>
      <c r="BN25" s="108" t="s">
        <v>503</v>
      </c>
      <c r="BO25" s="108" t="s">
        <v>503</v>
      </c>
      <c r="BP25" s="108" t="s">
        <v>503</v>
      </c>
      <c r="BQ25" s="108" t="s">
        <v>503</v>
      </c>
      <c r="BR25" s="108" t="s">
        <v>503</v>
      </c>
      <c r="BS25" s="108" t="s">
        <v>503</v>
      </c>
      <c r="BT25" s="108" t="s">
        <v>503</v>
      </c>
      <c r="BU25" s="108" t="s">
        <v>503</v>
      </c>
      <c r="BV25" s="108" t="s">
        <v>503</v>
      </c>
      <c r="BW25" s="108" t="s">
        <v>503</v>
      </c>
      <c r="BX25" s="108" t="s">
        <v>503</v>
      </c>
      <c r="BY25" s="108" t="s">
        <v>503</v>
      </c>
      <c r="BZ25" s="108" t="s">
        <v>503</v>
      </c>
      <c r="CA25" s="108" t="s">
        <v>503</v>
      </c>
      <c r="CB25" s="108" t="s">
        <v>503</v>
      </c>
      <c r="CC25" s="108" t="s">
        <v>503</v>
      </c>
      <c r="CD25" s="108" t="s">
        <v>503</v>
      </c>
      <c r="CE25" s="108" t="s">
        <v>503</v>
      </c>
      <c r="CF25" s="108" t="s">
        <v>503</v>
      </c>
      <c r="CG25" s="108" t="s">
        <v>503</v>
      </c>
      <c r="CH25" s="108" t="s">
        <v>503</v>
      </c>
      <c r="CI25" s="108" t="s">
        <v>503</v>
      </c>
      <c r="CJ25" s="108" t="s">
        <v>503</v>
      </c>
      <c r="CK25" s="108" t="s">
        <v>503</v>
      </c>
      <c r="CL25" s="108" t="s">
        <v>503</v>
      </c>
      <c r="CM25" s="108" t="s">
        <v>503</v>
      </c>
      <c r="CN25" s="108" t="s">
        <v>503</v>
      </c>
      <c r="CO25" s="108" t="s">
        <v>503</v>
      </c>
      <c r="CP25" s="108" t="s">
        <v>503</v>
      </c>
      <c r="CQ25" s="108" t="s">
        <v>503</v>
      </c>
      <c r="CR25" s="108" t="s">
        <v>503</v>
      </c>
      <c r="CS25" s="108" t="s">
        <v>503</v>
      </c>
      <c r="CT25" s="108" t="s">
        <v>503</v>
      </c>
      <c r="CU25" s="153">
        <v>2382</v>
      </c>
      <c r="CV25" s="118">
        <f t="shared" si="11"/>
        <v>452.58</v>
      </c>
      <c r="CW25" s="118">
        <f t="shared" si="12"/>
        <v>2834.58</v>
      </c>
      <c r="CX25" s="108" t="s">
        <v>503</v>
      </c>
      <c r="CY25" s="108" t="s">
        <v>503</v>
      </c>
      <c r="CZ25" s="108" t="s">
        <v>503</v>
      </c>
      <c r="DA25" s="108" t="s">
        <v>503</v>
      </c>
      <c r="DB25" s="108" t="s">
        <v>503</v>
      </c>
      <c r="DC25" s="108" t="s">
        <v>503</v>
      </c>
      <c r="DD25" s="108" t="s">
        <v>503</v>
      </c>
      <c r="DE25" s="108" t="s">
        <v>503</v>
      </c>
      <c r="DF25" s="108" t="s">
        <v>503</v>
      </c>
      <c r="DG25" s="108" t="s">
        <v>503</v>
      </c>
      <c r="DH25" s="108" t="s">
        <v>503</v>
      </c>
      <c r="DI25" s="108" t="s">
        <v>503</v>
      </c>
      <c r="DJ25" s="118" t="s">
        <v>502</v>
      </c>
      <c r="DK25" s="118" t="s">
        <v>502</v>
      </c>
      <c r="DL25" s="118" t="s">
        <v>502</v>
      </c>
      <c r="DM25" s="108" t="s">
        <v>503</v>
      </c>
      <c r="DN25" s="108" t="s">
        <v>503</v>
      </c>
      <c r="DO25" s="108" t="s">
        <v>503</v>
      </c>
      <c r="DP25" s="108" t="s">
        <v>669</v>
      </c>
      <c r="DQ25" s="108" t="s">
        <v>669</v>
      </c>
      <c r="DR25" s="108" t="s">
        <v>669</v>
      </c>
      <c r="DS25" s="108" t="s">
        <v>669</v>
      </c>
      <c r="DT25" s="108" t="s">
        <v>669</v>
      </c>
      <c r="DU25" s="108" t="s">
        <v>669</v>
      </c>
      <c r="DV25" s="108" t="s">
        <v>669</v>
      </c>
      <c r="DW25" s="108" t="s">
        <v>669</v>
      </c>
      <c r="DX25" s="108" t="s">
        <v>669</v>
      </c>
      <c r="DY25" s="108" t="s">
        <v>503</v>
      </c>
      <c r="DZ25" s="108" t="s">
        <v>503</v>
      </c>
      <c r="EA25" s="108" t="s">
        <v>503</v>
      </c>
      <c r="EB25" s="108" t="s">
        <v>503</v>
      </c>
      <c r="EC25" s="108" t="s">
        <v>503</v>
      </c>
      <c r="ED25" s="108" t="s">
        <v>503</v>
      </c>
      <c r="EE25" s="108" t="s">
        <v>503</v>
      </c>
      <c r="EF25" s="108" t="s">
        <v>503</v>
      </c>
      <c r="EG25" s="108" t="s">
        <v>503</v>
      </c>
      <c r="EH25" s="108" t="s">
        <v>503</v>
      </c>
      <c r="EI25" s="108" t="s">
        <v>503</v>
      </c>
      <c r="EJ25" s="108" t="s">
        <v>503</v>
      </c>
      <c r="EK25" s="108" t="s">
        <v>503</v>
      </c>
      <c r="EL25" s="108" t="s">
        <v>503</v>
      </c>
      <c r="EM25" s="108" t="s">
        <v>503</v>
      </c>
      <c r="EN25" s="108" t="s">
        <v>503</v>
      </c>
      <c r="EO25" s="108" t="s">
        <v>503</v>
      </c>
      <c r="EP25" s="108" t="s">
        <v>503</v>
      </c>
      <c r="EQ25" s="108" t="s">
        <v>503</v>
      </c>
      <c r="ER25" s="108" t="s">
        <v>503</v>
      </c>
      <c r="ES25" s="108" t="s">
        <v>503</v>
      </c>
      <c r="ET25" s="108" t="s">
        <v>503</v>
      </c>
      <c r="EU25" s="108" t="s">
        <v>503</v>
      </c>
      <c r="EV25" s="108" t="s">
        <v>503</v>
      </c>
      <c r="EW25" s="108" t="s">
        <v>503</v>
      </c>
      <c r="EX25" s="108" t="s">
        <v>503</v>
      </c>
      <c r="EY25" s="108" t="s">
        <v>503</v>
      </c>
      <c r="EZ25" s="108" t="s">
        <v>503</v>
      </c>
      <c r="FA25" s="108" t="s">
        <v>503</v>
      </c>
      <c r="FB25" s="108" t="s">
        <v>503</v>
      </c>
      <c r="FC25" s="108" t="s">
        <v>503</v>
      </c>
      <c r="FD25" s="108" t="s">
        <v>503</v>
      </c>
      <c r="FE25" s="108" t="s">
        <v>503</v>
      </c>
      <c r="FF25" s="108" t="s">
        <v>503</v>
      </c>
      <c r="FG25" s="108" t="s">
        <v>503</v>
      </c>
      <c r="FH25" s="108" t="s">
        <v>503</v>
      </c>
      <c r="FI25" s="108" t="s">
        <v>503</v>
      </c>
      <c r="FJ25" s="108" t="s">
        <v>503</v>
      </c>
      <c r="FK25" s="108" t="s">
        <v>503</v>
      </c>
      <c r="FL25" s="71">
        <f>3200/1.19</f>
        <v>2689.0756302521008</v>
      </c>
      <c r="FM25" s="71">
        <f>FL25*0.19</f>
        <v>510.92436974789916</v>
      </c>
      <c r="FN25" s="71">
        <f>FL25+FM25</f>
        <v>3200</v>
      </c>
      <c r="FO25" s="108" t="s">
        <v>503</v>
      </c>
      <c r="FP25" s="108" t="s">
        <v>503</v>
      </c>
      <c r="FQ25" s="108" t="s">
        <v>503</v>
      </c>
      <c r="FR25" s="108" t="s">
        <v>503</v>
      </c>
      <c r="FS25" s="108" t="s">
        <v>503</v>
      </c>
      <c r="FT25" s="108" t="s">
        <v>503</v>
      </c>
      <c r="FU25" s="108" t="s">
        <v>503</v>
      </c>
      <c r="FV25" s="108" t="s">
        <v>503</v>
      </c>
      <c r="FW25" s="108" t="s">
        <v>503</v>
      </c>
      <c r="FX25" s="108" t="s">
        <v>503</v>
      </c>
      <c r="FY25" s="108" t="s">
        <v>503</v>
      </c>
      <c r="FZ25" s="108" t="s">
        <v>503</v>
      </c>
      <c r="GA25" s="108" t="s">
        <v>503</v>
      </c>
      <c r="GB25" s="108" t="s">
        <v>503</v>
      </c>
      <c r="GC25" s="108" t="s">
        <v>503</v>
      </c>
      <c r="GD25" s="108" t="s">
        <v>503</v>
      </c>
      <c r="GE25" s="108" t="s">
        <v>503</v>
      </c>
      <c r="GF25" s="108" t="s">
        <v>503</v>
      </c>
      <c r="GG25" s="108" t="s">
        <v>503</v>
      </c>
      <c r="GH25" s="108" t="s">
        <v>503</v>
      </c>
      <c r="GI25" s="108" t="s">
        <v>503</v>
      </c>
      <c r="GJ25" s="108" t="s">
        <v>503</v>
      </c>
      <c r="GK25" s="108" t="s">
        <v>503</v>
      </c>
      <c r="GL25" s="108" t="s">
        <v>503</v>
      </c>
      <c r="GM25" s="108" t="s">
        <v>503</v>
      </c>
      <c r="GN25" s="108" t="s">
        <v>503</v>
      </c>
      <c r="GO25" s="108" t="s">
        <v>503</v>
      </c>
      <c r="GP25" s="108" t="s">
        <v>664</v>
      </c>
      <c r="GQ25" s="108" t="s">
        <v>664</v>
      </c>
      <c r="GR25" s="108" t="s">
        <v>664</v>
      </c>
      <c r="GS25" s="108" t="s">
        <v>664</v>
      </c>
      <c r="GT25" s="108" t="s">
        <v>664</v>
      </c>
      <c r="GU25" s="108" t="s">
        <v>664</v>
      </c>
      <c r="GV25" s="108" t="s">
        <v>664</v>
      </c>
      <c r="GW25" s="108" t="s">
        <v>664</v>
      </c>
      <c r="GX25" s="108" t="s">
        <v>664</v>
      </c>
      <c r="GY25" s="108" t="s">
        <v>664</v>
      </c>
      <c r="GZ25" s="108" t="s">
        <v>664</v>
      </c>
      <c r="HA25" s="108" t="s">
        <v>664</v>
      </c>
      <c r="HB25" s="108" t="s">
        <v>664</v>
      </c>
      <c r="HC25" s="108" t="s">
        <v>664</v>
      </c>
      <c r="HD25" s="108" t="s">
        <v>664</v>
      </c>
      <c r="HE25" s="108" t="s">
        <v>664</v>
      </c>
      <c r="HF25" s="108" t="s">
        <v>664</v>
      </c>
      <c r="HG25" s="108" t="s">
        <v>664</v>
      </c>
      <c r="HH25" s="108" t="s">
        <v>664</v>
      </c>
      <c r="HI25" s="108" t="s">
        <v>664</v>
      </c>
      <c r="HJ25" s="108" t="s">
        <v>664</v>
      </c>
      <c r="HK25" s="108" t="s">
        <v>664</v>
      </c>
      <c r="HL25" s="108" t="s">
        <v>664</v>
      </c>
      <c r="HM25" s="108" t="s">
        <v>664</v>
      </c>
      <c r="HN25" s="108" t="s">
        <v>664</v>
      </c>
      <c r="HO25" s="108" t="s">
        <v>664</v>
      </c>
      <c r="HP25" s="108" t="s">
        <v>664</v>
      </c>
      <c r="HQ25" s="108" t="s">
        <v>664</v>
      </c>
      <c r="HR25" s="108" t="s">
        <v>664</v>
      </c>
      <c r="HS25" s="108" t="s">
        <v>664</v>
      </c>
      <c r="HT25" s="108" t="s">
        <v>664</v>
      </c>
      <c r="HU25" s="108" t="s">
        <v>664</v>
      </c>
      <c r="HV25" s="108" t="s">
        <v>664</v>
      </c>
      <c r="HW25" s="108" t="s">
        <v>664</v>
      </c>
      <c r="HX25" s="108" t="s">
        <v>664</v>
      </c>
      <c r="HY25" s="108" t="s">
        <v>664</v>
      </c>
      <c r="HZ25" s="108" t="s">
        <v>664</v>
      </c>
      <c r="IA25" s="108" t="s">
        <v>664</v>
      </c>
      <c r="IB25" s="108" t="s">
        <v>664</v>
      </c>
      <c r="IC25" s="108" t="s">
        <v>664</v>
      </c>
      <c r="ID25" s="108" t="s">
        <v>664</v>
      </c>
      <c r="IE25" s="108" t="s">
        <v>664</v>
      </c>
      <c r="IF25" s="108" t="s">
        <v>664</v>
      </c>
      <c r="IG25" s="108" t="s">
        <v>664</v>
      </c>
      <c r="IH25" s="108" t="s">
        <v>664</v>
      </c>
      <c r="II25" s="108" t="s">
        <v>664</v>
      </c>
      <c r="IJ25" s="108" t="s">
        <v>664</v>
      </c>
      <c r="IK25" s="108" t="s">
        <v>664</v>
      </c>
      <c r="IL25" s="108" t="s">
        <v>664</v>
      </c>
      <c r="IM25" s="108" t="s">
        <v>664</v>
      </c>
      <c r="IN25" s="108" t="s">
        <v>664</v>
      </c>
      <c r="IO25" s="120" t="s">
        <v>503</v>
      </c>
      <c r="IP25" s="120" t="s">
        <v>503</v>
      </c>
      <c r="IQ25" s="120" t="s">
        <v>503</v>
      </c>
      <c r="IR25" s="120" t="s">
        <v>664</v>
      </c>
      <c r="IS25" s="120" t="s">
        <v>664</v>
      </c>
      <c r="IT25" s="120" t="s">
        <v>664</v>
      </c>
      <c r="IU25" s="108" t="s">
        <v>502</v>
      </c>
      <c r="IV25" s="108" t="s">
        <v>502</v>
      </c>
      <c r="IW25" s="108" t="s">
        <v>502</v>
      </c>
      <c r="IX25" s="120" t="s">
        <v>503</v>
      </c>
      <c r="IY25" s="120" t="s">
        <v>503</v>
      </c>
      <c r="IZ25" s="120" t="s">
        <v>503</v>
      </c>
      <c r="JA25" s="120" t="s">
        <v>503</v>
      </c>
      <c r="JB25" s="120" t="s">
        <v>503</v>
      </c>
      <c r="JC25" s="120" t="s">
        <v>503</v>
      </c>
      <c r="JD25" s="120" t="s">
        <v>664</v>
      </c>
      <c r="JE25" s="120" t="s">
        <v>664</v>
      </c>
      <c r="JF25" s="120" t="s">
        <v>664</v>
      </c>
      <c r="JG25" s="120" t="s">
        <v>664</v>
      </c>
      <c r="JH25" s="120" t="s">
        <v>664</v>
      </c>
      <c r="JI25" s="120" t="s">
        <v>664</v>
      </c>
      <c r="JJ25" s="120" t="s">
        <v>664</v>
      </c>
      <c r="JK25" s="120" t="s">
        <v>664</v>
      </c>
      <c r="JL25" s="120" t="s">
        <v>664</v>
      </c>
      <c r="JM25" s="120" t="s">
        <v>664</v>
      </c>
      <c r="JN25" s="120" t="s">
        <v>664</v>
      </c>
      <c r="JO25" s="120" t="s">
        <v>664</v>
      </c>
      <c r="JP25" s="110">
        <v>2850</v>
      </c>
      <c r="JQ25" s="111">
        <v>3405.104304</v>
      </c>
      <c r="JR25" s="112">
        <f t="shared" si="0"/>
        <v>3</v>
      </c>
      <c r="JS25" s="113">
        <f t="shared" si="1"/>
        <v>3294.7433333333333</v>
      </c>
      <c r="JT25" s="114">
        <f t="shared" si="2"/>
        <v>3300</v>
      </c>
      <c r="JU25" s="134"/>
    </row>
    <row r="26" spans="1:281" ht="101.25" customHeight="1" x14ac:dyDescent="0.2">
      <c r="A26" s="98">
        <v>111</v>
      </c>
      <c r="B26" s="99">
        <v>111</v>
      </c>
      <c r="C26" s="39" t="s">
        <v>673</v>
      </c>
      <c r="D26" s="100" t="s">
        <v>251</v>
      </c>
      <c r="E26" s="61">
        <v>44121600</v>
      </c>
      <c r="F26" s="101" t="s">
        <v>250</v>
      </c>
      <c r="G26" s="102" t="s">
        <v>86</v>
      </c>
      <c r="H26" s="103" t="s">
        <v>501</v>
      </c>
      <c r="I26" s="71">
        <v>5571</v>
      </c>
      <c r="J26" s="152">
        <f t="shared" si="7"/>
        <v>1058.49</v>
      </c>
      <c r="K26" s="118">
        <f t="shared" si="8"/>
        <v>6629.49</v>
      </c>
      <c r="L26" s="108" t="s">
        <v>503</v>
      </c>
      <c r="M26" s="108" t="s">
        <v>503</v>
      </c>
      <c r="N26" s="108" t="s">
        <v>503</v>
      </c>
      <c r="O26" s="108" t="s">
        <v>503</v>
      </c>
      <c r="P26" s="108" t="s">
        <v>503</v>
      </c>
      <c r="Q26" s="108" t="s">
        <v>503</v>
      </c>
      <c r="R26" s="108" t="s">
        <v>503</v>
      </c>
      <c r="S26" s="108" t="s">
        <v>503</v>
      </c>
      <c r="T26" s="108" t="s">
        <v>503</v>
      </c>
      <c r="U26" s="108" t="s">
        <v>503</v>
      </c>
      <c r="V26" s="108" t="s">
        <v>503</v>
      </c>
      <c r="W26" s="108" t="s">
        <v>503</v>
      </c>
      <c r="X26" s="108" t="s">
        <v>503</v>
      </c>
      <c r="Y26" s="108" t="s">
        <v>503</v>
      </c>
      <c r="Z26" s="108" t="s">
        <v>503</v>
      </c>
      <c r="AA26" s="108" t="s">
        <v>503</v>
      </c>
      <c r="AB26" s="108" t="s">
        <v>503</v>
      </c>
      <c r="AC26" s="108" t="s">
        <v>503</v>
      </c>
      <c r="AD26" s="108" t="s">
        <v>503</v>
      </c>
      <c r="AE26" s="108" t="s">
        <v>503</v>
      </c>
      <c r="AF26" s="108" t="s">
        <v>503</v>
      </c>
      <c r="AG26" s="108" t="s">
        <v>503</v>
      </c>
      <c r="AH26" s="108" t="s">
        <v>503</v>
      </c>
      <c r="AI26" s="108" t="s">
        <v>503</v>
      </c>
      <c r="AJ26" s="108" t="s">
        <v>503</v>
      </c>
      <c r="AK26" s="108" t="s">
        <v>503</v>
      </c>
      <c r="AL26" s="108" t="s">
        <v>503</v>
      </c>
      <c r="AM26" s="108" t="s">
        <v>503</v>
      </c>
      <c r="AN26" s="108" t="s">
        <v>503</v>
      </c>
      <c r="AO26" s="108" t="s">
        <v>503</v>
      </c>
      <c r="AP26" s="108" t="s">
        <v>503</v>
      </c>
      <c r="AQ26" s="108" t="s">
        <v>503</v>
      </c>
      <c r="AR26" s="108" t="s">
        <v>503</v>
      </c>
      <c r="AS26" s="108" t="s">
        <v>503</v>
      </c>
      <c r="AT26" s="108" t="s">
        <v>503</v>
      </c>
      <c r="AU26" s="108" t="s">
        <v>503</v>
      </c>
      <c r="AV26" s="108" t="s">
        <v>503</v>
      </c>
      <c r="AW26" s="108" t="s">
        <v>503</v>
      </c>
      <c r="AX26" s="108" t="s">
        <v>503</v>
      </c>
      <c r="AY26" s="108" t="s">
        <v>503</v>
      </c>
      <c r="AZ26" s="108" t="s">
        <v>503</v>
      </c>
      <c r="BA26" s="108" t="s">
        <v>503</v>
      </c>
      <c r="BB26" s="108" t="s">
        <v>503</v>
      </c>
      <c r="BC26" s="108" t="s">
        <v>503</v>
      </c>
      <c r="BD26" s="108" t="s">
        <v>503</v>
      </c>
      <c r="BE26" s="108" t="s">
        <v>503</v>
      </c>
      <c r="BF26" s="108" t="s">
        <v>503</v>
      </c>
      <c r="BG26" s="108" t="s">
        <v>503</v>
      </c>
      <c r="BH26" s="108" t="s">
        <v>503</v>
      </c>
      <c r="BI26" s="108" t="s">
        <v>503</v>
      </c>
      <c r="BJ26" s="108" t="s">
        <v>503</v>
      </c>
      <c r="BK26" s="108" t="s">
        <v>503</v>
      </c>
      <c r="BL26" s="108" t="s">
        <v>503</v>
      </c>
      <c r="BM26" s="108" t="s">
        <v>503</v>
      </c>
      <c r="BN26" s="108" t="s">
        <v>503</v>
      </c>
      <c r="BO26" s="108" t="s">
        <v>503</v>
      </c>
      <c r="BP26" s="108" t="s">
        <v>503</v>
      </c>
      <c r="BQ26" s="108" t="s">
        <v>503</v>
      </c>
      <c r="BR26" s="108" t="s">
        <v>503</v>
      </c>
      <c r="BS26" s="108" t="s">
        <v>503</v>
      </c>
      <c r="BT26" s="108" t="s">
        <v>503</v>
      </c>
      <c r="BU26" s="108" t="s">
        <v>503</v>
      </c>
      <c r="BV26" s="108" t="s">
        <v>503</v>
      </c>
      <c r="BW26" s="108" t="s">
        <v>503</v>
      </c>
      <c r="BX26" s="108" t="s">
        <v>503</v>
      </c>
      <c r="BY26" s="108" t="s">
        <v>503</v>
      </c>
      <c r="BZ26" s="108" t="s">
        <v>503</v>
      </c>
      <c r="CA26" s="108" t="s">
        <v>503</v>
      </c>
      <c r="CB26" s="108" t="s">
        <v>503</v>
      </c>
      <c r="CC26" s="108" t="s">
        <v>503</v>
      </c>
      <c r="CD26" s="108" t="s">
        <v>503</v>
      </c>
      <c r="CE26" s="108" t="s">
        <v>503</v>
      </c>
      <c r="CF26" s="108" t="s">
        <v>503</v>
      </c>
      <c r="CG26" s="108" t="s">
        <v>503</v>
      </c>
      <c r="CH26" s="108" t="s">
        <v>503</v>
      </c>
      <c r="CI26" s="108" t="s">
        <v>503</v>
      </c>
      <c r="CJ26" s="108" t="s">
        <v>503</v>
      </c>
      <c r="CK26" s="108" t="s">
        <v>503</v>
      </c>
      <c r="CL26" s="108" t="s">
        <v>503</v>
      </c>
      <c r="CM26" s="108" t="s">
        <v>503</v>
      </c>
      <c r="CN26" s="108" t="s">
        <v>503</v>
      </c>
      <c r="CO26" s="108" t="s">
        <v>503</v>
      </c>
      <c r="CP26" s="108" t="s">
        <v>503</v>
      </c>
      <c r="CQ26" s="108" t="s">
        <v>503</v>
      </c>
      <c r="CR26" s="108" t="s">
        <v>503</v>
      </c>
      <c r="CS26" s="108" t="s">
        <v>503</v>
      </c>
      <c r="CT26" s="108" t="s">
        <v>503</v>
      </c>
      <c r="CU26" s="158">
        <v>8182</v>
      </c>
      <c r="CV26" s="71">
        <f t="shared" si="11"/>
        <v>1554.58</v>
      </c>
      <c r="CW26" s="71">
        <f t="shared" si="12"/>
        <v>9736.58</v>
      </c>
      <c r="CX26" s="118">
        <v>5150</v>
      </c>
      <c r="CY26" s="118">
        <f t="shared" si="9"/>
        <v>978.5</v>
      </c>
      <c r="CZ26" s="118">
        <f t="shared" si="10"/>
        <v>6128.5</v>
      </c>
      <c r="DA26" s="108" t="s">
        <v>503</v>
      </c>
      <c r="DB26" s="108" t="s">
        <v>503</v>
      </c>
      <c r="DC26" s="108" t="s">
        <v>503</v>
      </c>
      <c r="DD26" s="108" t="s">
        <v>503</v>
      </c>
      <c r="DE26" s="108" t="s">
        <v>503</v>
      </c>
      <c r="DF26" s="108" t="s">
        <v>503</v>
      </c>
      <c r="DG26" s="108" t="s">
        <v>503</v>
      </c>
      <c r="DH26" s="108" t="s">
        <v>503</v>
      </c>
      <c r="DI26" s="108" t="s">
        <v>503</v>
      </c>
      <c r="DJ26" s="118" t="s">
        <v>502</v>
      </c>
      <c r="DK26" s="118" t="s">
        <v>502</v>
      </c>
      <c r="DL26" s="118" t="s">
        <v>502</v>
      </c>
      <c r="DM26" s="108" t="s">
        <v>503</v>
      </c>
      <c r="DN26" s="108" t="s">
        <v>503</v>
      </c>
      <c r="DO26" s="108" t="s">
        <v>503</v>
      </c>
      <c r="DP26" s="108" t="s">
        <v>669</v>
      </c>
      <c r="DQ26" s="108" t="s">
        <v>669</v>
      </c>
      <c r="DR26" s="108" t="s">
        <v>669</v>
      </c>
      <c r="DS26" s="108" t="s">
        <v>669</v>
      </c>
      <c r="DT26" s="108" t="s">
        <v>669</v>
      </c>
      <c r="DU26" s="108" t="s">
        <v>669</v>
      </c>
      <c r="DV26" s="108" t="s">
        <v>669</v>
      </c>
      <c r="DW26" s="108" t="s">
        <v>669</v>
      </c>
      <c r="DX26" s="108" t="s">
        <v>669</v>
      </c>
      <c r="DY26" s="108" t="s">
        <v>503</v>
      </c>
      <c r="DZ26" s="108" t="s">
        <v>503</v>
      </c>
      <c r="EA26" s="108" t="s">
        <v>503</v>
      </c>
      <c r="EB26" s="108" t="s">
        <v>503</v>
      </c>
      <c r="EC26" s="108" t="s">
        <v>503</v>
      </c>
      <c r="ED26" s="108" t="s">
        <v>503</v>
      </c>
      <c r="EE26" s="108" t="s">
        <v>503</v>
      </c>
      <c r="EF26" s="108" t="s">
        <v>503</v>
      </c>
      <c r="EG26" s="108" t="s">
        <v>503</v>
      </c>
      <c r="EH26" s="108" t="s">
        <v>503</v>
      </c>
      <c r="EI26" s="108" t="s">
        <v>503</v>
      </c>
      <c r="EJ26" s="108" t="s">
        <v>503</v>
      </c>
      <c r="EK26" s="108" t="s">
        <v>503</v>
      </c>
      <c r="EL26" s="108" t="s">
        <v>503</v>
      </c>
      <c r="EM26" s="108" t="s">
        <v>503</v>
      </c>
      <c r="EN26" s="108" t="s">
        <v>503</v>
      </c>
      <c r="EO26" s="108" t="s">
        <v>503</v>
      </c>
      <c r="EP26" s="108" t="s">
        <v>503</v>
      </c>
      <c r="EQ26" s="108" t="s">
        <v>503</v>
      </c>
      <c r="ER26" s="108" t="s">
        <v>503</v>
      </c>
      <c r="ES26" s="108" t="s">
        <v>503</v>
      </c>
      <c r="ET26" s="108" t="s">
        <v>503</v>
      </c>
      <c r="EU26" s="108" t="s">
        <v>503</v>
      </c>
      <c r="EV26" s="108" t="s">
        <v>503</v>
      </c>
      <c r="EW26" s="108" t="s">
        <v>503</v>
      </c>
      <c r="EX26" s="108" t="s">
        <v>503</v>
      </c>
      <c r="EY26" s="108" t="s">
        <v>503</v>
      </c>
      <c r="EZ26" s="108" t="s">
        <v>503</v>
      </c>
      <c r="FA26" s="108" t="s">
        <v>503</v>
      </c>
      <c r="FB26" s="108" t="s">
        <v>503</v>
      </c>
      <c r="FC26" s="108" t="s">
        <v>503</v>
      </c>
      <c r="FD26" s="108" t="s">
        <v>503</v>
      </c>
      <c r="FE26" s="108" t="s">
        <v>503</v>
      </c>
      <c r="FF26" s="108" t="s">
        <v>503</v>
      </c>
      <c r="FG26" s="108" t="s">
        <v>503</v>
      </c>
      <c r="FH26" s="108" t="s">
        <v>503</v>
      </c>
      <c r="FI26" s="108" t="s">
        <v>503</v>
      </c>
      <c r="FJ26" s="108" t="s">
        <v>503</v>
      </c>
      <c r="FK26" s="108" t="s">
        <v>503</v>
      </c>
      <c r="FL26" s="108" t="s">
        <v>502</v>
      </c>
      <c r="FM26" s="108" t="s">
        <v>502</v>
      </c>
      <c r="FN26" s="108" t="s">
        <v>502</v>
      </c>
      <c r="FO26" s="108" t="s">
        <v>503</v>
      </c>
      <c r="FP26" s="108" t="s">
        <v>503</v>
      </c>
      <c r="FQ26" s="108" t="s">
        <v>503</v>
      </c>
      <c r="FR26" s="108" t="s">
        <v>503</v>
      </c>
      <c r="FS26" s="108" t="s">
        <v>503</v>
      </c>
      <c r="FT26" s="108" t="s">
        <v>503</v>
      </c>
      <c r="FU26" s="108" t="s">
        <v>503</v>
      </c>
      <c r="FV26" s="108" t="s">
        <v>503</v>
      </c>
      <c r="FW26" s="108" t="s">
        <v>503</v>
      </c>
      <c r="FX26" s="108" t="s">
        <v>503</v>
      </c>
      <c r="FY26" s="108" t="s">
        <v>503</v>
      </c>
      <c r="FZ26" s="108" t="s">
        <v>503</v>
      </c>
      <c r="GA26" s="108" t="s">
        <v>503</v>
      </c>
      <c r="GB26" s="108" t="s">
        <v>503</v>
      </c>
      <c r="GC26" s="108" t="s">
        <v>503</v>
      </c>
      <c r="GD26" s="108" t="s">
        <v>503</v>
      </c>
      <c r="GE26" s="108" t="s">
        <v>503</v>
      </c>
      <c r="GF26" s="108" t="s">
        <v>503</v>
      </c>
      <c r="GG26" s="108" t="s">
        <v>503</v>
      </c>
      <c r="GH26" s="108" t="s">
        <v>503</v>
      </c>
      <c r="GI26" s="108" t="s">
        <v>503</v>
      </c>
      <c r="GJ26" s="108" t="s">
        <v>503</v>
      </c>
      <c r="GK26" s="108" t="s">
        <v>503</v>
      </c>
      <c r="GL26" s="108" t="s">
        <v>503</v>
      </c>
      <c r="GM26" s="108" t="s">
        <v>503</v>
      </c>
      <c r="GN26" s="108" t="s">
        <v>503</v>
      </c>
      <c r="GO26" s="108" t="s">
        <v>503</v>
      </c>
      <c r="GP26" s="108" t="s">
        <v>664</v>
      </c>
      <c r="GQ26" s="108" t="s">
        <v>664</v>
      </c>
      <c r="GR26" s="108" t="s">
        <v>664</v>
      </c>
      <c r="GS26" s="108" t="s">
        <v>664</v>
      </c>
      <c r="GT26" s="108" t="s">
        <v>664</v>
      </c>
      <c r="GU26" s="108" t="s">
        <v>664</v>
      </c>
      <c r="GV26" s="108" t="s">
        <v>664</v>
      </c>
      <c r="GW26" s="108" t="s">
        <v>664</v>
      </c>
      <c r="GX26" s="108" t="s">
        <v>664</v>
      </c>
      <c r="GY26" s="108" t="s">
        <v>503</v>
      </c>
      <c r="GZ26" s="108" t="s">
        <v>503</v>
      </c>
      <c r="HA26" s="108" t="s">
        <v>503</v>
      </c>
      <c r="HB26" s="108" t="s">
        <v>664</v>
      </c>
      <c r="HC26" s="108" t="s">
        <v>664</v>
      </c>
      <c r="HD26" s="108" t="s">
        <v>664</v>
      </c>
      <c r="HE26" s="108" t="s">
        <v>664</v>
      </c>
      <c r="HF26" s="108" t="s">
        <v>664</v>
      </c>
      <c r="HG26" s="108" t="s">
        <v>664</v>
      </c>
      <c r="HH26" s="108" t="s">
        <v>664</v>
      </c>
      <c r="HI26" s="108" t="s">
        <v>664</v>
      </c>
      <c r="HJ26" s="108" t="s">
        <v>664</v>
      </c>
      <c r="HK26" s="108" t="s">
        <v>664</v>
      </c>
      <c r="HL26" s="108" t="s">
        <v>664</v>
      </c>
      <c r="HM26" s="108" t="s">
        <v>664</v>
      </c>
      <c r="HN26" s="108" t="s">
        <v>664</v>
      </c>
      <c r="HO26" s="108" t="s">
        <v>664</v>
      </c>
      <c r="HP26" s="108" t="s">
        <v>664</v>
      </c>
      <c r="HQ26" s="108" t="s">
        <v>664</v>
      </c>
      <c r="HR26" s="108" t="s">
        <v>664</v>
      </c>
      <c r="HS26" s="108" t="s">
        <v>664</v>
      </c>
      <c r="HT26" s="108" t="s">
        <v>664</v>
      </c>
      <c r="HU26" s="108" t="s">
        <v>664</v>
      </c>
      <c r="HV26" s="108" t="s">
        <v>664</v>
      </c>
      <c r="HW26" s="108" t="s">
        <v>664</v>
      </c>
      <c r="HX26" s="108" t="s">
        <v>664</v>
      </c>
      <c r="HY26" s="108" t="s">
        <v>664</v>
      </c>
      <c r="HZ26" s="108" t="s">
        <v>664</v>
      </c>
      <c r="IA26" s="108" t="s">
        <v>664</v>
      </c>
      <c r="IB26" s="108" t="s">
        <v>664</v>
      </c>
      <c r="IC26" s="108" t="s">
        <v>664</v>
      </c>
      <c r="ID26" s="108" t="s">
        <v>664</v>
      </c>
      <c r="IE26" s="108" t="s">
        <v>664</v>
      </c>
      <c r="IF26" s="108" t="s">
        <v>664</v>
      </c>
      <c r="IG26" s="108" t="s">
        <v>664</v>
      </c>
      <c r="IH26" s="108" t="s">
        <v>664</v>
      </c>
      <c r="II26" s="108" t="s">
        <v>664</v>
      </c>
      <c r="IJ26" s="108" t="s">
        <v>664</v>
      </c>
      <c r="IK26" s="108" t="s">
        <v>664</v>
      </c>
      <c r="IL26" s="108" t="s">
        <v>664</v>
      </c>
      <c r="IM26" s="108" t="s">
        <v>664</v>
      </c>
      <c r="IN26" s="108" t="s">
        <v>664</v>
      </c>
      <c r="IO26" s="120" t="s">
        <v>503</v>
      </c>
      <c r="IP26" s="120" t="s">
        <v>503</v>
      </c>
      <c r="IQ26" s="120" t="s">
        <v>503</v>
      </c>
      <c r="IR26" s="120" t="s">
        <v>664</v>
      </c>
      <c r="IS26" s="120" t="s">
        <v>664</v>
      </c>
      <c r="IT26" s="120" t="s">
        <v>664</v>
      </c>
      <c r="IU26" s="108" t="s">
        <v>502</v>
      </c>
      <c r="IV26" s="108" t="s">
        <v>502</v>
      </c>
      <c r="IW26" s="108" t="s">
        <v>502</v>
      </c>
      <c r="IX26" s="120" t="s">
        <v>503</v>
      </c>
      <c r="IY26" s="120" t="s">
        <v>503</v>
      </c>
      <c r="IZ26" s="120" t="s">
        <v>503</v>
      </c>
      <c r="JA26" s="120" t="s">
        <v>503</v>
      </c>
      <c r="JB26" s="120" t="s">
        <v>503</v>
      </c>
      <c r="JC26" s="120" t="s">
        <v>503</v>
      </c>
      <c r="JD26" s="120" t="s">
        <v>664</v>
      </c>
      <c r="JE26" s="120" t="s">
        <v>664</v>
      </c>
      <c r="JF26" s="120" t="s">
        <v>664</v>
      </c>
      <c r="JG26" s="120" t="s">
        <v>664</v>
      </c>
      <c r="JH26" s="120" t="s">
        <v>664</v>
      </c>
      <c r="JI26" s="120" t="s">
        <v>664</v>
      </c>
      <c r="JJ26" s="120" t="s">
        <v>664</v>
      </c>
      <c r="JK26" s="120" t="s">
        <v>664</v>
      </c>
      <c r="JL26" s="120" t="s">
        <v>664</v>
      </c>
      <c r="JM26" s="120" t="s">
        <v>664</v>
      </c>
      <c r="JN26" s="120" t="s">
        <v>664</v>
      </c>
      <c r="JO26" s="120" t="s">
        <v>664</v>
      </c>
      <c r="JP26" s="110">
        <v>12400</v>
      </c>
      <c r="JQ26" s="111">
        <v>14815.190656000001</v>
      </c>
      <c r="JR26" s="112">
        <f t="shared" si="0"/>
        <v>3</v>
      </c>
      <c r="JS26" s="113">
        <f t="shared" si="1"/>
        <v>7498.19</v>
      </c>
      <c r="JT26" s="114">
        <f t="shared" si="2"/>
        <v>7500</v>
      </c>
      <c r="JU26" s="134"/>
    </row>
    <row r="27" spans="1:281" ht="207" customHeight="1" x14ac:dyDescent="0.2">
      <c r="A27" s="98">
        <v>115</v>
      </c>
      <c r="B27" s="99">
        <v>115</v>
      </c>
      <c r="C27" s="39" t="s">
        <v>674</v>
      </c>
      <c r="D27" s="100" t="s">
        <v>675</v>
      </c>
      <c r="E27" s="39">
        <v>31162800</v>
      </c>
      <c r="F27" s="101" t="s">
        <v>676</v>
      </c>
      <c r="G27" s="102" t="s">
        <v>677</v>
      </c>
      <c r="H27" s="103" t="s">
        <v>501</v>
      </c>
      <c r="I27" s="108" t="s">
        <v>503</v>
      </c>
      <c r="J27" s="108" t="s">
        <v>503</v>
      </c>
      <c r="K27" s="108" t="s">
        <v>503</v>
      </c>
      <c r="L27" s="108" t="s">
        <v>503</v>
      </c>
      <c r="M27" s="108" t="s">
        <v>503</v>
      </c>
      <c r="N27" s="108" t="s">
        <v>503</v>
      </c>
      <c r="O27" s="108" t="s">
        <v>503</v>
      </c>
      <c r="P27" s="108" t="s">
        <v>503</v>
      </c>
      <c r="Q27" s="108" t="s">
        <v>503</v>
      </c>
      <c r="R27" s="108" t="s">
        <v>503</v>
      </c>
      <c r="S27" s="108" t="s">
        <v>503</v>
      </c>
      <c r="T27" s="108" t="s">
        <v>503</v>
      </c>
      <c r="U27" s="108" t="s">
        <v>503</v>
      </c>
      <c r="V27" s="108" t="s">
        <v>503</v>
      </c>
      <c r="W27" s="108" t="s">
        <v>503</v>
      </c>
      <c r="X27" s="108" t="s">
        <v>503</v>
      </c>
      <c r="Y27" s="108" t="s">
        <v>503</v>
      </c>
      <c r="Z27" s="108" t="s">
        <v>503</v>
      </c>
      <c r="AA27" s="108" t="s">
        <v>503</v>
      </c>
      <c r="AB27" s="108" t="s">
        <v>503</v>
      </c>
      <c r="AC27" s="108" t="s">
        <v>503</v>
      </c>
      <c r="AD27" s="108" t="s">
        <v>503</v>
      </c>
      <c r="AE27" s="108" t="s">
        <v>503</v>
      </c>
      <c r="AF27" s="108" t="s">
        <v>503</v>
      </c>
      <c r="AG27" s="108" t="s">
        <v>503</v>
      </c>
      <c r="AH27" s="108" t="s">
        <v>503</v>
      </c>
      <c r="AI27" s="108" t="s">
        <v>503</v>
      </c>
      <c r="AJ27" s="108" t="s">
        <v>503</v>
      </c>
      <c r="AK27" s="108" t="s">
        <v>503</v>
      </c>
      <c r="AL27" s="108" t="s">
        <v>503</v>
      </c>
      <c r="AM27" s="108" t="s">
        <v>503</v>
      </c>
      <c r="AN27" s="108" t="s">
        <v>503</v>
      </c>
      <c r="AO27" s="108" t="s">
        <v>503</v>
      </c>
      <c r="AP27" s="108" t="s">
        <v>503</v>
      </c>
      <c r="AQ27" s="108" t="s">
        <v>503</v>
      </c>
      <c r="AR27" s="108" t="s">
        <v>503</v>
      </c>
      <c r="AS27" s="108" t="s">
        <v>503</v>
      </c>
      <c r="AT27" s="108" t="s">
        <v>503</v>
      </c>
      <c r="AU27" s="108" t="s">
        <v>503</v>
      </c>
      <c r="AV27" s="108" t="s">
        <v>503</v>
      </c>
      <c r="AW27" s="108" t="s">
        <v>503</v>
      </c>
      <c r="AX27" s="108" t="s">
        <v>503</v>
      </c>
      <c r="AY27" s="108" t="s">
        <v>503</v>
      </c>
      <c r="AZ27" s="108" t="s">
        <v>503</v>
      </c>
      <c r="BA27" s="108" t="s">
        <v>503</v>
      </c>
      <c r="BB27" s="108" t="s">
        <v>503</v>
      </c>
      <c r="BC27" s="108" t="s">
        <v>503</v>
      </c>
      <c r="BD27" s="108" t="s">
        <v>503</v>
      </c>
      <c r="BE27" s="108" t="s">
        <v>503</v>
      </c>
      <c r="BF27" s="108" t="s">
        <v>503</v>
      </c>
      <c r="BG27" s="108" t="s">
        <v>503</v>
      </c>
      <c r="BH27" s="108" t="s">
        <v>503</v>
      </c>
      <c r="BI27" s="108" t="s">
        <v>503</v>
      </c>
      <c r="BJ27" s="108" t="s">
        <v>503</v>
      </c>
      <c r="BK27" s="108" t="s">
        <v>503</v>
      </c>
      <c r="BL27" s="108" t="s">
        <v>503</v>
      </c>
      <c r="BM27" s="108" t="s">
        <v>503</v>
      </c>
      <c r="BN27" s="108" t="s">
        <v>503</v>
      </c>
      <c r="BO27" s="108" t="s">
        <v>503</v>
      </c>
      <c r="BP27" s="108" t="s">
        <v>503</v>
      </c>
      <c r="BQ27" s="108" t="s">
        <v>503</v>
      </c>
      <c r="BR27" s="108" t="s">
        <v>503</v>
      </c>
      <c r="BS27" s="108" t="s">
        <v>503</v>
      </c>
      <c r="BT27" s="47">
        <v>41877</v>
      </c>
      <c r="BU27" s="159">
        <f>+BT27*19%</f>
        <v>7956.63</v>
      </c>
      <c r="BV27" s="47">
        <f>+BT27+BU27</f>
        <v>49833.63</v>
      </c>
      <c r="BW27" s="77">
        <v>32773.10924369748</v>
      </c>
      <c r="BX27" s="117">
        <f t="shared" ref="BX27:BX33" si="13">+BW27*19%</f>
        <v>6226.8907563025214</v>
      </c>
      <c r="BY27" s="71">
        <f t="shared" ref="BY27:BY35" si="14">+BW27+BX27</f>
        <v>39000</v>
      </c>
      <c r="BZ27" s="108" t="s">
        <v>503</v>
      </c>
      <c r="CA27" s="108" t="s">
        <v>503</v>
      </c>
      <c r="CB27" s="108" t="s">
        <v>503</v>
      </c>
      <c r="CC27" s="108" t="s">
        <v>503</v>
      </c>
      <c r="CD27" s="108" t="s">
        <v>503</v>
      </c>
      <c r="CE27" s="108" t="s">
        <v>503</v>
      </c>
      <c r="CF27" s="108" t="s">
        <v>503</v>
      </c>
      <c r="CG27" s="108" t="s">
        <v>503</v>
      </c>
      <c r="CH27" s="108" t="s">
        <v>503</v>
      </c>
      <c r="CI27" s="160" t="s">
        <v>502</v>
      </c>
      <c r="CJ27" s="160" t="s">
        <v>502</v>
      </c>
      <c r="CK27" s="160" t="s">
        <v>502</v>
      </c>
      <c r="CL27" s="108" t="s">
        <v>503</v>
      </c>
      <c r="CM27" s="108" t="s">
        <v>503</v>
      </c>
      <c r="CN27" s="108" t="s">
        <v>503</v>
      </c>
      <c r="CO27" s="160" t="s">
        <v>502</v>
      </c>
      <c r="CP27" s="160" t="s">
        <v>502</v>
      </c>
      <c r="CQ27" s="160" t="s">
        <v>502</v>
      </c>
      <c r="CR27" s="108" t="s">
        <v>503</v>
      </c>
      <c r="CS27" s="108" t="s">
        <v>503</v>
      </c>
      <c r="CT27" s="108" t="s">
        <v>503</v>
      </c>
      <c r="CU27" s="108" t="s">
        <v>503</v>
      </c>
      <c r="CV27" s="108" t="s">
        <v>503</v>
      </c>
      <c r="CW27" s="108" t="s">
        <v>503</v>
      </c>
      <c r="CX27" s="108" t="s">
        <v>503</v>
      </c>
      <c r="CY27" s="108" t="s">
        <v>503</v>
      </c>
      <c r="CZ27" s="108" t="s">
        <v>503</v>
      </c>
      <c r="DA27" s="108" t="s">
        <v>503</v>
      </c>
      <c r="DB27" s="108" t="s">
        <v>503</v>
      </c>
      <c r="DC27" s="108" t="s">
        <v>503</v>
      </c>
      <c r="DD27" s="108" t="s">
        <v>503</v>
      </c>
      <c r="DE27" s="108" t="s">
        <v>503</v>
      </c>
      <c r="DF27" s="108" t="s">
        <v>503</v>
      </c>
      <c r="DG27" s="108" t="s">
        <v>503</v>
      </c>
      <c r="DH27" s="108" t="s">
        <v>503</v>
      </c>
      <c r="DI27" s="108" t="s">
        <v>503</v>
      </c>
      <c r="DJ27" s="108" t="s">
        <v>503</v>
      </c>
      <c r="DK27" s="108" t="s">
        <v>503</v>
      </c>
      <c r="DL27" s="108" t="s">
        <v>503</v>
      </c>
      <c r="DM27" s="118" t="s">
        <v>502</v>
      </c>
      <c r="DN27" s="118" t="s">
        <v>502</v>
      </c>
      <c r="DO27" s="118" t="s">
        <v>502</v>
      </c>
      <c r="DP27" s="108" t="s">
        <v>669</v>
      </c>
      <c r="DQ27" s="108" t="s">
        <v>669</v>
      </c>
      <c r="DR27" s="108" t="s">
        <v>669</v>
      </c>
      <c r="DS27" s="108" t="s">
        <v>669</v>
      </c>
      <c r="DT27" s="108" t="s">
        <v>669</v>
      </c>
      <c r="DU27" s="108" t="s">
        <v>669</v>
      </c>
      <c r="DV27" s="108" t="s">
        <v>669</v>
      </c>
      <c r="DW27" s="108" t="s">
        <v>669</v>
      </c>
      <c r="DX27" s="108" t="s">
        <v>669</v>
      </c>
      <c r="DY27" s="108" t="s">
        <v>503</v>
      </c>
      <c r="DZ27" s="108" t="s">
        <v>503</v>
      </c>
      <c r="EA27" s="108" t="s">
        <v>503</v>
      </c>
      <c r="EB27" s="108" t="s">
        <v>503</v>
      </c>
      <c r="EC27" s="108" t="s">
        <v>503</v>
      </c>
      <c r="ED27" s="108" t="s">
        <v>503</v>
      </c>
      <c r="EE27" s="108" t="s">
        <v>503</v>
      </c>
      <c r="EF27" s="108" t="s">
        <v>503</v>
      </c>
      <c r="EG27" s="108" t="s">
        <v>503</v>
      </c>
      <c r="EH27" s="108" t="s">
        <v>503</v>
      </c>
      <c r="EI27" s="108" t="s">
        <v>503</v>
      </c>
      <c r="EJ27" s="108" t="s">
        <v>503</v>
      </c>
      <c r="EK27" s="108" t="s">
        <v>503</v>
      </c>
      <c r="EL27" s="108" t="s">
        <v>503</v>
      </c>
      <c r="EM27" s="108" t="s">
        <v>503</v>
      </c>
      <c r="EN27" s="108" t="s">
        <v>503</v>
      </c>
      <c r="EO27" s="108" t="s">
        <v>503</v>
      </c>
      <c r="EP27" s="108" t="s">
        <v>503</v>
      </c>
      <c r="EQ27" s="108" t="s">
        <v>503</v>
      </c>
      <c r="ER27" s="108" t="s">
        <v>503</v>
      </c>
      <c r="ES27" s="108" t="s">
        <v>503</v>
      </c>
      <c r="ET27" s="108" t="s">
        <v>503</v>
      </c>
      <c r="EU27" s="108" t="s">
        <v>503</v>
      </c>
      <c r="EV27" s="108" t="s">
        <v>503</v>
      </c>
      <c r="EW27" s="108"/>
      <c r="EX27" s="108"/>
      <c r="EY27" s="108"/>
      <c r="EZ27" s="108" t="s">
        <v>503</v>
      </c>
      <c r="FA27" s="108" t="s">
        <v>503</v>
      </c>
      <c r="FB27" s="108" t="s">
        <v>503</v>
      </c>
      <c r="FC27" s="108" t="s">
        <v>503</v>
      </c>
      <c r="FD27" s="108" t="s">
        <v>503</v>
      </c>
      <c r="FE27" s="108" t="s">
        <v>503</v>
      </c>
      <c r="FF27" s="108" t="s">
        <v>503</v>
      </c>
      <c r="FG27" s="108" t="s">
        <v>503</v>
      </c>
      <c r="FH27" s="108" t="s">
        <v>503</v>
      </c>
      <c r="FI27" s="108" t="s">
        <v>503</v>
      </c>
      <c r="FJ27" s="108" t="s">
        <v>503</v>
      </c>
      <c r="FK27" s="108" t="s">
        <v>503</v>
      </c>
      <c r="FL27" s="108" t="s">
        <v>503</v>
      </c>
      <c r="FM27" s="108" t="s">
        <v>503</v>
      </c>
      <c r="FN27" s="108" t="s">
        <v>503</v>
      </c>
      <c r="FO27" s="108" t="s">
        <v>503</v>
      </c>
      <c r="FP27" s="108" t="s">
        <v>503</v>
      </c>
      <c r="FQ27" s="108" t="s">
        <v>503</v>
      </c>
      <c r="FR27" s="108" t="s">
        <v>503</v>
      </c>
      <c r="FS27" s="108" t="s">
        <v>503</v>
      </c>
      <c r="FT27" s="108" t="s">
        <v>503</v>
      </c>
      <c r="FU27" s="108" t="s">
        <v>503</v>
      </c>
      <c r="FV27" s="108" t="s">
        <v>503</v>
      </c>
      <c r="FW27" s="108" t="s">
        <v>503</v>
      </c>
      <c r="FX27" s="108" t="s">
        <v>502</v>
      </c>
      <c r="FY27" s="108" t="s">
        <v>502</v>
      </c>
      <c r="FZ27" s="108" t="s">
        <v>502</v>
      </c>
      <c r="GA27" s="108" t="s">
        <v>503</v>
      </c>
      <c r="GB27" s="108" t="s">
        <v>503</v>
      </c>
      <c r="GC27" s="108" t="s">
        <v>503</v>
      </c>
      <c r="GD27" s="108" t="s">
        <v>503</v>
      </c>
      <c r="GE27" s="108" t="s">
        <v>503</v>
      </c>
      <c r="GF27" s="108" t="s">
        <v>503</v>
      </c>
      <c r="GG27" s="108" t="s">
        <v>503</v>
      </c>
      <c r="GH27" s="108" t="s">
        <v>503</v>
      </c>
      <c r="GI27" s="108" t="s">
        <v>503</v>
      </c>
      <c r="GJ27" s="108" t="s">
        <v>503</v>
      </c>
      <c r="GK27" s="108" t="s">
        <v>503</v>
      </c>
      <c r="GL27" s="108" t="s">
        <v>503</v>
      </c>
      <c r="GM27" s="108" t="s">
        <v>503</v>
      </c>
      <c r="GN27" s="108" t="s">
        <v>503</v>
      </c>
      <c r="GO27" s="108" t="s">
        <v>503</v>
      </c>
      <c r="GP27" s="108" t="s">
        <v>502</v>
      </c>
      <c r="GQ27" s="108" t="s">
        <v>502</v>
      </c>
      <c r="GR27" s="108" t="s">
        <v>502</v>
      </c>
      <c r="GS27" s="108" t="s">
        <v>664</v>
      </c>
      <c r="GT27" s="108" t="s">
        <v>664</v>
      </c>
      <c r="GU27" s="108" t="s">
        <v>664</v>
      </c>
      <c r="GV27" s="108" t="s">
        <v>664</v>
      </c>
      <c r="GW27" s="108" t="s">
        <v>664</v>
      </c>
      <c r="GX27" s="108" t="s">
        <v>664</v>
      </c>
      <c r="GY27" s="108" t="s">
        <v>664</v>
      </c>
      <c r="GZ27" s="108" t="s">
        <v>664</v>
      </c>
      <c r="HA27" s="108" t="s">
        <v>664</v>
      </c>
      <c r="HB27" s="108" t="s">
        <v>664</v>
      </c>
      <c r="HC27" s="108" t="s">
        <v>664</v>
      </c>
      <c r="HD27" s="108" t="s">
        <v>664</v>
      </c>
      <c r="HE27" s="108" t="s">
        <v>664</v>
      </c>
      <c r="HF27" s="108" t="s">
        <v>664</v>
      </c>
      <c r="HG27" s="108" t="s">
        <v>664</v>
      </c>
      <c r="HH27" s="108" t="s">
        <v>664</v>
      </c>
      <c r="HI27" s="108" t="s">
        <v>664</v>
      </c>
      <c r="HJ27" s="108" t="s">
        <v>664</v>
      </c>
      <c r="HK27" s="108" t="s">
        <v>664</v>
      </c>
      <c r="HL27" s="108" t="s">
        <v>664</v>
      </c>
      <c r="HM27" s="108" t="s">
        <v>664</v>
      </c>
      <c r="HN27" s="108" t="s">
        <v>664</v>
      </c>
      <c r="HO27" s="108" t="s">
        <v>664</v>
      </c>
      <c r="HP27" s="108" t="s">
        <v>664</v>
      </c>
      <c r="HQ27" s="108" t="s">
        <v>664</v>
      </c>
      <c r="HR27" s="108" t="s">
        <v>664</v>
      </c>
      <c r="HS27" s="108" t="s">
        <v>664</v>
      </c>
      <c r="HT27" s="108" t="s">
        <v>664</v>
      </c>
      <c r="HU27" s="108" t="s">
        <v>664</v>
      </c>
      <c r="HV27" s="108" t="s">
        <v>664</v>
      </c>
      <c r="HW27" s="108" t="s">
        <v>664</v>
      </c>
      <c r="HX27" s="108" t="s">
        <v>664</v>
      </c>
      <c r="HY27" s="108" t="s">
        <v>664</v>
      </c>
      <c r="HZ27" s="108" t="s">
        <v>664</v>
      </c>
      <c r="IA27" s="108" t="s">
        <v>664</v>
      </c>
      <c r="IB27" s="108" t="s">
        <v>664</v>
      </c>
      <c r="IC27" s="108" t="s">
        <v>664</v>
      </c>
      <c r="ID27" s="108" t="s">
        <v>664</v>
      </c>
      <c r="IE27" s="108" t="s">
        <v>664</v>
      </c>
      <c r="IF27" s="108" t="s">
        <v>664</v>
      </c>
      <c r="IG27" s="108" t="s">
        <v>664</v>
      </c>
      <c r="IH27" s="108" t="s">
        <v>664</v>
      </c>
      <c r="II27" s="108" t="s">
        <v>664</v>
      </c>
      <c r="IJ27" s="108" t="s">
        <v>664</v>
      </c>
      <c r="IK27" s="108" t="s">
        <v>664</v>
      </c>
      <c r="IL27" s="108" t="s">
        <v>664</v>
      </c>
      <c r="IM27" s="108" t="s">
        <v>664</v>
      </c>
      <c r="IN27" s="108" t="s">
        <v>664</v>
      </c>
      <c r="IO27" s="120" t="s">
        <v>503</v>
      </c>
      <c r="IP27" s="120" t="s">
        <v>503</v>
      </c>
      <c r="IQ27" s="120" t="s">
        <v>503</v>
      </c>
      <c r="IR27" s="120" t="s">
        <v>664</v>
      </c>
      <c r="IS27" s="120" t="s">
        <v>664</v>
      </c>
      <c r="IT27" s="120" t="s">
        <v>664</v>
      </c>
      <c r="IU27" s="120" t="s">
        <v>503</v>
      </c>
      <c r="IV27" s="120" t="s">
        <v>503</v>
      </c>
      <c r="IW27" s="120" t="s">
        <v>503</v>
      </c>
      <c r="IX27" s="120" t="s">
        <v>503</v>
      </c>
      <c r="IY27" s="120" t="s">
        <v>503</v>
      </c>
      <c r="IZ27" s="120" t="s">
        <v>503</v>
      </c>
      <c r="JA27" s="120" t="s">
        <v>503</v>
      </c>
      <c r="JB27" s="120" t="s">
        <v>503</v>
      </c>
      <c r="JC27" s="120" t="s">
        <v>503</v>
      </c>
      <c r="JD27" s="108" t="s">
        <v>502</v>
      </c>
      <c r="JE27" s="108" t="s">
        <v>502</v>
      </c>
      <c r="JF27" s="108" t="s">
        <v>502</v>
      </c>
      <c r="JG27" s="120" t="s">
        <v>664</v>
      </c>
      <c r="JH27" s="120" t="s">
        <v>664</v>
      </c>
      <c r="JI27" s="120" t="s">
        <v>664</v>
      </c>
      <c r="JJ27" s="120" t="s">
        <v>664</v>
      </c>
      <c r="JK27" s="120" t="s">
        <v>664</v>
      </c>
      <c r="JL27" s="120" t="s">
        <v>664</v>
      </c>
      <c r="JM27" s="120" t="s">
        <v>664</v>
      </c>
      <c r="JN27" s="120" t="s">
        <v>664</v>
      </c>
      <c r="JO27" s="120" t="s">
        <v>664</v>
      </c>
      <c r="JP27" s="110">
        <v>27700</v>
      </c>
      <c r="JQ27" s="111">
        <v>33095.224288000005</v>
      </c>
      <c r="JR27" s="112">
        <f t="shared" si="0"/>
        <v>2</v>
      </c>
      <c r="JS27" s="113">
        <f t="shared" si="1"/>
        <v>44416.815000000002</v>
      </c>
      <c r="JT27" s="114">
        <f t="shared" si="2"/>
        <v>44450</v>
      </c>
      <c r="JU27" s="84"/>
    </row>
    <row r="28" spans="1:281" ht="101.25" customHeight="1" x14ac:dyDescent="0.2">
      <c r="A28" s="98">
        <v>116</v>
      </c>
      <c r="B28" s="99">
        <v>116</v>
      </c>
      <c r="C28" s="39" t="s">
        <v>674</v>
      </c>
      <c r="D28" s="100" t="s">
        <v>77</v>
      </c>
      <c r="E28" s="39">
        <v>31162800</v>
      </c>
      <c r="F28" s="101" t="s">
        <v>105</v>
      </c>
      <c r="G28" s="102" t="s">
        <v>86</v>
      </c>
      <c r="H28" s="103" t="s">
        <v>501</v>
      </c>
      <c r="I28" s="108" t="s">
        <v>503</v>
      </c>
      <c r="J28" s="108" t="s">
        <v>503</v>
      </c>
      <c r="K28" s="108" t="s">
        <v>503</v>
      </c>
      <c r="L28" s="108" t="s">
        <v>503</v>
      </c>
      <c r="M28" s="108" t="s">
        <v>503</v>
      </c>
      <c r="N28" s="108" t="s">
        <v>503</v>
      </c>
      <c r="O28" s="108" t="s">
        <v>503</v>
      </c>
      <c r="P28" s="108" t="s">
        <v>503</v>
      </c>
      <c r="Q28" s="108" t="s">
        <v>503</v>
      </c>
      <c r="R28" s="108" t="s">
        <v>503</v>
      </c>
      <c r="S28" s="108" t="s">
        <v>503</v>
      </c>
      <c r="T28" s="108" t="s">
        <v>503</v>
      </c>
      <c r="U28" s="108" t="s">
        <v>503</v>
      </c>
      <c r="V28" s="108" t="s">
        <v>503</v>
      </c>
      <c r="W28" s="108" t="s">
        <v>503</v>
      </c>
      <c r="X28" s="108" t="s">
        <v>503</v>
      </c>
      <c r="Y28" s="108" t="s">
        <v>503</v>
      </c>
      <c r="Z28" s="108" t="s">
        <v>503</v>
      </c>
      <c r="AA28" s="108" t="s">
        <v>503</v>
      </c>
      <c r="AB28" s="108" t="s">
        <v>503</v>
      </c>
      <c r="AC28" s="108" t="s">
        <v>503</v>
      </c>
      <c r="AD28" s="108" t="s">
        <v>503</v>
      </c>
      <c r="AE28" s="108" t="s">
        <v>503</v>
      </c>
      <c r="AF28" s="108" t="s">
        <v>503</v>
      </c>
      <c r="AG28" s="108" t="s">
        <v>503</v>
      </c>
      <c r="AH28" s="108" t="s">
        <v>503</v>
      </c>
      <c r="AI28" s="108" t="s">
        <v>503</v>
      </c>
      <c r="AJ28" s="108" t="s">
        <v>503</v>
      </c>
      <c r="AK28" s="108" t="s">
        <v>503</v>
      </c>
      <c r="AL28" s="108" t="s">
        <v>503</v>
      </c>
      <c r="AM28" s="108" t="s">
        <v>503</v>
      </c>
      <c r="AN28" s="108" t="s">
        <v>503</v>
      </c>
      <c r="AO28" s="108" t="s">
        <v>503</v>
      </c>
      <c r="AP28" s="108" t="s">
        <v>503</v>
      </c>
      <c r="AQ28" s="108" t="s">
        <v>503</v>
      </c>
      <c r="AR28" s="108" t="s">
        <v>503</v>
      </c>
      <c r="AS28" s="108" t="s">
        <v>503</v>
      </c>
      <c r="AT28" s="108" t="s">
        <v>503</v>
      </c>
      <c r="AU28" s="108" t="s">
        <v>503</v>
      </c>
      <c r="AV28" s="108" t="s">
        <v>503</v>
      </c>
      <c r="AW28" s="108" t="s">
        <v>503</v>
      </c>
      <c r="AX28" s="108" t="s">
        <v>503</v>
      </c>
      <c r="AY28" s="108" t="s">
        <v>503</v>
      </c>
      <c r="AZ28" s="108" t="s">
        <v>503</v>
      </c>
      <c r="BA28" s="108" t="s">
        <v>503</v>
      </c>
      <c r="BB28" s="108" t="s">
        <v>503</v>
      </c>
      <c r="BC28" s="108" t="s">
        <v>503</v>
      </c>
      <c r="BD28" s="108" t="s">
        <v>503</v>
      </c>
      <c r="BE28" s="108" t="s">
        <v>503</v>
      </c>
      <c r="BF28" s="108" t="s">
        <v>503</v>
      </c>
      <c r="BG28" s="108" t="s">
        <v>503</v>
      </c>
      <c r="BH28" s="108" t="s">
        <v>503</v>
      </c>
      <c r="BI28" s="108" t="s">
        <v>503</v>
      </c>
      <c r="BJ28" s="108" t="s">
        <v>503</v>
      </c>
      <c r="BK28" s="108" t="s">
        <v>503</v>
      </c>
      <c r="BL28" s="108" t="s">
        <v>503</v>
      </c>
      <c r="BM28" s="108" t="s">
        <v>503</v>
      </c>
      <c r="BN28" s="108" t="s">
        <v>503</v>
      </c>
      <c r="BO28" s="108" t="s">
        <v>503</v>
      </c>
      <c r="BP28" s="108" t="s">
        <v>503</v>
      </c>
      <c r="BQ28" s="108" t="s">
        <v>503</v>
      </c>
      <c r="BR28" s="108" t="s">
        <v>503</v>
      </c>
      <c r="BS28" s="108" t="s">
        <v>503</v>
      </c>
      <c r="BT28" s="108" t="s">
        <v>503</v>
      </c>
      <c r="BU28" s="108" t="s">
        <v>503</v>
      </c>
      <c r="BV28" s="108" t="s">
        <v>503</v>
      </c>
      <c r="BW28" s="77">
        <v>7142.8571428571431</v>
      </c>
      <c r="BX28" s="119">
        <f t="shared" si="13"/>
        <v>1357.1428571428571</v>
      </c>
      <c r="BY28" s="118">
        <f t="shared" si="14"/>
        <v>8500</v>
      </c>
      <c r="BZ28" s="108" t="s">
        <v>503</v>
      </c>
      <c r="CA28" s="108" t="s">
        <v>503</v>
      </c>
      <c r="CB28" s="108" t="s">
        <v>503</v>
      </c>
      <c r="CC28" s="108" t="s">
        <v>503</v>
      </c>
      <c r="CD28" s="108" t="s">
        <v>503</v>
      </c>
      <c r="CE28" s="108" t="s">
        <v>503</v>
      </c>
      <c r="CF28" s="108" t="s">
        <v>503</v>
      </c>
      <c r="CG28" s="108" t="s">
        <v>503</v>
      </c>
      <c r="CH28" s="108" t="s">
        <v>503</v>
      </c>
      <c r="CI28" s="56">
        <v>6017.1428571428578</v>
      </c>
      <c r="CJ28" s="119">
        <f t="shared" ref="CJ28:CJ36" si="15">+CI28*19%</f>
        <v>1143.257142857143</v>
      </c>
      <c r="CK28" s="118">
        <f>+CI28+CJ28</f>
        <v>7160.4000000000005</v>
      </c>
      <c r="CL28" s="56">
        <v>5500</v>
      </c>
      <c r="CM28" s="119">
        <f t="shared" ref="CM28:CM37" si="16">+CL28*19%</f>
        <v>1045</v>
      </c>
      <c r="CN28" s="118">
        <f t="shared" ref="CN28:CN37" si="17">+CL28+CM28</f>
        <v>6545</v>
      </c>
      <c r="CO28" s="108" t="s">
        <v>503</v>
      </c>
      <c r="CP28" s="108" t="s">
        <v>503</v>
      </c>
      <c r="CQ28" s="108" t="s">
        <v>503</v>
      </c>
      <c r="CR28" s="108" t="s">
        <v>503</v>
      </c>
      <c r="CS28" s="108" t="s">
        <v>503</v>
      </c>
      <c r="CT28" s="108" t="s">
        <v>503</v>
      </c>
      <c r="CU28" s="108" t="s">
        <v>503</v>
      </c>
      <c r="CV28" s="108" t="s">
        <v>503</v>
      </c>
      <c r="CW28" s="108" t="s">
        <v>503</v>
      </c>
      <c r="CX28" s="108" t="s">
        <v>503</v>
      </c>
      <c r="CY28" s="108" t="s">
        <v>503</v>
      </c>
      <c r="CZ28" s="108" t="s">
        <v>503</v>
      </c>
      <c r="DA28" s="108" t="s">
        <v>503</v>
      </c>
      <c r="DB28" s="108" t="s">
        <v>503</v>
      </c>
      <c r="DC28" s="108" t="s">
        <v>503</v>
      </c>
      <c r="DD28" s="108" t="s">
        <v>503</v>
      </c>
      <c r="DE28" s="108" t="s">
        <v>503</v>
      </c>
      <c r="DF28" s="108" t="s">
        <v>503</v>
      </c>
      <c r="DG28" s="108" t="s">
        <v>503</v>
      </c>
      <c r="DH28" s="108" t="s">
        <v>503</v>
      </c>
      <c r="DI28" s="108" t="s">
        <v>503</v>
      </c>
      <c r="DJ28" s="108" t="s">
        <v>503</v>
      </c>
      <c r="DK28" s="108" t="s">
        <v>503</v>
      </c>
      <c r="DL28" s="108" t="s">
        <v>503</v>
      </c>
      <c r="DM28" s="118" t="s">
        <v>502</v>
      </c>
      <c r="DN28" s="118" t="s">
        <v>502</v>
      </c>
      <c r="DO28" s="118" t="s">
        <v>502</v>
      </c>
      <c r="DP28" s="108" t="s">
        <v>669</v>
      </c>
      <c r="DQ28" s="108" t="s">
        <v>669</v>
      </c>
      <c r="DR28" s="108" t="s">
        <v>669</v>
      </c>
      <c r="DS28" s="108" t="s">
        <v>669</v>
      </c>
      <c r="DT28" s="108" t="s">
        <v>669</v>
      </c>
      <c r="DU28" s="108" t="s">
        <v>669</v>
      </c>
      <c r="DV28" s="108" t="s">
        <v>669</v>
      </c>
      <c r="DW28" s="108" t="s">
        <v>669</v>
      </c>
      <c r="DX28" s="108" t="s">
        <v>669</v>
      </c>
      <c r="DY28" s="108" t="s">
        <v>503</v>
      </c>
      <c r="DZ28" s="108" t="s">
        <v>503</v>
      </c>
      <c r="EA28" s="108" t="s">
        <v>503</v>
      </c>
      <c r="EB28" s="108" t="s">
        <v>503</v>
      </c>
      <c r="EC28" s="108" t="s">
        <v>503</v>
      </c>
      <c r="ED28" s="108" t="s">
        <v>503</v>
      </c>
      <c r="EE28" s="108" t="s">
        <v>503</v>
      </c>
      <c r="EF28" s="108" t="s">
        <v>503</v>
      </c>
      <c r="EG28" s="108" t="s">
        <v>503</v>
      </c>
      <c r="EH28" s="108" t="s">
        <v>503</v>
      </c>
      <c r="EI28" s="108" t="s">
        <v>503</v>
      </c>
      <c r="EJ28" s="108" t="s">
        <v>503</v>
      </c>
      <c r="EK28" s="108" t="s">
        <v>503</v>
      </c>
      <c r="EL28" s="108" t="s">
        <v>503</v>
      </c>
      <c r="EM28" s="108" t="s">
        <v>503</v>
      </c>
      <c r="EN28" s="108" t="s">
        <v>503</v>
      </c>
      <c r="EO28" s="108" t="s">
        <v>503</v>
      </c>
      <c r="EP28" s="108" t="s">
        <v>503</v>
      </c>
      <c r="EQ28" s="108" t="s">
        <v>503</v>
      </c>
      <c r="ER28" s="108" t="s">
        <v>503</v>
      </c>
      <c r="ES28" s="108" t="s">
        <v>503</v>
      </c>
      <c r="ET28" s="108" t="s">
        <v>503</v>
      </c>
      <c r="EU28" s="108" t="s">
        <v>503</v>
      </c>
      <c r="EV28" s="108" t="s">
        <v>503</v>
      </c>
      <c r="EW28" s="108"/>
      <c r="EX28" s="108"/>
      <c r="EY28" s="108"/>
      <c r="EZ28" s="108" t="s">
        <v>503</v>
      </c>
      <c r="FA28" s="108" t="s">
        <v>503</v>
      </c>
      <c r="FB28" s="108" t="s">
        <v>503</v>
      </c>
      <c r="FC28" s="108" t="s">
        <v>503</v>
      </c>
      <c r="FD28" s="108" t="s">
        <v>503</v>
      </c>
      <c r="FE28" s="108" t="s">
        <v>503</v>
      </c>
      <c r="FF28" s="108" t="s">
        <v>503</v>
      </c>
      <c r="FG28" s="108" t="s">
        <v>503</v>
      </c>
      <c r="FH28" s="108" t="s">
        <v>503</v>
      </c>
      <c r="FI28" s="108" t="s">
        <v>503</v>
      </c>
      <c r="FJ28" s="108" t="s">
        <v>503</v>
      </c>
      <c r="FK28" s="108" t="s">
        <v>503</v>
      </c>
      <c r="FL28" s="108" t="s">
        <v>503</v>
      </c>
      <c r="FM28" s="108" t="s">
        <v>503</v>
      </c>
      <c r="FN28" s="108" t="s">
        <v>503</v>
      </c>
      <c r="FO28" s="108" t="s">
        <v>503</v>
      </c>
      <c r="FP28" s="108" t="s">
        <v>503</v>
      </c>
      <c r="FQ28" s="108" t="s">
        <v>503</v>
      </c>
      <c r="FR28" s="108" t="s">
        <v>503</v>
      </c>
      <c r="FS28" s="108" t="s">
        <v>503</v>
      </c>
      <c r="FT28" s="108" t="s">
        <v>503</v>
      </c>
      <c r="FU28" s="108" t="s">
        <v>503</v>
      </c>
      <c r="FV28" s="108" t="s">
        <v>503</v>
      </c>
      <c r="FW28" s="108" t="s">
        <v>503</v>
      </c>
      <c r="FX28" s="108" t="s">
        <v>502</v>
      </c>
      <c r="FY28" s="108" t="s">
        <v>502</v>
      </c>
      <c r="FZ28" s="108" t="s">
        <v>502</v>
      </c>
      <c r="GA28" s="108" t="s">
        <v>503</v>
      </c>
      <c r="GB28" s="108" t="s">
        <v>503</v>
      </c>
      <c r="GC28" s="108" t="s">
        <v>503</v>
      </c>
      <c r="GD28" s="108" t="s">
        <v>503</v>
      </c>
      <c r="GE28" s="108" t="s">
        <v>503</v>
      </c>
      <c r="GF28" s="108" t="s">
        <v>503</v>
      </c>
      <c r="GG28" s="108" t="s">
        <v>503</v>
      </c>
      <c r="GH28" s="108" t="s">
        <v>503</v>
      </c>
      <c r="GI28" s="108" t="s">
        <v>503</v>
      </c>
      <c r="GJ28" s="108" t="s">
        <v>503</v>
      </c>
      <c r="GK28" s="108" t="s">
        <v>503</v>
      </c>
      <c r="GL28" s="108" t="s">
        <v>503</v>
      </c>
      <c r="GM28" s="108" t="s">
        <v>503</v>
      </c>
      <c r="GN28" s="108" t="s">
        <v>503</v>
      </c>
      <c r="GO28" s="108" t="s">
        <v>503</v>
      </c>
      <c r="GP28" s="108" t="s">
        <v>502</v>
      </c>
      <c r="GQ28" s="108" t="s">
        <v>502</v>
      </c>
      <c r="GR28" s="108" t="s">
        <v>502</v>
      </c>
      <c r="GS28" s="108" t="s">
        <v>664</v>
      </c>
      <c r="GT28" s="108" t="s">
        <v>664</v>
      </c>
      <c r="GU28" s="108" t="s">
        <v>664</v>
      </c>
      <c r="GV28" s="108" t="s">
        <v>664</v>
      </c>
      <c r="GW28" s="108" t="s">
        <v>664</v>
      </c>
      <c r="GX28" s="108" t="s">
        <v>664</v>
      </c>
      <c r="GY28" s="108" t="s">
        <v>664</v>
      </c>
      <c r="GZ28" s="108" t="s">
        <v>664</v>
      </c>
      <c r="HA28" s="108" t="s">
        <v>664</v>
      </c>
      <c r="HB28" s="108" t="s">
        <v>664</v>
      </c>
      <c r="HC28" s="108" t="s">
        <v>664</v>
      </c>
      <c r="HD28" s="108" t="s">
        <v>664</v>
      </c>
      <c r="HE28" s="108" t="s">
        <v>664</v>
      </c>
      <c r="HF28" s="108" t="s">
        <v>664</v>
      </c>
      <c r="HG28" s="108" t="s">
        <v>664</v>
      </c>
      <c r="HH28" s="108" t="s">
        <v>664</v>
      </c>
      <c r="HI28" s="108" t="s">
        <v>664</v>
      </c>
      <c r="HJ28" s="108" t="s">
        <v>664</v>
      </c>
      <c r="HK28" s="108" t="s">
        <v>664</v>
      </c>
      <c r="HL28" s="108" t="s">
        <v>664</v>
      </c>
      <c r="HM28" s="108" t="s">
        <v>664</v>
      </c>
      <c r="HN28" s="108" t="s">
        <v>664</v>
      </c>
      <c r="HO28" s="108" t="s">
        <v>664</v>
      </c>
      <c r="HP28" s="108" t="s">
        <v>664</v>
      </c>
      <c r="HQ28" s="108" t="s">
        <v>664</v>
      </c>
      <c r="HR28" s="108" t="s">
        <v>664</v>
      </c>
      <c r="HS28" s="108" t="s">
        <v>664</v>
      </c>
      <c r="HT28" s="108" t="s">
        <v>664</v>
      </c>
      <c r="HU28" s="108" t="s">
        <v>664</v>
      </c>
      <c r="HV28" s="108" t="s">
        <v>664</v>
      </c>
      <c r="HW28" s="108" t="s">
        <v>664</v>
      </c>
      <c r="HX28" s="108" t="s">
        <v>664</v>
      </c>
      <c r="HY28" s="108" t="s">
        <v>664</v>
      </c>
      <c r="HZ28" s="108" t="s">
        <v>664</v>
      </c>
      <c r="IA28" s="108" t="s">
        <v>664</v>
      </c>
      <c r="IB28" s="108" t="s">
        <v>664</v>
      </c>
      <c r="IC28" s="108" t="s">
        <v>664</v>
      </c>
      <c r="ID28" s="108" t="s">
        <v>664</v>
      </c>
      <c r="IE28" s="108" t="s">
        <v>664</v>
      </c>
      <c r="IF28" s="108" t="s">
        <v>664</v>
      </c>
      <c r="IG28" s="108" t="s">
        <v>664</v>
      </c>
      <c r="IH28" s="108" t="s">
        <v>664</v>
      </c>
      <c r="II28" s="108" t="s">
        <v>664</v>
      </c>
      <c r="IJ28" s="108" t="s">
        <v>664</v>
      </c>
      <c r="IK28" s="108" t="s">
        <v>664</v>
      </c>
      <c r="IL28" s="108" t="s">
        <v>664</v>
      </c>
      <c r="IM28" s="108" t="s">
        <v>664</v>
      </c>
      <c r="IN28" s="108" t="s">
        <v>664</v>
      </c>
      <c r="IO28" s="120" t="s">
        <v>503</v>
      </c>
      <c r="IP28" s="120" t="s">
        <v>503</v>
      </c>
      <c r="IQ28" s="120" t="s">
        <v>503</v>
      </c>
      <c r="IR28" s="120" t="s">
        <v>664</v>
      </c>
      <c r="IS28" s="120" t="s">
        <v>664</v>
      </c>
      <c r="IT28" s="120" t="s">
        <v>664</v>
      </c>
      <c r="IU28" s="120" t="s">
        <v>503</v>
      </c>
      <c r="IV28" s="120" t="s">
        <v>503</v>
      </c>
      <c r="IW28" s="120" t="s">
        <v>503</v>
      </c>
      <c r="IX28" s="120" t="s">
        <v>503</v>
      </c>
      <c r="IY28" s="120" t="s">
        <v>503</v>
      </c>
      <c r="IZ28" s="120" t="s">
        <v>503</v>
      </c>
      <c r="JA28" s="120" t="s">
        <v>503</v>
      </c>
      <c r="JB28" s="120" t="s">
        <v>503</v>
      </c>
      <c r="JC28" s="120" t="s">
        <v>503</v>
      </c>
      <c r="JD28" s="108" t="s">
        <v>502</v>
      </c>
      <c r="JE28" s="108" t="s">
        <v>502</v>
      </c>
      <c r="JF28" s="108" t="s">
        <v>502</v>
      </c>
      <c r="JG28" s="120" t="s">
        <v>664</v>
      </c>
      <c r="JH28" s="120" t="s">
        <v>664</v>
      </c>
      <c r="JI28" s="120" t="s">
        <v>664</v>
      </c>
      <c r="JJ28" s="120" t="s">
        <v>664</v>
      </c>
      <c r="JK28" s="120" t="s">
        <v>664</v>
      </c>
      <c r="JL28" s="120" t="s">
        <v>664</v>
      </c>
      <c r="JM28" s="120" t="s">
        <v>664</v>
      </c>
      <c r="JN28" s="120" t="s">
        <v>664</v>
      </c>
      <c r="JO28" s="120" t="s">
        <v>664</v>
      </c>
      <c r="JP28" s="110">
        <v>6750</v>
      </c>
      <c r="JQ28" s="111">
        <v>8064.7207200000003</v>
      </c>
      <c r="JR28" s="112">
        <f t="shared" si="0"/>
        <v>3</v>
      </c>
      <c r="JS28" s="113">
        <f t="shared" si="1"/>
        <v>7401.8</v>
      </c>
      <c r="JT28" s="114">
        <f t="shared" si="2"/>
        <v>7450</v>
      </c>
      <c r="JU28" s="84"/>
    </row>
    <row r="29" spans="1:281" ht="101.25" customHeight="1" x14ac:dyDescent="0.2">
      <c r="A29" s="98">
        <v>117</v>
      </c>
      <c r="B29" s="99">
        <v>117</v>
      </c>
      <c r="C29" s="39" t="s">
        <v>674</v>
      </c>
      <c r="D29" s="100" t="s">
        <v>678</v>
      </c>
      <c r="E29" s="39">
        <v>31162800</v>
      </c>
      <c r="F29" s="101" t="s">
        <v>228</v>
      </c>
      <c r="G29" s="102" t="s">
        <v>86</v>
      </c>
      <c r="H29" s="103" t="s">
        <v>501</v>
      </c>
      <c r="I29" s="108" t="s">
        <v>503</v>
      </c>
      <c r="J29" s="108" t="s">
        <v>503</v>
      </c>
      <c r="K29" s="108" t="s">
        <v>503</v>
      </c>
      <c r="L29" s="108" t="s">
        <v>503</v>
      </c>
      <c r="M29" s="108" t="s">
        <v>503</v>
      </c>
      <c r="N29" s="108" t="s">
        <v>503</v>
      </c>
      <c r="O29" s="108" t="s">
        <v>503</v>
      </c>
      <c r="P29" s="108" t="s">
        <v>503</v>
      </c>
      <c r="Q29" s="108" t="s">
        <v>503</v>
      </c>
      <c r="R29" s="108" t="s">
        <v>503</v>
      </c>
      <c r="S29" s="108" t="s">
        <v>503</v>
      </c>
      <c r="T29" s="108" t="s">
        <v>503</v>
      </c>
      <c r="U29" s="108" t="s">
        <v>503</v>
      </c>
      <c r="V29" s="108" t="s">
        <v>503</v>
      </c>
      <c r="W29" s="108" t="s">
        <v>503</v>
      </c>
      <c r="X29" s="108" t="s">
        <v>503</v>
      </c>
      <c r="Y29" s="108" t="s">
        <v>503</v>
      </c>
      <c r="Z29" s="108" t="s">
        <v>503</v>
      </c>
      <c r="AA29" s="108" t="s">
        <v>503</v>
      </c>
      <c r="AB29" s="108" t="s">
        <v>503</v>
      </c>
      <c r="AC29" s="108" t="s">
        <v>503</v>
      </c>
      <c r="AD29" s="108" t="s">
        <v>503</v>
      </c>
      <c r="AE29" s="108" t="s">
        <v>503</v>
      </c>
      <c r="AF29" s="108" t="s">
        <v>503</v>
      </c>
      <c r="AG29" s="108" t="s">
        <v>503</v>
      </c>
      <c r="AH29" s="108" t="s">
        <v>503</v>
      </c>
      <c r="AI29" s="108" t="s">
        <v>503</v>
      </c>
      <c r="AJ29" s="108" t="s">
        <v>503</v>
      </c>
      <c r="AK29" s="108" t="s">
        <v>503</v>
      </c>
      <c r="AL29" s="108" t="s">
        <v>503</v>
      </c>
      <c r="AM29" s="108" t="s">
        <v>503</v>
      </c>
      <c r="AN29" s="108" t="s">
        <v>503</v>
      </c>
      <c r="AO29" s="108" t="s">
        <v>503</v>
      </c>
      <c r="AP29" s="108" t="s">
        <v>503</v>
      </c>
      <c r="AQ29" s="108" t="s">
        <v>503</v>
      </c>
      <c r="AR29" s="108" t="s">
        <v>503</v>
      </c>
      <c r="AS29" s="108" t="s">
        <v>503</v>
      </c>
      <c r="AT29" s="108" t="s">
        <v>503</v>
      </c>
      <c r="AU29" s="108" t="s">
        <v>503</v>
      </c>
      <c r="AV29" s="108" t="s">
        <v>503</v>
      </c>
      <c r="AW29" s="108" t="s">
        <v>503</v>
      </c>
      <c r="AX29" s="108" t="s">
        <v>503</v>
      </c>
      <c r="AY29" s="108" t="s">
        <v>503</v>
      </c>
      <c r="AZ29" s="108" t="s">
        <v>503</v>
      </c>
      <c r="BA29" s="108" t="s">
        <v>503</v>
      </c>
      <c r="BB29" s="108" t="s">
        <v>503</v>
      </c>
      <c r="BC29" s="108" t="s">
        <v>503</v>
      </c>
      <c r="BD29" s="108" t="s">
        <v>503</v>
      </c>
      <c r="BE29" s="108" t="s">
        <v>503</v>
      </c>
      <c r="BF29" s="108" t="s">
        <v>503</v>
      </c>
      <c r="BG29" s="108" t="s">
        <v>503</v>
      </c>
      <c r="BH29" s="108" t="s">
        <v>503</v>
      </c>
      <c r="BI29" s="108" t="s">
        <v>503</v>
      </c>
      <c r="BJ29" s="108" t="s">
        <v>503</v>
      </c>
      <c r="BK29" s="108" t="s">
        <v>503</v>
      </c>
      <c r="BL29" s="108" t="s">
        <v>503</v>
      </c>
      <c r="BM29" s="108" t="s">
        <v>503</v>
      </c>
      <c r="BN29" s="108" t="s">
        <v>503</v>
      </c>
      <c r="BO29" s="108" t="s">
        <v>503</v>
      </c>
      <c r="BP29" s="108" t="s">
        <v>503</v>
      </c>
      <c r="BQ29" s="108" t="s">
        <v>503</v>
      </c>
      <c r="BR29" s="108" t="s">
        <v>503</v>
      </c>
      <c r="BS29" s="108" t="s">
        <v>503</v>
      </c>
      <c r="BT29" s="118">
        <v>20868</v>
      </c>
      <c r="BU29" s="119">
        <f>+BT29*19%</f>
        <v>3964.92</v>
      </c>
      <c r="BV29" s="71">
        <f>+BT29+BU29</f>
        <v>24832.92</v>
      </c>
      <c r="BW29" s="108" t="s">
        <v>503</v>
      </c>
      <c r="BX29" s="108" t="s">
        <v>503</v>
      </c>
      <c r="BY29" s="108" t="s">
        <v>503</v>
      </c>
      <c r="BZ29" s="108" t="s">
        <v>503</v>
      </c>
      <c r="CA29" s="108" t="s">
        <v>503</v>
      </c>
      <c r="CB29" s="108" t="s">
        <v>503</v>
      </c>
      <c r="CC29" s="108" t="s">
        <v>503</v>
      </c>
      <c r="CD29" s="108" t="s">
        <v>503</v>
      </c>
      <c r="CE29" s="108" t="s">
        <v>503</v>
      </c>
      <c r="CF29" s="108" t="s">
        <v>503</v>
      </c>
      <c r="CG29" s="108" t="s">
        <v>503</v>
      </c>
      <c r="CH29" s="108" t="s">
        <v>503</v>
      </c>
      <c r="CI29" s="160" t="s">
        <v>502</v>
      </c>
      <c r="CJ29" s="160" t="s">
        <v>502</v>
      </c>
      <c r="CK29" s="160" t="s">
        <v>502</v>
      </c>
      <c r="CL29" s="56">
        <v>16000</v>
      </c>
      <c r="CM29" s="119">
        <f t="shared" si="16"/>
        <v>3040</v>
      </c>
      <c r="CN29" s="118">
        <f t="shared" si="17"/>
        <v>19040</v>
      </c>
      <c r="CO29" s="160" t="s">
        <v>502</v>
      </c>
      <c r="CP29" s="160" t="s">
        <v>502</v>
      </c>
      <c r="CQ29" s="160" t="s">
        <v>502</v>
      </c>
      <c r="CR29" s="108" t="s">
        <v>503</v>
      </c>
      <c r="CS29" s="108" t="s">
        <v>503</v>
      </c>
      <c r="CT29" s="108" t="s">
        <v>503</v>
      </c>
      <c r="CU29" s="108" t="s">
        <v>503</v>
      </c>
      <c r="CV29" s="108" t="s">
        <v>503</v>
      </c>
      <c r="CW29" s="108" t="s">
        <v>503</v>
      </c>
      <c r="CX29" s="108" t="s">
        <v>503</v>
      </c>
      <c r="CY29" s="108" t="s">
        <v>503</v>
      </c>
      <c r="CZ29" s="108" t="s">
        <v>503</v>
      </c>
      <c r="DA29" s="108" t="s">
        <v>503</v>
      </c>
      <c r="DB29" s="108" t="s">
        <v>503</v>
      </c>
      <c r="DC29" s="108" t="s">
        <v>503</v>
      </c>
      <c r="DD29" s="108" t="s">
        <v>503</v>
      </c>
      <c r="DE29" s="108" t="s">
        <v>503</v>
      </c>
      <c r="DF29" s="108" t="s">
        <v>503</v>
      </c>
      <c r="DG29" s="108" t="s">
        <v>503</v>
      </c>
      <c r="DH29" s="108" t="s">
        <v>503</v>
      </c>
      <c r="DI29" s="108" t="s">
        <v>503</v>
      </c>
      <c r="DJ29" s="108" t="s">
        <v>503</v>
      </c>
      <c r="DK29" s="108" t="s">
        <v>503</v>
      </c>
      <c r="DL29" s="108" t="s">
        <v>503</v>
      </c>
      <c r="DM29" s="118" t="s">
        <v>502</v>
      </c>
      <c r="DN29" s="118" t="s">
        <v>502</v>
      </c>
      <c r="DO29" s="118" t="s">
        <v>502</v>
      </c>
      <c r="DP29" s="108" t="s">
        <v>669</v>
      </c>
      <c r="DQ29" s="108" t="s">
        <v>669</v>
      </c>
      <c r="DR29" s="108" t="s">
        <v>669</v>
      </c>
      <c r="DS29" s="108" t="s">
        <v>669</v>
      </c>
      <c r="DT29" s="108" t="s">
        <v>669</v>
      </c>
      <c r="DU29" s="108" t="s">
        <v>669</v>
      </c>
      <c r="DV29" s="108" t="s">
        <v>669</v>
      </c>
      <c r="DW29" s="108" t="s">
        <v>669</v>
      </c>
      <c r="DX29" s="108" t="s">
        <v>669</v>
      </c>
      <c r="DY29" s="108" t="s">
        <v>503</v>
      </c>
      <c r="DZ29" s="108" t="s">
        <v>503</v>
      </c>
      <c r="EA29" s="108" t="s">
        <v>503</v>
      </c>
      <c r="EB29" s="108" t="s">
        <v>503</v>
      </c>
      <c r="EC29" s="108" t="s">
        <v>503</v>
      </c>
      <c r="ED29" s="108" t="s">
        <v>503</v>
      </c>
      <c r="EE29" s="108" t="s">
        <v>503</v>
      </c>
      <c r="EF29" s="108" t="s">
        <v>503</v>
      </c>
      <c r="EG29" s="108" t="s">
        <v>503</v>
      </c>
      <c r="EH29" s="108" t="s">
        <v>503</v>
      </c>
      <c r="EI29" s="108" t="s">
        <v>503</v>
      </c>
      <c r="EJ29" s="108" t="s">
        <v>503</v>
      </c>
      <c r="EK29" s="108" t="s">
        <v>503</v>
      </c>
      <c r="EL29" s="108" t="s">
        <v>503</v>
      </c>
      <c r="EM29" s="108" t="s">
        <v>503</v>
      </c>
      <c r="EN29" s="108" t="s">
        <v>503</v>
      </c>
      <c r="EO29" s="108" t="s">
        <v>503</v>
      </c>
      <c r="EP29" s="108" t="s">
        <v>503</v>
      </c>
      <c r="EQ29" s="108" t="s">
        <v>503</v>
      </c>
      <c r="ER29" s="108" t="s">
        <v>503</v>
      </c>
      <c r="ES29" s="108" t="s">
        <v>503</v>
      </c>
      <c r="ET29" s="108" t="s">
        <v>503</v>
      </c>
      <c r="EU29" s="108" t="s">
        <v>503</v>
      </c>
      <c r="EV29" s="108" t="s">
        <v>503</v>
      </c>
      <c r="EW29" s="108"/>
      <c r="EX29" s="108"/>
      <c r="EY29" s="108"/>
      <c r="EZ29" s="108" t="s">
        <v>503</v>
      </c>
      <c r="FA29" s="108" t="s">
        <v>503</v>
      </c>
      <c r="FB29" s="108" t="s">
        <v>503</v>
      </c>
      <c r="FC29" s="108" t="s">
        <v>503</v>
      </c>
      <c r="FD29" s="108" t="s">
        <v>503</v>
      </c>
      <c r="FE29" s="108" t="s">
        <v>503</v>
      </c>
      <c r="FF29" s="108" t="s">
        <v>503</v>
      </c>
      <c r="FG29" s="108" t="s">
        <v>503</v>
      </c>
      <c r="FH29" s="108" t="s">
        <v>503</v>
      </c>
      <c r="FI29" s="108" t="s">
        <v>503</v>
      </c>
      <c r="FJ29" s="108" t="s">
        <v>503</v>
      </c>
      <c r="FK29" s="108" t="s">
        <v>503</v>
      </c>
      <c r="FL29" s="108" t="s">
        <v>503</v>
      </c>
      <c r="FM29" s="108" t="s">
        <v>503</v>
      </c>
      <c r="FN29" s="108" t="s">
        <v>503</v>
      </c>
      <c r="FO29" s="108" t="s">
        <v>503</v>
      </c>
      <c r="FP29" s="108" t="s">
        <v>503</v>
      </c>
      <c r="FQ29" s="108" t="s">
        <v>503</v>
      </c>
      <c r="FR29" s="108" t="s">
        <v>503</v>
      </c>
      <c r="FS29" s="108" t="s">
        <v>503</v>
      </c>
      <c r="FT29" s="108" t="s">
        <v>503</v>
      </c>
      <c r="FU29" s="108" t="s">
        <v>503</v>
      </c>
      <c r="FV29" s="108" t="s">
        <v>503</v>
      </c>
      <c r="FW29" s="108" t="s">
        <v>503</v>
      </c>
      <c r="FX29" s="108" t="s">
        <v>502</v>
      </c>
      <c r="FY29" s="108" t="s">
        <v>502</v>
      </c>
      <c r="FZ29" s="108" t="s">
        <v>502</v>
      </c>
      <c r="GA29" s="108" t="s">
        <v>503</v>
      </c>
      <c r="GB29" s="108" t="s">
        <v>503</v>
      </c>
      <c r="GC29" s="108" t="s">
        <v>503</v>
      </c>
      <c r="GD29" s="108" t="s">
        <v>503</v>
      </c>
      <c r="GE29" s="108" t="s">
        <v>503</v>
      </c>
      <c r="GF29" s="108" t="s">
        <v>503</v>
      </c>
      <c r="GG29" s="108" t="s">
        <v>503</v>
      </c>
      <c r="GH29" s="108" t="s">
        <v>503</v>
      </c>
      <c r="GI29" s="108" t="s">
        <v>503</v>
      </c>
      <c r="GJ29" s="108" t="s">
        <v>503</v>
      </c>
      <c r="GK29" s="108" t="s">
        <v>503</v>
      </c>
      <c r="GL29" s="108" t="s">
        <v>503</v>
      </c>
      <c r="GM29" s="108" t="s">
        <v>503</v>
      </c>
      <c r="GN29" s="108" t="s">
        <v>503</v>
      </c>
      <c r="GO29" s="108" t="s">
        <v>503</v>
      </c>
      <c r="GP29" s="108" t="s">
        <v>502</v>
      </c>
      <c r="GQ29" s="108" t="s">
        <v>502</v>
      </c>
      <c r="GR29" s="108" t="s">
        <v>502</v>
      </c>
      <c r="GS29" s="108" t="s">
        <v>664</v>
      </c>
      <c r="GT29" s="108" t="s">
        <v>664</v>
      </c>
      <c r="GU29" s="108" t="s">
        <v>664</v>
      </c>
      <c r="GV29" s="108" t="s">
        <v>664</v>
      </c>
      <c r="GW29" s="108" t="s">
        <v>664</v>
      </c>
      <c r="GX29" s="108" t="s">
        <v>664</v>
      </c>
      <c r="GY29" s="108" t="s">
        <v>664</v>
      </c>
      <c r="GZ29" s="108" t="s">
        <v>664</v>
      </c>
      <c r="HA29" s="108" t="s">
        <v>664</v>
      </c>
      <c r="HB29" s="108" t="s">
        <v>664</v>
      </c>
      <c r="HC29" s="108" t="s">
        <v>664</v>
      </c>
      <c r="HD29" s="108" t="s">
        <v>664</v>
      </c>
      <c r="HE29" s="108" t="s">
        <v>664</v>
      </c>
      <c r="HF29" s="108" t="s">
        <v>664</v>
      </c>
      <c r="HG29" s="108" t="s">
        <v>664</v>
      </c>
      <c r="HH29" s="108" t="s">
        <v>664</v>
      </c>
      <c r="HI29" s="108" t="s">
        <v>664</v>
      </c>
      <c r="HJ29" s="108" t="s">
        <v>664</v>
      </c>
      <c r="HK29" s="108" t="s">
        <v>664</v>
      </c>
      <c r="HL29" s="108" t="s">
        <v>664</v>
      </c>
      <c r="HM29" s="108" t="s">
        <v>664</v>
      </c>
      <c r="HN29" s="108" t="s">
        <v>664</v>
      </c>
      <c r="HO29" s="108" t="s">
        <v>664</v>
      </c>
      <c r="HP29" s="108" t="s">
        <v>664</v>
      </c>
      <c r="HQ29" s="108" t="s">
        <v>664</v>
      </c>
      <c r="HR29" s="108" t="s">
        <v>664</v>
      </c>
      <c r="HS29" s="108" t="s">
        <v>664</v>
      </c>
      <c r="HT29" s="108" t="s">
        <v>664</v>
      </c>
      <c r="HU29" s="108" t="s">
        <v>664</v>
      </c>
      <c r="HV29" s="108" t="s">
        <v>664</v>
      </c>
      <c r="HW29" s="108" t="s">
        <v>664</v>
      </c>
      <c r="HX29" s="108" t="s">
        <v>664</v>
      </c>
      <c r="HY29" s="108" t="s">
        <v>664</v>
      </c>
      <c r="HZ29" s="108" t="s">
        <v>664</v>
      </c>
      <c r="IA29" s="108" t="s">
        <v>664</v>
      </c>
      <c r="IB29" s="108" t="s">
        <v>664</v>
      </c>
      <c r="IC29" s="108" t="s">
        <v>664</v>
      </c>
      <c r="ID29" s="108" t="s">
        <v>664</v>
      </c>
      <c r="IE29" s="108" t="s">
        <v>664</v>
      </c>
      <c r="IF29" s="108" t="s">
        <v>664</v>
      </c>
      <c r="IG29" s="108" t="s">
        <v>664</v>
      </c>
      <c r="IH29" s="108" t="s">
        <v>664</v>
      </c>
      <c r="II29" s="108" t="s">
        <v>664</v>
      </c>
      <c r="IJ29" s="108" t="s">
        <v>664</v>
      </c>
      <c r="IK29" s="108" t="s">
        <v>664</v>
      </c>
      <c r="IL29" s="108" t="s">
        <v>664</v>
      </c>
      <c r="IM29" s="108" t="s">
        <v>664</v>
      </c>
      <c r="IN29" s="108" t="s">
        <v>664</v>
      </c>
      <c r="IO29" s="120" t="s">
        <v>503</v>
      </c>
      <c r="IP29" s="120" t="s">
        <v>503</v>
      </c>
      <c r="IQ29" s="120" t="s">
        <v>503</v>
      </c>
      <c r="IR29" s="120" t="s">
        <v>664</v>
      </c>
      <c r="IS29" s="120" t="s">
        <v>664</v>
      </c>
      <c r="IT29" s="120" t="s">
        <v>664</v>
      </c>
      <c r="IU29" s="120" t="s">
        <v>503</v>
      </c>
      <c r="IV29" s="120" t="s">
        <v>503</v>
      </c>
      <c r="IW29" s="120" t="s">
        <v>503</v>
      </c>
      <c r="IX29" s="120" t="s">
        <v>503</v>
      </c>
      <c r="IY29" s="120" t="s">
        <v>503</v>
      </c>
      <c r="IZ29" s="120" t="s">
        <v>503</v>
      </c>
      <c r="JA29" s="120" t="s">
        <v>503</v>
      </c>
      <c r="JB29" s="120" t="s">
        <v>503</v>
      </c>
      <c r="JC29" s="120" t="s">
        <v>503</v>
      </c>
      <c r="JD29" s="47">
        <f>14650/1.19</f>
        <v>12310.9243697479</v>
      </c>
      <c r="JE29" s="47">
        <f>+JD29*19%</f>
        <v>2339.0756302521008</v>
      </c>
      <c r="JF29" s="47">
        <f>+JD29+JE29</f>
        <v>14650</v>
      </c>
      <c r="JG29" s="120" t="s">
        <v>664</v>
      </c>
      <c r="JH29" s="120" t="s">
        <v>664</v>
      </c>
      <c r="JI29" s="120" t="s">
        <v>664</v>
      </c>
      <c r="JJ29" s="120" t="s">
        <v>664</v>
      </c>
      <c r="JK29" s="120" t="s">
        <v>664</v>
      </c>
      <c r="JL29" s="120" t="s">
        <v>664</v>
      </c>
      <c r="JM29" s="120" t="s">
        <v>664</v>
      </c>
      <c r="JN29" s="120" t="s">
        <v>664</v>
      </c>
      <c r="JO29" s="120" t="s">
        <v>664</v>
      </c>
      <c r="JP29" s="110">
        <v>15500</v>
      </c>
      <c r="JQ29" s="111">
        <v>18518.98832</v>
      </c>
      <c r="JR29" s="112">
        <f t="shared" si="0"/>
        <v>3</v>
      </c>
      <c r="JS29" s="113">
        <f t="shared" si="1"/>
        <v>19507.64</v>
      </c>
      <c r="JT29" s="114">
        <f t="shared" si="2"/>
        <v>19550</v>
      </c>
      <c r="JU29" s="84"/>
    </row>
    <row r="30" spans="1:281" ht="101.25" customHeight="1" x14ac:dyDescent="0.2">
      <c r="A30" s="98">
        <v>119</v>
      </c>
      <c r="B30" s="99">
        <v>119</v>
      </c>
      <c r="C30" s="39" t="s">
        <v>674</v>
      </c>
      <c r="D30" s="100" t="s">
        <v>252</v>
      </c>
      <c r="E30" s="39">
        <v>31162800</v>
      </c>
      <c r="F30" s="129" t="s">
        <v>253</v>
      </c>
      <c r="G30" s="102" t="s">
        <v>86</v>
      </c>
      <c r="H30" s="103" t="s">
        <v>501</v>
      </c>
      <c r="I30" s="108" t="s">
        <v>503</v>
      </c>
      <c r="J30" s="108" t="s">
        <v>503</v>
      </c>
      <c r="K30" s="108" t="s">
        <v>503</v>
      </c>
      <c r="L30" s="108" t="s">
        <v>503</v>
      </c>
      <c r="M30" s="108" t="s">
        <v>503</v>
      </c>
      <c r="N30" s="108" t="s">
        <v>503</v>
      </c>
      <c r="O30" s="108" t="s">
        <v>503</v>
      </c>
      <c r="P30" s="108" t="s">
        <v>503</v>
      </c>
      <c r="Q30" s="108" t="s">
        <v>503</v>
      </c>
      <c r="R30" s="108" t="s">
        <v>503</v>
      </c>
      <c r="S30" s="108" t="s">
        <v>503</v>
      </c>
      <c r="T30" s="108" t="s">
        <v>503</v>
      </c>
      <c r="U30" s="108" t="s">
        <v>503</v>
      </c>
      <c r="V30" s="108" t="s">
        <v>503</v>
      </c>
      <c r="W30" s="108" t="s">
        <v>503</v>
      </c>
      <c r="X30" s="108" t="s">
        <v>503</v>
      </c>
      <c r="Y30" s="108" t="s">
        <v>503</v>
      </c>
      <c r="Z30" s="108" t="s">
        <v>503</v>
      </c>
      <c r="AA30" s="108" t="s">
        <v>503</v>
      </c>
      <c r="AB30" s="108" t="s">
        <v>503</v>
      </c>
      <c r="AC30" s="108" t="s">
        <v>503</v>
      </c>
      <c r="AD30" s="108" t="s">
        <v>503</v>
      </c>
      <c r="AE30" s="108" t="s">
        <v>503</v>
      </c>
      <c r="AF30" s="108" t="s">
        <v>503</v>
      </c>
      <c r="AG30" s="108" t="s">
        <v>503</v>
      </c>
      <c r="AH30" s="108" t="s">
        <v>503</v>
      </c>
      <c r="AI30" s="108" t="s">
        <v>503</v>
      </c>
      <c r="AJ30" s="108" t="s">
        <v>503</v>
      </c>
      <c r="AK30" s="108" t="s">
        <v>503</v>
      </c>
      <c r="AL30" s="108" t="s">
        <v>503</v>
      </c>
      <c r="AM30" s="108" t="s">
        <v>503</v>
      </c>
      <c r="AN30" s="108" t="s">
        <v>503</v>
      </c>
      <c r="AO30" s="108" t="s">
        <v>503</v>
      </c>
      <c r="AP30" s="108" t="s">
        <v>503</v>
      </c>
      <c r="AQ30" s="108" t="s">
        <v>503</v>
      </c>
      <c r="AR30" s="108" t="s">
        <v>503</v>
      </c>
      <c r="AS30" s="108" t="s">
        <v>503</v>
      </c>
      <c r="AT30" s="108" t="s">
        <v>503</v>
      </c>
      <c r="AU30" s="108" t="s">
        <v>503</v>
      </c>
      <c r="AV30" s="108" t="s">
        <v>503</v>
      </c>
      <c r="AW30" s="108" t="s">
        <v>503</v>
      </c>
      <c r="AX30" s="108" t="s">
        <v>503</v>
      </c>
      <c r="AY30" s="108" t="s">
        <v>503</v>
      </c>
      <c r="AZ30" s="108" t="s">
        <v>503</v>
      </c>
      <c r="BA30" s="108" t="s">
        <v>503</v>
      </c>
      <c r="BB30" s="108" t="s">
        <v>503</v>
      </c>
      <c r="BC30" s="108" t="s">
        <v>503</v>
      </c>
      <c r="BD30" s="108" t="s">
        <v>503</v>
      </c>
      <c r="BE30" s="108" t="s">
        <v>503</v>
      </c>
      <c r="BF30" s="108" t="s">
        <v>503</v>
      </c>
      <c r="BG30" s="108" t="s">
        <v>503</v>
      </c>
      <c r="BH30" s="108" t="s">
        <v>503</v>
      </c>
      <c r="BI30" s="108" t="s">
        <v>503</v>
      </c>
      <c r="BJ30" s="108" t="s">
        <v>503</v>
      </c>
      <c r="BK30" s="108" t="s">
        <v>503</v>
      </c>
      <c r="BL30" s="108" t="s">
        <v>503</v>
      </c>
      <c r="BM30" s="108" t="s">
        <v>503</v>
      </c>
      <c r="BN30" s="108" t="s">
        <v>503</v>
      </c>
      <c r="BO30" s="108" t="s">
        <v>503</v>
      </c>
      <c r="BP30" s="108" t="s">
        <v>503</v>
      </c>
      <c r="BQ30" s="108" t="s">
        <v>503</v>
      </c>
      <c r="BR30" s="108" t="s">
        <v>503</v>
      </c>
      <c r="BS30" s="108" t="s">
        <v>503</v>
      </c>
      <c r="BT30" s="108" t="s">
        <v>503</v>
      </c>
      <c r="BU30" s="108" t="s">
        <v>503</v>
      </c>
      <c r="BV30" s="108" t="s">
        <v>503</v>
      </c>
      <c r="BW30" s="108" t="s">
        <v>503</v>
      </c>
      <c r="BX30" s="108" t="s">
        <v>503</v>
      </c>
      <c r="BY30" s="108" t="s">
        <v>503</v>
      </c>
      <c r="BZ30" s="108" t="s">
        <v>503</v>
      </c>
      <c r="CA30" s="108" t="s">
        <v>503</v>
      </c>
      <c r="CB30" s="108" t="s">
        <v>503</v>
      </c>
      <c r="CC30" s="108" t="s">
        <v>503</v>
      </c>
      <c r="CD30" s="108" t="s">
        <v>503</v>
      </c>
      <c r="CE30" s="108" t="s">
        <v>503</v>
      </c>
      <c r="CF30" s="108" t="s">
        <v>503</v>
      </c>
      <c r="CG30" s="108" t="s">
        <v>503</v>
      </c>
      <c r="CH30" s="108" t="s">
        <v>503</v>
      </c>
      <c r="CI30" s="56">
        <v>47501.428571428572</v>
      </c>
      <c r="CJ30" s="119">
        <f t="shared" si="15"/>
        <v>9025.2714285714283</v>
      </c>
      <c r="CK30" s="118">
        <f t="shared" ref="CK30" si="18">+CI30+CJ30</f>
        <v>56526.7</v>
      </c>
      <c r="CL30" s="56">
        <v>52000</v>
      </c>
      <c r="CM30" s="119">
        <f t="shared" si="16"/>
        <v>9880</v>
      </c>
      <c r="CN30" s="118">
        <f t="shared" si="17"/>
        <v>61880</v>
      </c>
      <c r="CO30" s="56">
        <v>52626</v>
      </c>
      <c r="CP30" s="119">
        <f t="shared" ref="CP30:CP33" si="19">+CO30*19%</f>
        <v>9998.94</v>
      </c>
      <c r="CQ30" s="118">
        <f t="shared" ref="CQ30:CQ36" si="20">+CO30+CP30</f>
        <v>62624.94</v>
      </c>
      <c r="CR30" s="108" t="s">
        <v>503</v>
      </c>
      <c r="CS30" s="108" t="s">
        <v>503</v>
      </c>
      <c r="CT30" s="108" t="s">
        <v>503</v>
      </c>
      <c r="CU30" s="108" t="s">
        <v>503</v>
      </c>
      <c r="CV30" s="108" t="s">
        <v>503</v>
      </c>
      <c r="CW30" s="108" t="s">
        <v>503</v>
      </c>
      <c r="CX30" s="108" t="s">
        <v>503</v>
      </c>
      <c r="CY30" s="108" t="s">
        <v>503</v>
      </c>
      <c r="CZ30" s="108" t="s">
        <v>503</v>
      </c>
      <c r="DA30" s="108" t="s">
        <v>503</v>
      </c>
      <c r="DB30" s="108" t="s">
        <v>503</v>
      </c>
      <c r="DC30" s="108" t="s">
        <v>503</v>
      </c>
      <c r="DD30" s="108" t="s">
        <v>503</v>
      </c>
      <c r="DE30" s="108" t="s">
        <v>503</v>
      </c>
      <c r="DF30" s="108" t="s">
        <v>503</v>
      </c>
      <c r="DG30" s="108" t="s">
        <v>503</v>
      </c>
      <c r="DH30" s="108" t="s">
        <v>503</v>
      </c>
      <c r="DI30" s="108" t="s">
        <v>503</v>
      </c>
      <c r="DJ30" s="108" t="s">
        <v>503</v>
      </c>
      <c r="DK30" s="108" t="s">
        <v>503</v>
      </c>
      <c r="DL30" s="108" t="s">
        <v>503</v>
      </c>
      <c r="DM30" s="118" t="s">
        <v>502</v>
      </c>
      <c r="DN30" s="118" t="s">
        <v>502</v>
      </c>
      <c r="DO30" s="118" t="s">
        <v>502</v>
      </c>
      <c r="DP30" s="108" t="s">
        <v>669</v>
      </c>
      <c r="DQ30" s="108" t="s">
        <v>669</v>
      </c>
      <c r="DR30" s="108" t="s">
        <v>669</v>
      </c>
      <c r="DS30" s="108" t="s">
        <v>669</v>
      </c>
      <c r="DT30" s="108" t="s">
        <v>669</v>
      </c>
      <c r="DU30" s="108" t="s">
        <v>669</v>
      </c>
      <c r="DV30" s="108" t="s">
        <v>669</v>
      </c>
      <c r="DW30" s="108" t="s">
        <v>669</v>
      </c>
      <c r="DX30" s="108" t="s">
        <v>669</v>
      </c>
      <c r="DY30" s="108" t="s">
        <v>503</v>
      </c>
      <c r="DZ30" s="108" t="s">
        <v>503</v>
      </c>
      <c r="EA30" s="108" t="s">
        <v>503</v>
      </c>
      <c r="EB30" s="108" t="s">
        <v>503</v>
      </c>
      <c r="EC30" s="108" t="s">
        <v>503</v>
      </c>
      <c r="ED30" s="108" t="s">
        <v>503</v>
      </c>
      <c r="EE30" s="108" t="s">
        <v>503</v>
      </c>
      <c r="EF30" s="108" t="s">
        <v>503</v>
      </c>
      <c r="EG30" s="108" t="s">
        <v>503</v>
      </c>
      <c r="EH30" s="108" t="s">
        <v>503</v>
      </c>
      <c r="EI30" s="108" t="s">
        <v>503</v>
      </c>
      <c r="EJ30" s="108" t="s">
        <v>503</v>
      </c>
      <c r="EK30" s="108" t="s">
        <v>503</v>
      </c>
      <c r="EL30" s="108" t="s">
        <v>503</v>
      </c>
      <c r="EM30" s="108" t="s">
        <v>503</v>
      </c>
      <c r="EN30" s="108" t="s">
        <v>503</v>
      </c>
      <c r="EO30" s="108" t="s">
        <v>503</v>
      </c>
      <c r="EP30" s="108" t="s">
        <v>503</v>
      </c>
      <c r="EQ30" s="108" t="s">
        <v>503</v>
      </c>
      <c r="ER30" s="108" t="s">
        <v>503</v>
      </c>
      <c r="ES30" s="108" t="s">
        <v>503</v>
      </c>
      <c r="ET30" s="108" t="s">
        <v>503</v>
      </c>
      <c r="EU30" s="108" t="s">
        <v>503</v>
      </c>
      <c r="EV30" s="108" t="s">
        <v>503</v>
      </c>
      <c r="EW30" s="108"/>
      <c r="EX30" s="108"/>
      <c r="EY30" s="108"/>
      <c r="EZ30" s="108" t="s">
        <v>503</v>
      </c>
      <c r="FA30" s="108" t="s">
        <v>503</v>
      </c>
      <c r="FB30" s="108" t="s">
        <v>503</v>
      </c>
      <c r="FC30" s="108" t="s">
        <v>503</v>
      </c>
      <c r="FD30" s="108" t="s">
        <v>503</v>
      </c>
      <c r="FE30" s="108" t="s">
        <v>503</v>
      </c>
      <c r="FF30" s="108" t="s">
        <v>503</v>
      </c>
      <c r="FG30" s="108" t="s">
        <v>503</v>
      </c>
      <c r="FH30" s="108" t="s">
        <v>503</v>
      </c>
      <c r="FI30" s="108" t="s">
        <v>503</v>
      </c>
      <c r="FJ30" s="108" t="s">
        <v>503</v>
      </c>
      <c r="FK30" s="108" t="s">
        <v>503</v>
      </c>
      <c r="FL30" s="108" t="s">
        <v>503</v>
      </c>
      <c r="FM30" s="108" t="s">
        <v>503</v>
      </c>
      <c r="FN30" s="108" t="s">
        <v>503</v>
      </c>
      <c r="FO30" s="108" t="s">
        <v>503</v>
      </c>
      <c r="FP30" s="108" t="s">
        <v>503</v>
      </c>
      <c r="FQ30" s="108" t="s">
        <v>503</v>
      </c>
      <c r="FR30" s="108" t="s">
        <v>503</v>
      </c>
      <c r="FS30" s="108" t="s">
        <v>503</v>
      </c>
      <c r="FT30" s="108" t="s">
        <v>503</v>
      </c>
      <c r="FU30" s="108" t="s">
        <v>503</v>
      </c>
      <c r="FV30" s="108" t="s">
        <v>503</v>
      </c>
      <c r="FW30" s="108" t="s">
        <v>503</v>
      </c>
      <c r="FX30" s="108" t="s">
        <v>502</v>
      </c>
      <c r="FY30" s="108" t="s">
        <v>502</v>
      </c>
      <c r="FZ30" s="108" t="s">
        <v>502</v>
      </c>
      <c r="GA30" s="108" t="s">
        <v>503</v>
      </c>
      <c r="GB30" s="108" t="s">
        <v>503</v>
      </c>
      <c r="GC30" s="108" t="s">
        <v>503</v>
      </c>
      <c r="GD30" s="108" t="s">
        <v>503</v>
      </c>
      <c r="GE30" s="108" t="s">
        <v>503</v>
      </c>
      <c r="GF30" s="108" t="s">
        <v>503</v>
      </c>
      <c r="GG30" s="108" t="s">
        <v>503</v>
      </c>
      <c r="GH30" s="108" t="s">
        <v>503</v>
      </c>
      <c r="GI30" s="108" t="s">
        <v>503</v>
      </c>
      <c r="GJ30" s="108" t="s">
        <v>503</v>
      </c>
      <c r="GK30" s="108" t="s">
        <v>503</v>
      </c>
      <c r="GL30" s="108" t="s">
        <v>503</v>
      </c>
      <c r="GM30" s="108" t="s">
        <v>503</v>
      </c>
      <c r="GN30" s="108" t="s">
        <v>503</v>
      </c>
      <c r="GO30" s="108" t="s">
        <v>503</v>
      </c>
      <c r="GP30" s="108" t="s">
        <v>502</v>
      </c>
      <c r="GQ30" s="108" t="s">
        <v>502</v>
      </c>
      <c r="GR30" s="108" t="s">
        <v>502</v>
      </c>
      <c r="GS30" s="108" t="s">
        <v>664</v>
      </c>
      <c r="GT30" s="108" t="s">
        <v>664</v>
      </c>
      <c r="GU30" s="108" t="s">
        <v>664</v>
      </c>
      <c r="GV30" s="108" t="s">
        <v>664</v>
      </c>
      <c r="GW30" s="108" t="s">
        <v>664</v>
      </c>
      <c r="GX30" s="108" t="s">
        <v>664</v>
      </c>
      <c r="GY30" s="71">
        <f>52609/1.19</f>
        <v>44209.243697478996</v>
      </c>
      <c r="GZ30" s="71">
        <f>GY30*0.19</f>
        <v>8399.7563025210093</v>
      </c>
      <c r="HA30" s="71">
        <f>GZ30+GY30</f>
        <v>52609.000000000007</v>
      </c>
      <c r="HB30" s="108" t="s">
        <v>664</v>
      </c>
      <c r="HC30" s="108" t="s">
        <v>664</v>
      </c>
      <c r="HD30" s="108" t="s">
        <v>664</v>
      </c>
      <c r="HE30" s="108" t="s">
        <v>664</v>
      </c>
      <c r="HF30" s="108" t="s">
        <v>664</v>
      </c>
      <c r="HG30" s="108" t="s">
        <v>664</v>
      </c>
      <c r="HH30" s="108" t="s">
        <v>664</v>
      </c>
      <c r="HI30" s="108" t="s">
        <v>664</v>
      </c>
      <c r="HJ30" s="108" t="s">
        <v>664</v>
      </c>
      <c r="HK30" s="108" t="s">
        <v>664</v>
      </c>
      <c r="HL30" s="108" t="s">
        <v>664</v>
      </c>
      <c r="HM30" s="108" t="s">
        <v>664</v>
      </c>
      <c r="HN30" s="108" t="s">
        <v>664</v>
      </c>
      <c r="HO30" s="108" t="s">
        <v>664</v>
      </c>
      <c r="HP30" s="108" t="s">
        <v>664</v>
      </c>
      <c r="HQ30" s="108" t="s">
        <v>664</v>
      </c>
      <c r="HR30" s="108" t="s">
        <v>664</v>
      </c>
      <c r="HS30" s="108" t="s">
        <v>664</v>
      </c>
      <c r="HT30" s="108" t="s">
        <v>664</v>
      </c>
      <c r="HU30" s="108" t="s">
        <v>664</v>
      </c>
      <c r="HV30" s="108" t="s">
        <v>664</v>
      </c>
      <c r="HW30" s="108" t="s">
        <v>664</v>
      </c>
      <c r="HX30" s="108" t="s">
        <v>664</v>
      </c>
      <c r="HY30" s="108" t="s">
        <v>664</v>
      </c>
      <c r="HZ30" s="108" t="s">
        <v>664</v>
      </c>
      <c r="IA30" s="108" t="s">
        <v>664</v>
      </c>
      <c r="IB30" s="108" t="s">
        <v>664</v>
      </c>
      <c r="IC30" s="108" t="s">
        <v>664</v>
      </c>
      <c r="ID30" s="108" t="s">
        <v>664</v>
      </c>
      <c r="IE30" s="108" t="s">
        <v>664</v>
      </c>
      <c r="IF30" s="108" t="s">
        <v>664</v>
      </c>
      <c r="IG30" s="108" t="s">
        <v>664</v>
      </c>
      <c r="IH30" s="108" t="s">
        <v>664</v>
      </c>
      <c r="II30" s="108" t="s">
        <v>664</v>
      </c>
      <c r="IJ30" s="108" t="s">
        <v>664</v>
      </c>
      <c r="IK30" s="108" t="s">
        <v>664</v>
      </c>
      <c r="IL30" s="108" t="s">
        <v>664</v>
      </c>
      <c r="IM30" s="108" t="s">
        <v>664</v>
      </c>
      <c r="IN30" s="108" t="s">
        <v>664</v>
      </c>
      <c r="IO30" s="120" t="s">
        <v>503</v>
      </c>
      <c r="IP30" s="120" t="s">
        <v>503</v>
      </c>
      <c r="IQ30" s="120" t="s">
        <v>503</v>
      </c>
      <c r="IR30" s="120" t="s">
        <v>664</v>
      </c>
      <c r="IS30" s="120" t="s">
        <v>664</v>
      </c>
      <c r="IT30" s="120" t="s">
        <v>664</v>
      </c>
      <c r="IU30" s="120" t="s">
        <v>503</v>
      </c>
      <c r="IV30" s="120" t="s">
        <v>503</v>
      </c>
      <c r="IW30" s="120" t="s">
        <v>503</v>
      </c>
      <c r="IX30" s="120" t="s">
        <v>503</v>
      </c>
      <c r="IY30" s="120" t="s">
        <v>503</v>
      </c>
      <c r="IZ30" s="120" t="s">
        <v>503</v>
      </c>
      <c r="JA30" s="120" t="s">
        <v>503</v>
      </c>
      <c r="JB30" s="120" t="s">
        <v>503</v>
      </c>
      <c r="JC30" s="120" t="s">
        <v>503</v>
      </c>
      <c r="JD30" s="108" t="s">
        <v>502</v>
      </c>
      <c r="JE30" s="108" t="s">
        <v>502</v>
      </c>
      <c r="JF30" s="108" t="s">
        <v>502</v>
      </c>
      <c r="JG30" s="120" t="s">
        <v>664</v>
      </c>
      <c r="JH30" s="120" t="s">
        <v>664</v>
      </c>
      <c r="JI30" s="120" t="s">
        <v>664</v>
      </c>
      <c r="JJ30" s="120" t="s">
        <v>664</v>
      </c>
      <c r="JK30" s="120" t="s">
        <v>664</v>
      </c>
      <c r="JL30" s="120" t="s">
        <v>664</v>
      </c>
      <c r="JM30" s="120" t="s">
        <v>664</v>
      </c>
      <c r="JN30" s="120" t="s">
        <v>664</v>
      </c>
      <c r="JO30" s="120" t="s">
        <v>664</v>
      </c>
      <c r="JP30" s="110">
        <v>88500</v>
      </c>
      <c r="JQ30" s="111">
        <v>105737.44944</v>
      </c>
      <c r="JR30" s="112">
        <f t="shared" si="0"/>
        <v>4</v>
      </c>
      <c r="JS30" s="113">
        <f t="shared" si="1"/>
        <v>58410.16</v>
      </c>
      <c r="JT30" s="114">
        <f t="shared" si="2"/>
        <v>58450</v>
      </c>
      <c r="JU30" s="84"/>
    </row>
    <row r="31" spans="1:281" ht="101.25" customHeight="1" x14ac:dyDescent="0.2">
      <c r="A31" s="98">
        <v>120</v>
      </c>
      <c r="B31" s="99">
        <v>120</v>
      </c>
      <c r="C31" s="39" t="s">
        <v>674</v>
      </c>
      <c r="D31" s="100" t="s">
        <v>20</v>
      </c>
      <c r="E31" s="39">
        <v>31162800</v>
      </c>
      <c r="F31" s="129" t="s">
        <v>174</v>
      </c>
      <c r="G31" s="102" t="s">
        <v>53</v>
      </c>
      <c r="H31" s="103" t="s">
        <v>501</v>
      </c>
      <c r="I31" s="108" t="s">
        <v>503</v>
      </c>
      <c r="J31" s="108" t="s">
        <v>503</v>
      </c>
      <c r="K31" s="108" t="s">
        <v>503</v>
      </c>
      <c r="L31" s="108" t="s">
        <v>503</v>
      </c>
      <c r="M31" s="108" t="s">
        <v>503</v>
      </c>
      <c r="N31" s="108" t="s">
        <v>503</v>
      </c>
      <c r="O31" s="108" t="s">
        <v>503</v>
      </c>
      <c r="P31" s="108" t="s">
        <v>503</v>
      </c>
      <c r="Q31" s="108" t="s">
        <v>503</v>
      </c>
      <c r="R31" s="108" t="s">
        <v>503</v>
      </c>
      <c r="S31" s="108" t="s">
        <v>503</v>
      </c>
      <c r="T31" s="108" t="s">
        <v>503</v>
      </c>
      <c r="U31" s="108" t="s">
        <v>503</v>
      </c>
      <c r="V31" s="108" t="s">
        <v>503</v>
      </c>
      <c r="W31" s="108" t="s">
        <v>503</v>
      </c>
      <c r="X31" s="108" t="s">
        <v>503</v>
      </c>
      <c r="Y31" s="108" t="s">
        <v>503</v>
      </c>
      <c r="Z31" s="108" t="s">
        <v>503</v>
      </c>
      <c r="AA31" s="108" t="s">
        <v>503</v>
      </c>
      <c r="AB31" s="108" t="s">
        <v>503</v>
      </c>
      <c r="AC31" s="108" t="s">
        <v>503</v>
      </c>
      <c r="AD31" s="108" t="s">
        <v>503</v>
      </c>
      <c r="AE31" s="108" t="s">
        <v>503</v>
      </c>
      <c r="AF31" s="108" t="s">
        <v>503</v>
      </c>
      <c r="AG31" s="108" t="s">
        <v>503</v>
      </c>
      <c r="AH31" s="108" t="s">
        <v>503</v>
      </c>
      <c r="AI31" s="108" t="s">
        <v>503</v>
      </c>
      <c r="AJ31" s="108" t="s">
        <v>503</v>
      </c>
      <c r="AK31" s="108" t="s">
        <v>503</v>
      </c>
      <c r="AL31" s="108" t="s">
        <v>503</v>
      </c>
      <c r="AM31" s="108" t="s">
        <v>503</v>
      </c>
      <c r="AN31" s="108" t="s">
        <v>503</v>
      </c>
      <c r="AO31" s="108" t="s">
        <v>503</v>
      </c>
      <c r="AP31" s="108" t="s">
        <v>503</v>
      </c>
      <c r="AQ31" s="108" t="s">
        <v>503</v>
      </c>
      <c r="AR31" s="108" t="s">
        <v>503</v>
      </c>
      <c r="AS31" s="108" t="s">
        <v>503</v>
      </c>
      <c r="AT31" s="108" t="s">
        <v>503</v>
      </c>
      <c r="AU31" s="108" t="s">
        <v>503</v>
      </c>
      <c r="AV31" s="108" t="s">
        <v>503</v>
      </c>
      <c r="AW31" s="108" t="s">
        <v>503</v>
      </c>
      <c r="AX31" s="108" t="s">
        <v>503</v>
      </c>
      <c r="AY31" s="108" t="s">
        <v>503</v>
      </c>
      <c r="AZ31" s="108" t="s">
        <v>503</v>
      </c>
      <c r="BA31" s="108" t="s">
        <v>503</v>
      </c>
      <c r="BB31" s="108" t="s">
        <v>503</v>
      </c>
      <c r="BC31" s="108" t="s">
        <v>503</v>
      </c>
      <c r="BD31" s="108" t="s">
        <v>503</v>
      </c>
      <c r="BE31" s="108" t="s">
        <v>503</v>
      </c>
      <c r="BF31" s="108" t="s">
        <v>503</v>
      </c>
      <c r="BG31" s="108" t="s">
        <v>503</v>
      </c>
      <c r="BH31" s="108" t="s">
        <v>503</v>
      </c>
      <c r="BI31" s="108" t="s">
        <v>503</v>
      </c>
      <c r="BJ31" s="108" t="s">
        <v>503</v>
      </c>
      <c r="BK31" s="108" t="s">
        <v>503</v>
      </c>
      <c r="BL31" s="108" t="s">
        <v>503</v>
      </c>
      <c r="BM31" s="108" t="s">
        <v>503</v>
      </c>
      <c r="BN31" s="108" t="s">
        <v>503</v>
      </c>
      <c r="BO31" s="108" t="s">
        <v>503</v>
      </c>
      <c r="BP31" s="108" t="s">
        <v>503</v>
      </c>
      <c r="BQ31" s="108" t="s">
        <v>503</v>
      </c>
      <c r="BR31" s="108" t="s">
        <v>503</v>
      </c>
      <c r="BS31" s="108" t="s">
        <v>503</v>
      </c>
      <c r="BT31" s="108" t="s">
        <v>503</v>
      </c>
      <c r="BU31" s="108" t="s">
        <v>503</v>
      </c>
      <c r="BV31" s="108" t="s">
        <v>503</v>
      </c>
      <c r="BW31" s="77">
        <v>45798.319327731093</v>
      </c>
      <c r="BX31" s="119">
        <f t="shared" si="13"/>
        <v>8701.6806722689071</v>
      </c>
      <c r="BY31" s="118">
        <f t="shared" si="14"/>
        <v>54500</v>
      </c>
      <c r="BZ31" s="108" t="s">
        <v>503</v>
      </c>
      <c r="CA31" s="108" t="s">
        <v>503</v>
      </c>
      <c r="CB31" s="108" t="s">
        <v>503</v>
      </c>
      <c r="CC31" s="108" t="s">
        <v>503</v>
      </c>
      <c r="CD31" s="108" t="s">
        <v>503</v>
      </c>
      <c r="CE31" s="108" t="s">
        <v>503</v>
      </c>
      <c r="CF31" s="108" t="s">
        <v>503</v>
      </c>
      <c r="CG31" s="108" t="s">
        <v>503</v>
      </c>
      <c r="CH31" s="108" t="s">
        <v>503</v>
      </c>
      <c r="CI31" s="108" t="s">
        <v>503</v>
      </c>
      <c r="CJ31" s="108" t="s">
        <v>503</v>
      </c>
      <c r="CK31" s="108" t="s">
        <v>503</v>
      </c>
      <c r="CL31" s="108" t="s">
        <v>503</v>
      </c>
      <c r="CM31" s="108" t="s">
        <v>503</v>
      </c>
      <c r="CN31" s="108" t="s">
        <v>503</v>
      </c>
      <c r="CO31" s="56">
        <v>52626</v>
      </c>
      <c r="CP31" s="119">
        <f t="shared" si="19"/>
        <v>9998.94</v>
      </c>
      <c r="CQ31" s="118">
        <f t="shared" si="20"/>
        <v>62624.94</v>
      </c>
      <c r="CR31" s="108" t="s">
        <v>503</v>
      </c>
      <c r="CS31" s="108" t="s">
        <v>503</v>
      </c>
      <c r="CT31" s="108" t="s">
        <v>503</v>
      </c>
      <c r="CU31" s="108" t="s">
        <v>503</v>
      </c>
      <c r="CV31" s="108" t="s">
        <v>503</v>
      </c>
      <c r="CW31" s="108" t="s">
        <v>503</v>
      </c>
      <c r="CX31" s="108" t="s">
        <v>503</v>
      </c>
      <c r="CY31" s="108" t="s">
        <v>503</v>
      </c>
      <c r="CZ31" s="108" t="s">
        <v>503</v>
      </c>
      <c r="DA31" s="108" t="s">
        <v>503</v>
      </c>
      <c r="DB31" s="108" t="s">
        <v>503</v>
      </c>
      <c r="DC31" s="108" t="s">
        <v>503</v>
      </c>
      <c r="DD31" s="108" t="s">
        <v>503</v>
      </c>
      <c r="DE31" s="108" t="s">
        <v>503</v>
      </c>
      <c r="DF31" s="108" t="s">
        <v>503</v>
      </c>
      <c r="DG31" s="108" t="s">
        <v>503</v>
      </c>
      <c r="DH31" s="108" t="s">
        <v>503</v>
      </c>
      <c r="DI31" s="108" t="s">
        <v>503</v>
      </c>
      <c r="DJ31" s="108" t="s">
        <v>503</v>
      </c>
      <c r="DK31" s="108" t="s">
        <v>503</v>
      </c>
      <c r="DL31" s="108" t="s">
        <v>503</v>
      </c>
      <c r="DM31" s="118" t="s">
        <v>502</v>
      </c>
      <c r="DN31" s="118" t="s">
        <v>502</v>
      </c>
      <c r="DO31" s="118" t="s">
        <v>502</v>
      </c>
      <c r="DP31" s="108" t="s">
        <v>669</v>
      </c>
      <c r="DQ31" s="108" t="s">
        <v>669</v>
      </c>
      <c r="DR31" s="108" t="s">
        <v>669</v>
      </c>
      <c r="DS31" s="108" t="s">
        <v>669</v>
      </c>
      <c r="DT31" s="108" t="s">
        <v>669</v>
      </c>
      <c r="DU31" s="108" t="s">
        <v>669</v>
      </c>
      <c r="DV31" s="108" t="s">
        <v>669</v>
      </c>
      <c r="DW31" s="108" t="s">
        <v>669</v>
      </c>
      <c r="DX31" s="108" t="s">
        <v>669</v>
      </c>
      <c r="DY31" s="108" t="s">
        <v>503</v>
      </c>
      <c r="DZ31" s="108" t="s">
        <v>503</v>
      </c>
      <c r="EA31" s="108" t="s">
        <v>503</v>
      </c>
      <c r="EB31" s="108" t="s">
        <v>503</v>
      </c>
      <c r="EC31" s="108" t="s">
        <v>503</v>
      </c>
      <c r="ED31" s="108" t="s">
        <v>503</v>
      </c>
      <c r="EE31" s="108" t="s">
        <v>503</v>
      </c>
      <c r="EF31" s="108" t="s">
        <v>503</v>
      </c>
      <c r="EG31" s="108" t="s">
        <v>503</v>
      </c>
      <c r="EH31" s="108" t="s">
        <v>503</v>
      </c>
      <c r="EI31" s="108" t="s">
        <v>503</v>
      </c>
      <c r="EJ31" s="108" t="s">
        <v>503</v>
      </c>
      <c r="EK31" s="108" t="s">
        <v>503</v>
      </c>
      <c r="EL31" s="108" t="s">
        <v>503</v>
      </c>
      <c r="EM31" s="108" t="s">
        <v>503</v>
      </c>
      <c r="EN31" s="108" t="s">
        <v>503</v>
      </c>
      <c r="EO31" s="108" t="s">
        <v>503</v>
      </c>
      <c r="EP31" s="108" t="s">
        <v>503</v>
      </c>
      <c r="EQ31" s="108" t="s">
        <v>503</v>
      </c>
      <c r="ER31" s="108" t="s">
        <v>503</v>
      </c>
      <c r="ES31" s="108" t="s">
        <v>503</v>
      </c>
      <c r="ET31" s="108" t="s">
        <v>503</v>
      </c>
      <c r="EU31" s="108" t="s">
        <v>503</v>
      </c>
      <c r="EV31" s="108" t="s">
        <v>503</v>
      </c>
      <c r="EW31" s="108"/>
      <c r="EX31" s="108"/>
      <c r="EY31" s="108"/>
      <c r="EZ31" s="108" t="s">
        <v>503</v>
      </c>
      <c r="FA31" s="108" t="s">
        <v>503</v>
      </c>
      <c r="FB31" s="108" t="s">
        <v>503</v>
      </c>
      <c r="FC31" s="108" t="s">
        <v>503</v>
      </c>
      <c r="FD31" s="108" t="s">
        <v>503</v>
      </c>
      <c r="FE31" s="108" t="s">
        <v>503</v>
      </c>
      <c r="FF31" s="108" t="s">
        <v>503</v>
      </c>
      <c r="FG31" s="108" t="s">
        <v>503</v>
      </c>
      <c r="FH31" s="108" t="s">
        <v>503</v>
      </c>
      <c r="FI31" s="108" t="s">
        <v>503</v>
      </c>
      <c r="FJ31" s="108" t="s">
        <v>503</v>
      </c>
      <c r="FK31" s="108" t="s">
        <v>503</v>
      </c>
      <c r="FL31" s="108" t="s">
        <v>503</v>
      </c>
      <c r="FM31" s="108" t="s">
        <v>503</v>
      </c>
      <c r="FN31" s="108" t="s">
        <v>503</v>
      </c>
      <c r="FO31" s="108" t="s">
        <v>503</v>
      </c>
      <c r="FP31" s="108" t="s">
        <v>503</v>
      </c>
      <c r="FQ31" s="108" t="s">
        <v>503</v>
      </c>
      <c r="FR31" s="108" t="s">
        <v>503</v>
      </c>
      <c r="FS31" s="108" t="s">
        <v>503</v>
      </c>
      <c r="FT31" s="108" t="s">
        <v>503</v>
      </c>
      <c r="FU31" s="108" t="s">
        <v>503</v>
      </c>
      <c r="FV31" s="108" t="s">
        <v>503</v>
      </c>
      <c r="FW31" s="108" t="s">
        <v>503</v>
      </c>
      <c r="FX31" s="47">
        <f>54900/1.19</f>
        <v>46134.45378151261</v>
      </c>
      <c r="FY31" s="47">
        <f>FX31*0.19</f>
        <v>8765.5462184873959</v>
      </c>
      <c r="FZ31" s="161">
        <f>FY31+FX31</f>
        <v>54900.000000000007</v>
      </c>
      <c r="GA31" s="108" t="s">
        <v>503</v>
      </c>
      <c r="GB31" s="108" t="s">
        <v>503</v>
      </c>
      <c r="GC31" s="108" t="s">
        <v>503</v>
      </c>
      <c r="GD31" s="108" t="s">
        <v>503</v>
      </c>
      <c r="GE31" s="108" t="s">
        <v>503</v>
      </c>
      <c r="GF31" s="108" t="s">
        <v>503</v>
      </c>
      <c r="GG31" s="108" t="s">
        <v>503</v>
      </c>
      <c r="GH31" s="108" t="s">
        <v>503</v>
      </c>
      <c r="GI31" s="108" t="s">
        <v>503</v>
      </c>
      <c r="GJ31" s="108" t="s">
        <v>503</v>
      </c>
      <c r="GK31" s="108" t="s">
        <v>503</v>
      </c>
      <c r="GL31" s="108" t="s">
        <v>503</v>
      </c>
      <c r="GM31" s="108" t="s">
        <v>503</v>
      </c>
      <c r="GN31" s="108" t="s">
        <v>503</v>
      </c>
      <c r="GO31" s="108" t="s">
        <v>503</v>
      </c>
      <c r="GP31" s="108" t="s">
        <v>502</v>
      </c>
      <c r="GQ31" s="108" t="s">
        <v>502</v>
      </c>
      <c r="GR31" s="108" t="s">
        <v>502</v>
      </c>
      <c r="GS31" s="108" t="s">
        <v>664</v>
      </c>
      <c r="GT31" s="108" t="s">
        <v>664</v>
      </c>
      <c r="GU31" s="108" t="s">
        <v>664</v>
      </c>
      <c r="GV31" s="108" t="s">
        <v>664</v>
      </c>
      <c r="GW31" s="108" t="s">
        <v>664</v>
      </c>
      <c r="GX31" s="108" t="s">
        <v>664</v>
      </c>
      <c r="GY31" s="108" t="s">
        <v>503</v>
      </c>
      <c r="GZ31" s="108" t="s">
        <v>503</v>
      </c>
      <c r="HA31" s="108" t="s">
        <v>503</v>
      </c>
      <c r="HB31" s="108" t="s">
        <v>664</v>
      </c>
      <c r="HC31" s="108" t="s">
        <v>664</v>
      </c>
      <c r="HD31" s="108" t="s">
        <v>664</v>
      </c>
      <c r="HE31" s="108" t="s">
        <v>664</v>
      </c>
      <c r="HF31" s="108" t="s">
        <v>664</v>
      </c>
      <c r="HG31" s="108" t="s">
        <v>664</v>
      </c>
      <c r="HH31" s="108" t="s">
        <v>664</v>
      </c>
      <c r="HI31" s="108" t="s">
        <v>664</v>
      </c>
      <c r="HJ31" s="108" t="s">
        <v>664</v>
      </c>
      <c r="HK31" s="108" t="s">
        <v>664</v>
      </c>
      <c r="HL31" s="108" t="s">
        <v>664</v>
      </c>
      <c r="HM31" s="108" t="s">
        <v>664</v>
      </c>
      <c r="HN31" s="108" t="s">
        <v>664</v>
      </c>
      <c r="HO31" s="108" t="s">
        <v>664</v>
      </c>
      <c r="HP31" s="108" t="s">
        <v>664</v>
      </c>
      <c r="HQ31" s="108" t="s">
        <v>664</v>
      </c>
      <c r="HR31" s="108" t="s">
        <v>664</v>
      </c>
      <c r="HS31" s="108" t="s">
        <v>664</v>
      </c>
      <c r="HT31" s="108" t="s">
        <v>664</v>
      </c>
      <c r="HU31" s="108" t="s">
        <v>664</v>
      </c>
      <c r="HV31" s="108" t="s">
        <v>664</v>
      </c>
      <c r="HW31" s="108" t="s">
        <v>664</v>
      </c>
      <c r="HX31" s="108" t="s">
        <v>664</v>
      </c>
      <c r="HY31" s="108" t="s">
        <v>664</v>
      </c>
      <c r="HZ31" s="108" t="s">
        <v>664</v>
      </c>
      <c r="IA31" s="108" t="s">
        <v>664</v>
      </c>
      <c r="IB31" s="108" t="s">
        <v>664</v>
      </c>
      <c r="IC31" s="108" t="s">
        <v>664</v>
      </c>
      <c r="ID31" s="108" t="s">
        <v>664</v>
      </c>
      <c r="IE31" s="108" t="s">
        <v>664</v>
      </c>
      <c r="IF31" s="108" t="s">
        <v>664</v>
      </c>
      <c r="IG31" s="108" t="s">
        <v>664</v>
      </c>
      <c r="IH31" s="108" t="s">
        <v>664</v>
      </c>
      <c r="II31" s="108" t="s">
        <v>664</v>
      </c>
      <c r="IJ31" s="108" t="s">
        <v>664</v>
      </c>
      <c r="IK31" s="108" t="s">
        <v>664</v>
      </c>
      <c r="IL31" s="108" t="s">
        <v>664</v>
      </c>
      <c r="IM31" s="108" t="s">
        <v>664</v>
      </c>
      <c r="IN31" s="108" t="s">
        <v>664</v>
      </c>
      <c r="IO31" s="120" t="s">
        <v>503</v>
      </c>
      <c r="IP31" s="120" t="s">
        <v>503</v>
      </c>
      <c r="IQ31" s="120" t="s">
        <v>503</v>
      </c>
      <c r="IR31" s="120" t="s">
        <v>664</v>
      </c>
      <c r="IS31" s="120" t="s">
        <v>664</v>
      </c>
      <c r="IT31" s="120" t="s">
        <v>664</v>
      </c>
      <c r="IU31" s="120" t="s">
        <v>503</v>
      </c>
      <c r="IV31" s="120" t="s">
        <v>503</v>
      </c>
      <c r="IW31" s="120" t="s">
        <v>503</v>
      </c>
      <c r="IX31" s="120" t="s">
        <v>503</v>
      </c>
      <c r="IY31" s="120" t="s">
        <v>503</v>
      </c>
      <c r="IZ31" s="120" t="s">
        <v>503</v>
      </c>
      <c r="JA31" s="120" t="s">
        <v>503</v>
      </c>
      <c r="JB31" s="120" t="s">
        <v>503</v>
      </c>
      <c r="JC31" s="120" t="s">
        <v>503</v>
      </c>
      <c r="JD31" s="108" t="s">
        <v>502</v>
      </c>
      <c r="JE31" s="108" t="s">
        <v>502</v>
      </c>
      <c r="JF31" s="108" t="s">
        <v>502</v>
      </c>
      <c r="JG31" s="120" t="s">
        <v>664</v>
      </c>
      <c r="JH31" s="120" t="s">
        <v>664</v>
      </c>
      <c r="JI31" s="120" t="s">
        <v>664</v>
      </c>
      <c r="JJ31" s="120" t="s">
        <v>664</v>
      </c>
      <c r="JK31" s="120" t="s">
        <v>664</v>
      </c>
      <c r="JL31" s="120" t="s">
        <v>664</v>
      </c>
      <c r="JM31" s="120" t="s">
        <v>664</v>
      </c>
      <c r="JN31" s="120" t="s">
        <v>664</v>
      </c>
      <c r="JO31" s="120" t="s">
        <v>664</v>
      </c>
      <c r="JP31" s="110">
        <v>50200</v>
      </c>
      <c r="JQ31" s="111">
        <v>59977.626687999997</v>
      </c>
      <c r="JR31" s="112">
        <f t="shared" si="0"/>
        <v>3</v>
      </c>
      <c r="JS31" s="113">
        <f t="shared" si="1"/>
        <v>57341.646666666667</v>
      </c>
      <c r="JT31" s="114">
        <f t="shared" si="2"/>
        <v>57350</v>
      </c>
      <c r="JU31" s="84"/>
    </row>
    <row r="32" spans="1:281" ht="101.25" customHeight="1" x14ac:dyDescent="0.2">
      <c r="A32" s="98">
        <v>121</v>
      </c>
      <c r="B32" s="99">
        <v>121</v>
      </c>
      <c r="C32" s="39" t="s">
        <v>674</v>
      </c>
      <c r="D32" s="100" t="s">
        <v>254</v>
      </c>
      <c r="E32" s="39">
        <v>31162800</v>
      </c>
      <c r="F32" s="101" t="s">
        <v>255</v>
      </c>
      <c r="G32" s="102" t="s">
        <v>86</v>
      </c>
      <c r="H32" s="103" t="s">
        <v>501</v>
      </c>
      <c r="I32" s="108" t="s">
        <v>503</v>
      </c>
      <c r="J32" s="108" t="s">
        <v>503</v>
      </c>
      <c r="K32" s="108" t="s">
        <v>503</v>
      </c>
      <c r="L32" s="108" t="s">
        <v>503</v>
      </c>
      <c r="M32" s="108" t="s">
        <v>503</v>
      </c>
      <c r="N32" s="108" t="s">
        <v>503</v>
      </c>
      <c r="O32" s="108" t="s">
        <v>503</v>
      </c>
      <c r="P32" s="108" t="s">
        <v>503</v>
      </c>
      <c r="Q32" s="108" t="s">
        <v>503</v>
      </c>
      <c r="R32" s="108" t="s">
        <v>503</v>
      </c>
      <c r="S32" s="108" t="s">
        <v>503</v>
      </c>
      <c r="T32" s="108" t="s">
        <v>503</v>
      </c>
      <c r="U32" s="108" t="s">
        <v>503</v>
      </c>
      <c r="V32" s="108" t="s">
        <v>503</v>
      </c>
      <c r="W32" s="108" t="s">
        <v>503</v>
      </c>
      <c r="X32" s="108" t="s">
        <v>503</v>
      </c>
      <c r="Y32" s="108" t="s">
        <v>503</v>
      </c>
      <c r="Z32" s="108" t="s">
        <v>503</v>
      </c>
      <c r="AA32" s="108" t="s">
        <v>503</v>
      </c>
      <c r="AB32" s="108" t="s">
        <v>503</v>
      </c>
      <c r="AC32" s="108" t="s">
        <v>503</v>
      </c>
      <c r="AD32" s="108" t="s">
        <v>503</v>
      </c>
      <c r="AE32" s="108" t="s">
        <v>503</v>
      </c>
      <c r="AF32" s="108" t="s">
        <v>503</v>
      </c>
      <c r="AG32" s="108" t="s">
        <v>503</v>
      </c>
      <c r="AH32" s="108" t="s">
        <v>503</v>
      </c>
      <c r="AI32" s="108" t="s">
        <v>503</v>
      </c>
      <c r="AJ32" s="108" t="s">
        <v>503</v>
      </c>
      <c r="AK32" s="108" t="s">
        <v>503</v>
      </c>
      <c r="AL32" s="108" t="s">
        <v>503</v>
      </c>
      <c r="AM32" s="108" t="s">
        <v>503</v>
      </c>
      <c r="AN32" s="108" t="s">
        <v>503</v>
      </c>
      <c r="AO32" s="108" t="s">
        <v>503</v>
      </c>
      <c r="AP32" s="108" t="s">
        <v>503</v>
      </c>
      <c r="AQ32" s="108" t="s">
        <v>503</v>
      </c>
      <c r="AR32" s="108" t="s">
        <v>503</v>
      </c>
      <c r="AS32" s="108" t="s">
        <v>503</v>
      </c>
      <c r="AT32" s="108" t="s">
        <v>503</v>
      </c>
      <c r="AU32" s="108" t="s">
        <v>503</v>
      </c>
      <c r="AV32" s="108" t="s">
        <v>503</v>
      </c>
      <c r="AW32" s="108" t="s">
        <v>503</v>
      </c>
      <c r="AX32" s="108" t="s">
        <v>503</v>
      </c>
      <c r="AY32" s="108" t="s">
        <v>503</v>
      </c>
      <c r="AZ32" s="108" t="s">
        <v>503</v>
      </c>
      <c r="BA32" s="108" t="s">
        <v>503</v>
      </c>
      <c r="BB32" s="108" t="s">
        <v>503</v>
      </c>
      <c r="BC32" s="108" t="s">
        <v>503</v>
      </c>
      <c r="BD32" s="108" t="s">
        <v>503</v>
      </c>
      <c r="BE32" s="108" t="s">
        <v>503</v>
      </c>
      <c r="BF32" s="108" t="s">
        <v>503</v>
      </c>
      <c r="BG32" s="108" t="s">
        <v>503</v>
      </c>
      <c r="BH32" s="108" t="s">
        <v>503</v>
      </c>
      <c r="BI32" s="108" t="s">
        <v>503</v>
      </c>
      <c r="BJ32" s="108" t="s">
        <v>503</v>
      </c>
      <c r="BK32" s="108" t="s">
        <v>503</v>
      </c>
      <c r="BL32" s="108" t="s">
        <v>503</v>
      </c>
      <c r="BM32" s="108" t="s">
        <v>503</v>
      </c>
      <c r="BN32" s="108" t="s">
        <v>503</v>
      </c>
      <c r="BO32" s="108" t="s">
        <v>503</v>
      </c>
      <c r="BP32" s="108" t="s">
        <v>503</v>
      </c>
      <c r="BQ32" s="108" t="s">
        <v>503</v>
      </c>
      <c r="BR32" s="108" t="s">
        <v>503</v>
      </c>
      <c r="BS32" s="108" t="s">
        <v>503</v>
      </c>
      <c r="BT32" s="108" t="s">
        <v>503</v>
      </c>
      <c r="BU32" s="108" t="s">
        <v>503</v>
      </c>
      <c r="BV32" s="108" t="s">
        <v>503</v>
      </c>
      <c r="BW32" s="77">
        <v>7142.8571428571431</v>
      </c>
      <c r="BX32" s="119">
        <f t="shared" si="13"/>
        <v>1357.1428571428571</v>
      </c>
      <c r="BY32" s="118">
        <f t="shared" si="14"/>
        <v>8500</v>
      </c>
      <c r="BZ32" s="108" t="s">
        <v>503</v>
      </c>
      <c r="CA32" s="108" t="s">
        <v>503</v>
      </c>
      <c r="CB32" s="108" t="s">
        <v>503</v>
      </c>
      <c r="CC32" s="108" t="s">
        <v>503</v>
      </c>
      <c r="CD32" s="108" t="s">
        <v>503</v>
      </c>
      <c r="CE32" s="108" t="s">
        <v>503</v>
      </c>
      <c r="CF32" s="108" t="s">
        <v>503</v>
      </c>
      <c r="CG32" s="108" t="s">
        <v>503</v>
      </c>
      <c r="CH32" s="108" t="s">
        <v>503</v>
      </c>
      <c r="CI32" s="108" t="s">
        <v>503</v>
      </c>
      <c r="CJ32" s="108" t="s">
        <v>503</v>
      </c>
      <c r="CK32" s="108" t="s">
        <v>503</v>
      </c>
      <c r="CL32" s="108" t="s">
        <v>503</v>
      </c>
      <c r="CM32" s="108" t="s">
        <v>503</v>
      </c>
      <c r="CN32" s="108" t="s">
        <v>503</v>
      </c>
      <c r="CO32" s="162">
        <v>4567.21</v>
      </c>
      <c r="CP32" s="159">
        <f t="shared" si="19"/>
        <v>867.76990000000001</v>
      </c>
      <c r="CQ32" s="47">
        <f t="shared" si="20"/>
        <v>5434.9799000000003</v>
      </c>
      <c r="CR32" s="108" t="s">
        <v>503</v>
      </c>
      <c r="CS32" s="108" t="s">
        <v>503</v>
      </c>
      <c r="CT32" s="108" t="s">
        <v>503</v>
      </c>
      <c r="CU32" s="108" t="s">
        <v>503</v>
      </c>
      <c r="CV32" s="108" t="s">
        <v>503</v>
      </c>
      <c r="CW32" s="108" t="s">
        <v>503</v>
      </c>
      <c r="CX32" s="108" t="s">
        <v>503</v>
      </c>
      <c r="CY32" s="108" t="s">
        <v>503</v>
      </c>
      <c r="CZ32" s="108" t="s">
        <v>503</v>
      </c>
      <c r="DA32" s="108" t="s">
        <v>503</v>
      </c>
      <c r="DB32" s="108" t="s">
        <v>503</v>
      </c>
      <c r="DC32" s="108" t="s">
        <v>503</v>
      </c>
      <c r="DD32" s="108" t="s">
        <v>503</v>
      </c>
      <c r="DE32" s="108" t="s">
        <v>503</v>
      </c>
      <c r="DF32" s="108" t="s">
        <v>503</v>
      </c>
      <c r="DG32" s="108" t="s">
        <v>503</v>
      </c>
      <c r="DH32" s="108" t="s">
        <v>503</v>
      </c>
      <c r="DI32" s="108" t="s">
        <v>503</v>
      </c>
      <c r="DJ32" s="108" t="s">
        <v>503</v>
      </c>
      <c r="DK32" s="108" t="s">
        <v>503</v>
      </c>
      <c r="DL32" s="108" t="s">
        <v>503</v>
      </c>
      <c r="DM32" s="118" t="s">
        <v>502</v>
      </c>
      <c r="DN32" s="118" t="s">
        <v>502</v>
      </c>
      <c r="DO32" s="118" t="s">
        <v>502</v>
      </c>
      <c r="DP32" s="108" t="s">
        <v>669</v>
      </c>
      <c r="DQ32" s="108" t="s">
        <v>669</v>
      </c>
      <c r="DR32" s="108" t="s">
        <v>669</v>
      </c>
      <c r="DS32" s="108" t="s">
        <v>669</v>
      </c>
      <c r="DT32" s="108" t="s">
        <v>669</v>
      </c>
      <c r="DU32" s="108" t="s">
        <v>669</v>
      </c>
      <c r="DV32" s="108" t="s">
        <v>669</v>
      </c>
      <c r="DW32" s="108" t="s">
        <v>669</v>
      </c>
      <c r="DX32" s="108" t="s">
        <v>669</v>
      </c>
      <c r="DY32" s="108" t="s">
        <v>503</v>
      </c>
      <c r="DZ32" s="108" t="s">
        <v>503</v>
      </c>
      <c r="EA32" s="108" t="s">
        <v>503</v>
      </c>
      <c r="EB32" s="108" t="s">
        <v>503</v>
      </c>
      <c r="EC32" s="108" t="s">
        <v>503</v>
      </c>
      <c r="ED32" s="108" t="s">
        <v>503</v>
      </c>
      <c r="EE32" s="108" t="s">
        <v>503</v>
      </c>
      <c r="EF32" s="108" t="s">
        <v>503</v>
      </c>
      <c r="EG32" s="108" t="s">
        <v>503</v>
      </c>
      <c r="EH32" s="108" t="s">
        <v>503</v>
      </c>
      <c r="EI32" s="108" t="s">
        <v>503</v>
      </c>
      <c r="EJ32" s="108" t="s">
        <v>503</v>
      </c>
      <c r="EK32" s="108" t="s">
        <v>503</v>
      </c>
      <c r="EL32" s="108" t="s">
        <v>503</v>
      </c>
      <c r="EM32" s="108" t="s">
        <v>503</v>
      </c>
      <c r="EN32" s="108" t="s">
        <v>503</v>
      </c>
      <c r="EO32" s="108" t="s">
        <v>503</v>
      </c>
      <c r="EP32" s="108" t="s">
        <v>503</v>
      </c>
      <c r="EQ32" s="108" t="s">
        <v>503</v>
      </c>
      <c r="ER32" s="108" t="s">
        <v>503</v>
      </c>
      <c r="ES32" s="108" t="s">
        <v>503</v>
      </c>
      <c r="ET32" s="108" t="s">
        <v>503</v>
      </c>
      <c r="EU32" s="108" t="s">
        <v>503</v>
      </c>
      <c r="EV32" s="108" t="s">
        <v>503</v>
      </c>
      <c r="EW32" s="108" t="s">
        <v>503</v>
      </c>
      <c r="EX32" s="108" t="s">
        <v>503</v>
      </c>
      <c r="EY32" s="108" t="s">
        <v>503</v>
      </c>
      <c r="EZ32" s="108" t="s">
        <v>503</v>
      </c>
      <c r="FA32" s="108" t="s">
        <v>503</v>
      </c>
      <c r="FB32" s="108" t="s">
        <v>503</v>
      </c>
      <c r="FC32" s="108" t="s">
        <v>503</v>
      </c>
      <c r="FD32" s="108" t="s">
        <v>503</v>
      </c>
      <c r="FE32" s="108" t="s">
        <v>503</v>
      </c>
      <c r="FF32" s="108" t="s">
        <v>503</v>
      </c>
      <c r="FG32" s="108" t="s">
        <v>503</v>
      </c>
      <c r="FH32" s="108" t="s">
        <v>503</v>
      </c>
      <c r="FI32" s="108" t="s">
        <v>503</v>
      </c>
      <c r="FJ32" s="108" t="s">
        <v>503</v>
      </c>
      <c r="FK32" s="108" t="s">
        <v>503</v>
      </c>
      <c r="FL32" s="108" t="s">
        <v>503</v>
      </c>
      <c r="FM32" s="108" t="s">
        <v>503</v>
      </c>
      <c r="FN32" s="108" t="s">
        <v>503</v>
      </c>
      <c r="FO32" s="108" t="s">
        <v>503</v>
      </c>
      <c r="FP32" s="108" t="s">
        <v>503</v>
      </c>
      <c r="FQ32" s="108" t="s">
        <v>503</v>
      </c>
      <c r="FR32" s="108" t="s">
        <v>503</v>
      </c>
      <c r="FS32" s="108" t="s">
        <v>503</v>
      </c>
      <c r="FT32" s="108" t="s">
        <v>503</v>
      </c>
      <c r="FU32" s="108" t="s">
        <v>503</v>
      </c>
      <c r="FV32" s="108" t="s">
        <v>503</v>
      </c>
      <c r="FW32" s="108" t="s">
        <v>503</v>
      </c>
      <c r="FX32" s="108" t="s">
        <v>502</v>
      </c>
      <c r="FY32" s="108" t="s">
        <v>502</v>
      </c>
      <c r="FZ32" s="108" t="s">
        <v>502</v>
      </c>
      <c r="GA32" s="108" t="s">
        <v>503</v>
      </c>
      <c r="GB32" s="108" t="s">
        <v>503</v>
      </c>
      <c r="GC32" s="108" t="s">
        <v>503</v>
      </c>
      <c r="GD32" s="108" t="s">
        <v>503</v>
      </c>
      <c r="GE32" s="108" t="s">
        <v>503</v>
      </c>
      <c r="GF32" s="108" t="s">
        <v>503</v>
      </c>
      <c r="GG32" s="108" t="s">
        <v>503</v>
      </c>
      <c r="GH32" s="108" t="s">
        <v>503</v>
      </c>
      <c r="GI32" s="108" t="s">
        <v>503</v>
      </c>
      <c r="GJ32" s="108" t="s">
        <v>503</v>
      </c>
      <c r="GK32" s="108" t="s">
        <v>503</v>
      </c>
      <c r="GL32" s="108" t="s">
        <v>503</v>
      </c>
      <c r="GM32" s="108" t="s">
        <v>503</v>
      </c>
      <c r="GN32" s="108" t="s">
        <v>503</v>
      </c>
      <c r="GO32" s="108" t="s">
        <v>503</v>
      </c>
      <c r="GP32" s="108" t="s">
        <v>502</v>
      </c>
      <c r="GQ32" s="108" t="s">
        <v>502</v>
      </c>
      <c r="GR32" s="108" t="s">
        <v>502</v>
      </c>
      <c r="GS32" s="108" t="s">
        <v>664</v>
      </c>
      <c r="GT32" s="108" t="s">
        <v>664</v>
      </c>
      <c r="GU32" s="108" t="s">
        <v>664</v>
      </c>
      <c r="GV32" s="108" t="s">
        <v>664</v>
      </c>
      <c r="GW32" s="108" t="s">
        <v>664</v>
      </c>
      <c r="GX32" s="108" t="s">
        <v>664</v>
      </c>
      <c r="GY32" s="108" t="s">
        <v>664</v>
      </c>
      <c r="GZ32" s="108" t="s">
        <v>664</v>
      </c>
      <c r="HA32" s="108" t="s">
        <v>664</v>
      </c>
      <c r="HB32" s="108" t="s">
        <v>664</v>
      </c>
      <c r="HC32" s="108" t="s">
        <v>664</v>
      </c>
      <c r="HD32" s="108" t="s">
        <v>664</v>
      </c>
      <c r="HE32" s="108" t="s">
        <v>664</v>
      </c>
      <c r="HF32" s="108" t="s">
        <v>664</v>
      </c>
      <c r="HG32" s="108" t="s">
        <v>664</v>
      </c>
      <c r="HH32" s="108" t="s">
        <v>664</v>
      </c>
      <c r="HI32" s="108" t="s">
        <v>664</v>
      </c>
      <c r="HJ32" s="108" t="s">
        <v>664</v>
      </c>
      <c r="HK32" s="108" t="s">
        <v>664</v>
      </c>
      <c r="HL32" s="108" t="s">
        <v>664</v>
      </c>
      <c r="HM32" s="108" t="s">
        <v>664</v>
      </c>
      <c r="HN32" s="108" t="s">
        <v>664</v>
      </c>
      <c r="HO32" s="108" t="s">
        <v>664</v>
      </c>
      <c r="HP32" s="108" t="s">
        <v>664</v>
      </c>
      <c r="HQ32" s="108" t="s">
        <v>664</v>
      </c>
      <c r="HR32" s="108" t="s">
        <v>664</v>
      </c>
      <c r="HS32" s="108" t="s">
        <v>664</v>
      </c>
      <c r="HT32" s="108" t="s">
        <v>664</v>
      </c>
      <c r="HU32" s="108" t="s">
        <v>664</v>
      </c>
      <c r="HV32" s="108" t="s">
        <v>664</v>
      </c>
      <c r="HW32" s="108" t="s">
        <v>664</v>
      </c>
      <c r="HX32" s="108" t="s">
        <v>664</v>
      </c>
      <c r="HY32" s="108" t="s">
        <v>664</v>
      </c>
      <c r="HZ32" s="108" t="s">
        <v>664</v>
      </c>
      <c r="IA32" s="108" t="s">
        <v>664</v>
      </c>
      <c r="IB32" s="108" t="s">
        <v>664</v>
      </c>
      <c r="IC32" s="108" t="s">
        <v>664</v>
      </c>
      <c r="ID32" s="108" t="s">
        <v>664</v>
      </c>
      <c r="IE32" s="108" t="s">
        <v>664</v>
      </c>
      <c r="IF32" s="108" t="s">
        <v>664</v>
      </c>
      <c r="IG32" s="108" t="s">
        <v>664</v>
      </c>
      <c r="IH32" s="108" t="s">
        <v>664</v>
      </c>
      <c r="II32" s="108" t="s">
        <v>664</v>
      </c>
      <c r="IJ32" s="108" t="s">
        <v>664</v>
      </c>
      <c r="IK32" s="108" t="s">
        <v>664</v>
      </c>
      <c r="IL32" s="108" t="s">
        <v>664</v>
      </c>
      <c r="IM32" s="108" t="s">
        <v>664</v>
      </c>
      <c r="IN32" s="108" t="s">
        <v>664</v>
      </c>
      <c r="IO32" s="120" t="s">
        <v>503</v>
      </c>
      <c r="IP32" s="120" t="s">
        <v>503</v>
      </c>
      <c r="IQ32" s="120" t="s">
        <v>503</v>
      </c>
      <c r="IR32" s="120" t="s">
        <v>664</v>
      </c>
      <c r="IS32" s="120" t="s">
        <v>664</v>
      </c>
      <c r="IT32" s="120" t="s">
        <v>664</v>
      </c>
      <c r="IU32" s="120" t="s">
        <v>503</v>
      </c>
      <c r="IV32" s="120" t="s">
        <v>503</v>
      </c>
      <c r="IW32" s="120" t="s">
        <v>503</v>
      </c>
      <c r="IX32" s="120" t="s">
        <v>503</v>
      </c>
      <c r="IY32" s="120" t="s">
        <v>503</v>
      </c>
      <c r="IZ32" s="120" t="s">
        <v>503</v>
      </c>
      <c r="JA32" s="120" t="s">
        <v>503</v>
      </c>
      <c r="JB32" s="120" t="s">
        <v>503</v>
      </c>
      <c r="JC32" s="120" t="s">
        <v>503</v>
      </c>
      <c r="JD32" s="108" t="s">
        <v>502</v>
      </c>
      <c r="JE32" s="108" t="s">
        <v>502</v>
      </c>
      <c r="JF32" s="108" t="s">
        <v>502</v>
      </c>
      <c r="JG32" s="120" t="s">
        <v>664</v>
      </c>
      <c r="JH32" s="120" t="s">
        <v>664</v>
      </c>
      <c r="JI32" s="120" t="s">
        <v>664</v>
      </c>
      <c r="JJ32" s="120" t="s">
        <v>664</v>
      </c>
      <c r="JK32" s="120" t="s">
        <v>664</v>
      </c>
      <c r="JL32" s="120" t="s">
        <v>664</v>
      </c>
      <c r="JM32" s="120" t="s">
        <v>664</v>
      </c>
      <c r="JN32" s="120" t="s">
        <v>664</v>
      </c>
      <c r="JO32" s="120" t="s">
        <v>664</v>
      </c>
      <c r="JP32" s="110">
        <v>6650</v>
      </c>
      <c r="JQ32" s="111">
        <v>7945.2433760000004</v>
      </c>
      <c r="JR32" s="112">
        <f t="shared" si="0"/>
        <v>2</v>
      </c>
      <c r="JS32" s="113">
        <f t="shared" si="1"/>
        <v>6967.4899500000001</v>
      </c>
      <c r="JT32" s="114">
        <f t="shared" si="2"/>
        <v>7000</v>
      </c>
      <c r="JU32" s="84"/>
    </row>
    <row r="33" spans="1:281" ht="101.25" customHeight="1" x14ac:dyDescent="0.2">
      <c r="A33" s="98">
        <v>123</v>
      </c>
      <c r="B33" s="99">
        <v>123</v>
      </c>
      <c r="C33" s="39" t="s">
        <v>674</v>
      </c>
      <c r="D33" s="100" t="s">
        <v>67</v>
      </c>
      <c r="E33" s="39">
        <v>31162800</v>
      </c>
      <c r="F33" s="101" t="s">
        <v>679</v>
      </c>
      <c r="G33" s="102" t="s">
        <v>85</v>
      </c>
      <c r="H33" s="103" t="s">
        <v>501</v>
      </c>
      <c r="I33" s="108" t="s">
        <v>503</v>
      </c>
      <c r="J33" s="108" t="s">
        <v>503</v>
      </c>
      <c r="K33" s="108" t="s">
        <v>503</v>
      </c>
      <c r="L33" s="108" t="s">
        <v>503</v>
      </c>
      <c r="M33" s="108" t="s">
        <v>503</v>
      </c>
      <c r="N33" s="108" t="s">
        <v>503</v>
      </c>
      <c r="O33" s="108" t="s">
        <v>503</v>
      </c>
      <c r="P33" s="108" t="s">
        <v>503</v>
      </c>
      <c r="Q33" s="108" t="s">
        <v>503</v>
      </c>
      <c r="R33" s="108" t="s">
        <v>503</v>
      </c>
      <c r="S33" s="108" t="s">
        <v>503</v>
      </c>
      <c r="T33" s="108" t="s">
        <v>503</v>
      </c>
      <c r="U33" s="108" t="s">
        <v>503</v>
      </c>
      <c r="V33" s="108" t="s">
        <v>503</v>
      </c>
      <c r="W33" s="108" t="s">
        <v>503</v>
      </c>
      <c r="X33" s="108" t="s">
        <v>503</v>
      </c>
      <c r="Y33" s="108" t="s">
        <v>503</v>
      </c>
      <c r="Z33" s="108" t="s">
        <v>503</v>
      </c>
      <c r="AA33" s="108" t="s">
        <v>503</v>
      </c>
      <c r="AB33" s="108" t="s">
        <v>503</v>
      </c>
      <c r="AC33" s="108" t="s">
        <v>503</v>
      </c>
      <c r="AD33" s="108" t="s">
        <v>503</v>
      </c>
      <c r="AE33" s="108" t="s">
        <v>503</v>
      </c>
      <c r="AF33" s="108" t="s">
        <v>503</v>
      </c>
      <c r="AG33" s="108" t="s">
        <v>503</v>
      </c>
      <c r="AH33" s="108" t="s">
        <v>503</v>
      </c>
      <c r="AI33" s="108" t="s">
        <v>503</v>
      </c>
      <c r="AJ33" s="108" t="s">
        <v>503</v>
      </c>
      <c r="AK33" s="108" t="s">
        <v>503</v>
      </c>
      <c r="AL33" s="108" t="s">
        <v>503</v>
      </c>
      <c r="AM33" s="108" t="s">
        <v>503</v>
      </c>
      <c r="AN33" s="108" t="s">
        <v>503</v>
      </c>
      <c r="AO33" s="108" t="s">
        <v>503</v>
      </c>
      <c r="AP33" s="108" t="s">
        <v>503</v>
      </c>
      <c r="AQ33" s="108" t="s">
        <v>503</v>
      </c>
      <c r="AR33" s="108" t="s">
        <v>503</v>
      </c>
      <c r="AS33" s="108" t="s">
        <v>503</v>
      </c>
      <c r="AT33" s="108" t="s">
        <v>503</v>
      </c>
      <c r="AU33" s="108" t="s">
        <v>503</v>
      </c>
      <c r="AV33" s="108" t="s">
        <v>503</v>
      </c>
      <c r="AW33" s="108" t="s">
        <v>503</v>
      </c>
      <c r="AX33" s="108" t="s">
        <v>503</v>
      </c>
      <c r="AY33" s="108" t="s">
        <v>503</v>
      </c>
      <c r="AZ33" s="108" t="s">
        <v>503</v>
      </c>
      <c r="BA33" s="108" t="s">
        <v>503</v>
      </c>
      <c r="BB33" s="108" t="s">
        <v>503</v>
      </c>
      <c r="BC33" s="108" t="s">
        <v>503</v>
      </c>
      <c r="BD33" s="108" t="s">
        <v>503</v>
      </c>
      <c r="BE33" s="108" t="s">
        <v>503</v>
      </c>
      <c r="BF33" s="108" t="s">
        <v>503</v>
      </c>
      <c r="BG33" s="108" t="s">
        <v>503</v>
      </c>
      <c r="BH33" s="108" t="s">
        <v>503</v>
      </c>
      <c r="BI33" s="108" t="s">
        <v>503</v>
      </c>
      <c r="BJ33" s="108" t="s">
        <v>503</v>
      </c>
      <c r="BK33" s="108" t="s">
        <v>503</v>
      </c>
      <c r="BL33" s="108" t="s">
        <v>503</v>
      </c>
      <c r="BM33" s="108" t="s">
        <v>503</v>
      </c>
      <c r="BN33" s="108" t="s">
        <v>503</v>
      </c>
      <c r="BO33" s="108" t="s">
        <v>503</v>
      </c>
      <c r="BP33" s="108" t="s">
        <v>503</v>
      </c>
      <c r="BQ33" s="108" t="s">
        <v>503</v>
      </c>
      <c r="BR33" s="108" t="s">
        <v>503</v>
      </c>
      <c r="BS33" s="108" t="s">
        <v>503</v>
      </c>
      <c r="BT33" s="108" t="s">
        <v>503</v>
      </c>
      <c r="BU33" s="108" t="s">
        <v>503</v>
      </c>
      <c r="BV33" s="108" t="s">
        <v>503</v>
      </c>
      <c r="BW33" s="163">
        <v>50420.168067226892</v>
      </c>
      <c r="BX33" s="159">
        <f t="shared" si="13"/>
        <v>9579.8319327731097</v>
      </c>
      <c r="BY33" s="47">
        <f t="shared" si="14"/>
        <v>60000</v>
      </c>
      <c r="BZ33" s="108" t="s">
        <v>503</v>
      </c>
      <c r="CA33" s="108" t="s">
        <v>503</v>
      </c>
      <c r="CB33" s="108" t="s">
        <v>503</v>
      </c>
      <c r="CC33" s="108" t="s">
        <v>503</v>
      </c>
      <c r="CD33" s="108" t="s">
        <v>503</v>
      </c>
      <c r="CE33" s="108" t="s">
        <v>503</v>
      </c>
      <c r="CF33" s="108" t="s">
        <v>503</v>
      </c>
      <c r="CG33" s="108" t="s">
        <v>503</v>
      </c>
      <c r="CH33" s="108" t="s">
        <v>503</v>
      </c>
      <c r="CI33" s="108" t="s">
        <v>503</v>
      </c>
      <c r="CJ33" s="108" t="s">
        <v>503</v>
      </c>
      <c r="CK33" s="108" t="s">
        <v>503</v>
      </c>
      <c r="CL33" s="108" t="s">
        <v>503</v>
      </c>
      <c r="CM33" s="108" t="s">
        <v>503</v>
      </c>
      <c r="CN33" s="108" t="s">
        <v>503</v>
      </c>
      <c r="CO33" s="56">
        <v>41512</v>
      </c>
      <c r="CP33" s="119">
        <f t="shared" si="19"/>
        <v>7887.28</v>
      </c>
      <c r="CQ33" s="47">
        <f t="shared" si="20"/>
        <v>49399.28</v>
      </c>
      <c r="CR33" s="108" t="s">
        <v>503</v>
      </c>
      <c r="CS33" s="108" t="s">
        <v>503</v>
      </c>
      <c r="CT33" s="108" t="s">
        <v>503</v>
      </c>
      <c r="CU33" s="108" t="s">
        <v>503</v>
      </c>
      <c r="CV33" s="108" t="s">
        <v>503</v>
      </c>
      <c r="CW33" s="108" t="s">
        <v>503</v>
      </c>
      <c r="CX33" s="108" t="s">
        <v>503</v>
      </c>
      <c r="CY33" s="108" t="s">
        <v>503</v>
      </c>
      <c r="CZ33" s="108" t="s">
        <v>503</v>
      </c>
      <c r="DA33" s="108" t="s">
        <v>503</v>
      </c>
      <c r="DB33" s="108" t="s">
        <v>503</v>
      </c>
      <c r="DC33" s="108" t="s">
        <v>503</v>
      </c>
      <c r="DD33" s="108" t="s">
        <v>503</v>
      </c>
      <c r="DE33" s="108" t="s">
        <v>503</v>
      </c>
      <c r="DF33" s="108" t="s">
        <v>503</v>
      </c>
      <c r="DG33" s="108" t="s">
        <v>503</v>
      </c>
      <c r="DH33" s="108" t="s">
        <v>503</v>
      </c>
      <c r="DI33" s="108" t="s">
        <v>503</v>
      </c>
      <c r="DJ33" s="108" t="s">
        <v>503</v>
      </c>
      <c r="DK33" s="108" t="s">
        <v>503</v>
      </c>
      <c r="DL33" s="108" t="s">
        <v>503</v>
      </c>
      <c r="DM33" s="118" t="s">
        <v>502</v>
      </c>
      <c r="DN33" s="118" t="s">
        <v>502</v>
      </c>
      <c r="DO33" s="118" t="s">
        <v>502</v>
      </c>
      <c r="DP33" s="108" t="s">
        <v>669</v>
      </c>
      <c r="DQ33" s="108" t="s">
        <v>669</v>
      </c>
      <c r="DR33" s="108" t="s">
        <v>669</v>
      </c>
      <c r="DS33" s="108" t="s">
        <v>669</v>
      </c>
      <c r="DT33" s="108" t="s">
        <v>669</v>
      </c>
      <c r="DU33" s="108" t="s">
        <v>669</v>
      </c>
      <c r="DV33" s="108" t="s">
        <v>669</v>
      </c>
      <c r="DW33" s="108" t="s">
        <v>669</v>
      </c>
      <c r="DX33" s="108" t="s">
        <v>669</v>
      </c>
      <c r="DY33" s="108" t="s">
        <v>503</v>
      </c>
      <c r="DZ33" s="108" t="s">
        <v>503</v>
      </c>
      <c r="EA33" s="108" t="s">
        <v>503</v>
      </c>
      <c r="EB33" s="108" t="s">
        <v>503</v>
      </c>
      <c r="EC33" s="108" t="s">
        <v>503</v>
      </c>
      <c r="ED33" s="108" t="s">
        <v>503</v>
      </c>
      <c r="EE33" s="108" t="s">
        <v>503</v>
      </c>
      <c r="EF33" s="108" t="s">
        <v>503</v>
      </c>
      <c r="EG33" s="108" t="s">
        <v>503</v>
      </c>
      <c r="EH33" s="108" t="s">
        <v>503</v>
      </c>
      <c r="EI33" s="108" t="s">
        <v>503</v>
      </c>
      <c r="EJ33" s="108" t="s">
        <v>503</v>
      </c>
      <c r="EK33" s="108" t="s">
        <v>503</v>
      </c>
      <c r="EL33" s="108" t="s">
        <v>503</v>
      </c>
      <c r="EM33" s="108" t="s">
        <v>503</v>
      </c>
      <c r="EN33" s="108" t="s">
        <v>503</v>
      </c>
      <c r="EO33" s="108" t="s">
        <v>503</v>
      </c>
      <c r="EP33" s="108" t="s">
        <v>503</v>
      </c>
      <c r="EQ33" s="108" t="s">
        <v>503</v>
      </c>
      <c r="ER33" s="108" t="s">
        <v>503</v>
      </c>
      <c r="ES33" s="108" t="s">
        <v>503</v>
      </c>
      <c r="ET33" s="108" t="s">
        <v>503</v>
      </c>
      <c r="EU33" s="108" t="s">
        <v>503</v>
      </c>
      <c r="EV33" s="108" t="s">
        <v>503</v>
      </c>
      <c r="EW33" s="108" t="s">
        <v>503</v>
      </c>
      <c r="EX33" s="108" t="s">
        <v>503</v>
      </c>
      <c r="EY33" s="108" t="s">
        <v>503</v>
      </c>
      <c r="EZ33" s="108" t="s">
        <v>503</v>
      </c>
      <c r="FA33" s="108" t="s">
        <v>503</v>
      </c>
      <c r="FB33" s="108" t="s">
        <v>503</v>
      </c>
      <c r="FC33" s="108" t="s">
        <v>503</v>
      </c>
      <c r="FD33" s="108" t="s">
        <v>503</v>
      </c>
      <c r="FE33" s="108" t="s">
        <v>503</v>
      </c>
      <c r="FF33" s="108" t="s">
        <v>503</v>
      </c>
      <c r="FG33" s="108" t="s">
        <v>503</v>
      </c>
      <c r="FH33" s="108" t="s">
        <v>503</v>
      </c>
      <c r="FI33" s="108" t="s">
        <v>503</v>
      </c>
      <c r="FJ33" s="108" t="s">
        <v>503</v>
      </c>
      <c r="FK33" s="108" t="s">
        <v>503</v>
      </c>
      <c r="FL33" s="108" t="s">
        <v>503</v>
      </c>
      <c r="FM33" s="108" t="s">
        <v>503</v>
      </c>
      <c r="FN33" s="108" t="s">
        <v>503</v>
      </c>
      <c r="FO33" s="108" t="s">
        <v>503</v>
      </c>
      <c r="FP33" s="108" t="s">
        <v>503</v>
      </c>
      <c r="FQ33" s="108" t="s">
        <v>503</v>
      </c>
      <c r="FR33" s="108" t="s">
        <v>503</v>
      </c>
      <c r="FS33" s="108" t="s">
        <v>503</v>
      </c>
      <c r="FT33" s="108" t="s">
        <v>503</v>
      </c>
      <c r="FU33" s="108" t="s">
        <v>503</v>
      </c>
      <c r="FV33" s="108" t="s">
        <v>503</v>
      </c>
      <c r="FW33" s="108" t="s">
        <v>503</v>
      </c>
      <c r="FX33" s="108" t="s">
        <v>502</v>
      </c>
      <c r="FY33" s="108" t="s">
        <v>502</v>
      </c>
      <c r="FZ33" s="108" t="s">
        <v>502</v>
      </c>
      <c r="GA33" s="108" t="s">
        <v>503</v>
      </c>
      <c r="GB33" s="108" t="s">
        <v>503</v>
      </c>
      <c r="GC33" s="108" t="s">
        <v>503</v>
      </c>
      <c r="GD33" s="108" t="s">
        <v>503</v>
      </c>
      <c r="GE33" s="108" t="s">
        <v>503</v>
      </c>
      <c r="GF33" s="108" t="s">
        <v>503</v>
      </c>
      <c r="GG33" s="108" t="s">
        <v>503</v>
      </c>
      <c r="GH33" s="108" t="s">
        <v>503</v>
      </c>
      <c r="GI33" s="108" t="s">
        <v>503</v>
      </c>
      <c r="GJ33" s="108" t="s">
        <v>503</v>
      </c>
      <c r="GK33" s="108" t="s">
        <v>503</v>
      </c>
      <c r="GL33" s="108" t="s">
        <v>503</v>
      </c>
      <c r="GM33" s="108" t="s">
        <v>503</v>
      </c>
      <c r="GN33" s="108" t="s">
        <v>503</v>
      </c>
      <c r="GO33" s="108" t="s">
        <v>503</v>
      </c>
      <c r="GP33" s="108" t="s">
        <v>502</v>
      </c>
      <c r="GQ33" s="108" t="s">
        <v>502</v>
      </c>
      <c r="GR33" s="108" t="s">
        <v>502</v>
      </c>
      <c r="GS33" s="108" t="s">
        <v>664</v>
      </c>
      <c r="GT33" s="108" t="s">
        <v>664</v>
      </c>
      <c r="GU33" s="108" t="s">
        <v>664</v>
      </c>
      <c r="GV33" s="108" t="s">
        <v>664</v>
      </c>
      <c r="GW33" s="108" t="s">
        <v>664</v>
      </c>
      <c r="GX33" s="108" t="s">
        <v>664</v>
      </c>
      <c r="GY33" s="108" t="s">
        <v>664</v>
      </c>
      <c r="GZ33" s="108" t="s">
        <v>664</v>
      </c>
      <c r="HA33" s="108" t="s">
        <v>664</v>
      </c>
      <c r="HB33" s="108" t="s">
        <v>664</v>
      </c>
      <c r="HC33" s="108" t="s">
        <v>664</v>
      </c>
      <c r="HD33" s="108" t="s">
        <v>664</v>
      </c>
      <c r="HE33" s="108" t="s">
        <v>664</v>
      </c>
      <c r="HF33" s="108" t="s">
        <v>664</v>
      </c>
      <c r="HG33" s="108" t="s">
        <v>664</v>
      </c>
      <c r="HH33" s="108" t="s">
        <v>664</v>
      </c>
      <c r="HI33" s="108" t="s">
        <v>664</v>
      </c>
      <c r="HJ33" s="108" t="s">
        <v>664</v>
      </c>
      <c r="HK33" s="108" t="s">
        <v>664</v>
      </c>
      <c r="HL33" s="108" t="s">
        <v>664</v>
      </c>
      <c r="HM33" s="108" t="s">
        <v>664</v>
      </c>
      <c r="HN33" s="108" t="s">
        <v>664</v>
      </c>
      <c r="HO33" s="108" t="s">
        <v>664</v>
      </c>
      <c r="HP33" s="108" t="s">
        <v>664</v>
      </c>
      <c r="HQ33" s="108" t="s">
        <v>664</v>
      </c>
      <c r="HR33" s="108" t="s">
        <v>664</v>
      </c>
      <c r="HS33" s="108" t="s">
        <v>664</v>
      </c>
      <c r="HT33" s="108" t="s">
        <v>664</v>
      </c>
      <c r="HU33" s="108" t="s">
        <v>664</v>
      </c>
      <c r="HV33" s="108" t="s">
        <v>664</v>
      </c>
      <c r="HW33" s="108" t="s">
        <v>664</v>
      </c>
      <c r="HX33" s="108" t="s">
        <v>664</v>
      </c>
      <c r="HY33" s="108" t="s">
        <v>664</v>
      </c>
      <c r="HZ33" s="108" t="s">
        <v>664</v>
      </c>
      <c r="IA33" s="108" t="s">
        <v>664</v>
      </c>
      <c r="IB33" s="108" t="s">
        <v>664</v>
      </c>
      <c r="IC33" s="108" t="s">
        <v>664</v>
      </c>
      <c r="ID33" s="108" t="s">
        <v>664</v>
      </c>
      <c r="IE33" s="108" t="s">
        <v>664</v>
      </c>
      <c r="IF33" s="108" t="s">
        <v>664</v>
      </c>
      <c r="IG33" s="108" t="s">
        <v>664</v>
      </c>
      <c r="IH33" s="108" t="s">
        <v>664</v>
      </c>
      <c r="II33" s="108" t="s">
        <v>664</v>
      </c>
      <c r="IJ33" s="108" t="s">
        <v>664</v>
      </c>
      <c r="IK33" s="108" t="s">
        <v>664</v>
      </c>
      <c r="IL33" s="108" t="s">
        <v>664</v>
      </c>
      <c r="IM33" s="108" t="s">
        <v>664</v>
      </c>
      <c r="IN33" s="108" t="s">
        <v>664</v>
      </c>
      <c r="IO33" s="120" t="s">
        <v>503</v>
      </c>
      <c r="IP33" s="120" t="s">
        <v>503</v>
      </c>
      <c r="IQ33" s="120" t="s">
        <v>503</v>
      </c>
      <c r="IR33" s="120" t="s">
        <v>664</v>
      </c>
      <c r="IS33" s="120" t="s">
        <v>664</v>
      </c>
      <c r="IT33" s="120" t="s">
        <v>664</v>
      </c>
      <c r="IU33" s="120" t="s">
        <v>503</v>
      </c>
      <c r="IV33" s="120" t="s">
        <v>503</v>
      </c>
      <c r="IW33" s="120" t="s">
        <v>503</v>
      </c>
      <c r="IX33" s="120" t="s">
        <v>503</v>
      </c>
      <c r="IY33" s="120" t="s">
        <v>503</v>
      </c>
      <c r="IZ33" s="120" t="s">
        <v>503</v>
      </c>
      <c r="JA33" s="120" t="s">
        <v>503</v>
      </c>
      <c r="JB33" s="120" t="s">
        <v>503</v>
      </c>
      <c r="JC33" s="120" t="s">
        <v>503</v>
      </c>
      <c r="JD33" s="108" t="s">
        <v>502</v>
      </c>
      <c r="JE33" s="108" t="s">
        <v>502</v>
      </c>
      <c r="JF33" s="108" t="s">
        <v>502</v>
      </c>
      <c r="JG33" s="120" t="s">
        <v>664</v>
      </c>
      <c r="JH33" s="120" t="s">
        <v>664</v>
      </c>
      <c r="JI33" s="120" t="s">
        <v>664</v>
      </c>
      <c r="JJ33" s="120" t="s">
        <v>664</v>
      </c>
      <c r="JK33" s="120" t="s">
        <v>664</v>
      </c>
      <c r="JL33" s="120" t="s">
        <v>664</v>
      </c>
      <c r="JM33" s="120" t="s">
        <v>664</v>
      </c>
      <c r="JN33" s="120" t="s">
        <v>664</v>
      </c>
      <c r="JO33" s="120" t="s">
        <v>664</v>
      </c>
      <c r="JP33" s="110">
        <v>22700</v>
      </c>
      <c r="JQ33" s="111">
        <v>27121.357088000001</v>
      </c>
      <c r="JR33" s="112">
        <f t="shared" si="0"/>
        <v>2</v>
      </c>
      <c r="JS33" s="113">
        <f t="shared" si="1"/>
        <v>54699.64</v>
      </c>
      <c r="JT33" s="114">
        <f t="shared" si="2"/>
        <v>54700</v>
      </c>
      <c r="JU33" s="134"/>
    </row>
    <row r="34" spans="1:281" ht="101.25" customHeight="1" x14ac:dyDescent="0.2">
      <c r="A34" s="98">
        <v>128</v>
      </c>
      <c r="B34" s="99">
        <v>128</v>
      </c>
      <c r="C34" s="39" t="s">
        <v>674</v>
      </c>
      <c r="D34" s="100" t="s">
        <v>256</v>
      </c>
      <c r="E34" s="39">
        <v>27112700</v>
      </c>
      <c r="F34" s="101" t="s">
        <v>257</v>
      </c>
      <c r="G34" s="102" t="s">
        <v>86</v>
      </c>
      <c r="H34" s="103" t="s">
        <v>501</v>
      </c>
      <c r="I34" s="108" t="s">
        <v>503</v>
      </c>
      <c r="J34" s="108" t="s">
        <v>503</v>
      </c>
      <c r="K34" s="108" t="s">
        <v>503</v>
      </c>
      <c r="L34" s="108" t="s">
        <v>503</v>
      </c>
      <c r="M34" s="108" t="s">
        <v>503</v>
      </c>
      <c r="N34" s="108" t="s">
        <v>503</v>
      </c>
      <c r="O34" s="108" t="s">
        <v>503</v>
      </c>
      <c r="P34" s="108" t="s">
        <v>503</v>
      </c>
      <c r="Q34" s="108" t="s">
        <v>503</v>
      </c>
      <c r="R34" s="108" t="s">
        <v>503</v>
      </c>
      <c r="S34" s="108" t="s">
        <v>503</v>
      </c>
      <c r="T34" s="108" t="s">
        <v>503</v>
      </c>
      <c r="U34" s="108" t="s">
        <v>503</v>
      </c>
      <c r="V34" s="108" t="s">
        <v>503</v>
      </c>
      <c r="W34" s="108" t="s">
        <v>503</v>
      </c>
      <c r="X34" s="108" t="s">
        <v>503</v>
      </c>
      <c r="Y34" s="108" t="s">
        <v>503</v>
      </c>
      <c r="Z34" s="108" t="s">
        <v>503</v>
      </c>
      <c r="AA34" s="108" t="s">
        <v>503</v>
      </c>
      <c r="AB34" s="108" t="s">
        <v>503</v>
      </c>
      <c r="AC34" s="108" t="s">
        <v>503</v>
      </c>
      <c r="AD34" s="108" t="s">
        <v>503</v>
      </c>
      <c r="AE34" s="108" t="s">
        <v>503</v>
      </c>
      <c r="AF34" s="108" t="s">
        <v>503</v>
      </c>
      <c r="AG34" s="108" t="s">
        <v>503</v>
      </c>
      <c r="AH34" s="108" t="s">
        <v>503</v>
      </c>
      <c r="AI34" s="108" t="s">
        <v>503</v>
      </c>
      <c r="AJ34" s="108" t="s">
        <v>503</v>
      </c>
      <c r="AK34" s="108" t="s">
        <v>503</v>
      </c>
      <c r="AL34" s="108" t="s">
        <v>503</v>
      </c>
      <c r="AM34" s="108" t="s">
        <v>503</v>
      </c>
      <c r="AN34" s="108" t="s">
        <v>503</v>
      </c>
      <c r="AO34" s="108" t="s">
        <v>503</v>
      </c>
      <c r="AP34" s="108" t="s">
        <v>503</v>
      </c>
      <c r="AQ34" s="108" t="s">
        <v>503</v>
      </c>
      <c r="AR34" s="108" t="s">
        <v>503</v>
      </c>
      <c r="AS34" s="108" t="s">
        <v>503</v>
      </c>
      <c r="AT34" s="108" t="s">
        <v>503</v>
      </c>
      <c r="AU34" s="108" t="s">
        <v>503</v>
      </c>
      <c r="AV34" s="108" t="s">
        <v>503</v>
      </c>
      <c r="AW34" s="108" t="s">
        <v>503</v>
      </c>
      <c r="AX34" s="108" t="s">
        <v>503</v>
      </c>
      <c r="AY34" s="108" t="s">
        <v>503</v>
      </c>
      <c r="AZ34" s="108" t="s">
        <v>503</v>
      </c>
      <c r="BA34" s="108" t="s">
        <v>503</v>
      </c>
      <c r="BB34" s="108" t="s">
        <v>503</v>
      </c>
      <c r="BC34" s="108" t="s">
        <v>503</v>
      </c>
      <c r="BD34" s="108" t="s">
        <v>503</v>
      </c>
      <c r="BE34" s="108" t="s">
        <v>503</v>
      </c>
      <c r="BF34" s="108" t="s">
        <v>503</v>
      </c>
      <c r="BG34" s="108" t="s">
        <v>503</v>
      </c>
      <c r="BH34" s="108" t="s">
        <v>503</v>
      </c>
      <c r="BI34" s="108" t="s">
        <v>503</v>
      </c>
      <c r="BJ34" s="108" t="s">
        <v>503</v>
      </c>
      <c r="BK34" s="108" t="s">
        <v>503</v>
      </c>
      <c r="BL34" s="108" t="s">
        <v>503</v>
      </c>
      <c r="BM34" s="108" t="s">
        <v>503</v>
      </c>
      <c r="BN34" s="108" t="s">
        <v>503</v>
      </c>
      <c r="BO34" s="108" t="s">
        <v>503</v>
      </c>
      <c r="BP34" s="108" t="s">
        <v>503</v>
      </c>
      <c r="BQ34" s="108" t="s">
        <v>503</v>
      </c>
      <c r="BR34" s="108" t="s">
        <v>503</v>
      </c>
      <c r="BS34" s="108" t="s">
        <v>503</v>
      </c>
      <c r="BT34" s="108" t="s">
        <v>503</v>
      </c>
      <c r="BU34" s="108" t="s">
        <v>503</v>
      </c>
      <c r="BV34" s="108" t="s">
        <v>503</v>
      </c>
      <c r="BW34" s="77">
        <v>52380.952380952382</v>
      </c>
      <c r="BX34" s="119">
        <f t="shared" ref="BX34:BX35" si="21">+BW34*5%</f>
        <v>2619.0476190476193</v>
      </c>
      <c r="BY34" s="118">
        <f t="shared" si="14"/>
        <v>55000</v>
      </c>
      <c r="BZ34" s="108" t="s">
        <v>503</v>
      </c>
      <c r="CA34" s="108" t="s">
        <v>503</v>
      </c>
      <c r="CB34" s="108" t="s">
        <v>503</v>
      </c>
      <c r="CC34" s="108" t="s">
        <v>503</v>
      </c>
      <c r="CD34" s="108" t="s">
        <v>503</v>
      </c>
      <c r="CE34" s="108" t="s">
        <v>503</v>
      </c>
      <c r="CF34" s="108" t="s">
        <v>503</v>
      </c>
      <c r="CG34" s="108" t="s">
        <v>503</v>
      </c>
      <c r="CH34" s="108" t="s">
        <v>503</v>
      </c>
      <c r="CI34" s="56">
        <v>40587.142857142862</v>
      </c>
      <c r="CJ34" s="119">
        <f t="shared" si="15"/>
        <v>7711.5571428571438</v>
      </c>
      <c r="CK34" s="118">
        <f>+CI34+CJ34</f>
        <v>48298.700000000004</v>
      </c>
      <c r="CL34" s="56">
        <v>38700</v>
      </c>
      <c r="CM34" s="119">
        <f t="shared" si="16"/>
        <v>7353</v>
      </c>
      <c r="CN34" s="118">
        <f t="shared" si="17"/>
        <v>46053</v>
      </c>
      <c r="CO34" s="108" t="s">
        <v>503</v>
      </c>
      <c r="CP34" s="108" t="s">
        <v>503</v>
      </c>
      <c r="CQ34" s="108" t="s">
        <v>503</v>
      </c>
      <c r="CR34" s="108" t="s">
        <v>503</v>
      </c>
      <c r="CS34" s="108" t="s">
        <v>503</v>
      </c>
      <c r="CT34" s="108" t="s">
        <v>503</v>
      </c>
      <c r="CU34" s="108" t="s">
        <v>503</v>
      </c>
      <c r="CV34" s="108" t="s">
        <v>503</v>
      </c>
      <c r="CW34" s="108" t="s">
        <v>503</v>
      </c>
      <c r="CX34" s="108" t="s">
        <v>503</v>
      </c>
      <c r="CY34" s="108" t="s">
        <v>503</v>
      </c>
      <c r="CZ34" s="108" t="s">
        <v>503</v>
      </c>
      <c r="DA34" s="108" t="s">
        <v>503</v>
      </c>
      <c r="DB34" s="108" t="s">
        <v>503</v>
      </c>
      <c r="DC34" s="108" t="s">
        <v>503</v>
      </c>
      <c r="DD34" s="108" t="s">
        <v>503</v>
      </c>
      <c r="DE34" s="108" t="s">
        <v>503</v>
      </c>
      <c r="DF34" s="108" t="s">
        <v>503</v>
      </c>
      <c r="DG34" s="108" t="s">
        <v>503</v>
      </c>
      <c r="DH34" s="108" t="s">
        <v>503</v>
      </c>
      <c r="DI34" s="108" t="s">
        <v>503</v>
      </c>
      <c r="DJ34" s="108" t="s">
        <v>503</v>
      </c>
      <c r="DK34" s="108" t="s">
        <v>503</v>
      </c>
      <c r="DL34" s="108" t="s">
        <v>503</v>
      </c>
      <c r="DM34" s="118" t="s">
        <v>502</v>
      </c>
      <c r="DN34" s="118" t="s">
        <v>502</v>
      </c>
      <c r="DO34" s="118" t="s">
        <v>502</v>
      </c>
      <c r="DP34" s="108" t="s">
        <v>669</v>
      </c>
      <c r="DQ34" s="108" t="s">
        <v>669</v>
      </c>
      <c r="DR34" s="108" t="s">
        <v>669</v>
      </c>
      <c r="DS34" s="108" t="s">
        <v>669</v>
      </c>
      <c r="DT34" s="108" t="s">
        <v>669</v>
      </c>
      <c r="DU34" s="108" t="s">
        <v>669</v>
      </c>
      <c r="DV34" s="108" t="s">
        <v>669</v>
      </c>
      <c r="DW34" s="108" t="s">
        <v>669</v>
      </c>
      <c r="DX34" s="108" t="s">
        <v>669</v>
      </c>
      <c r="DY34" s="108" t="s">
        <v>503</v>
      </c>
      <c r="DZ34" s="108" t="s">
        <v>503</v>
      </c>
      <c r="EA34" s="108" t="s">
        <v>503</v>
      </c>
      <c r="EB34" s="108" t="s">
        <v>503</v>
      </c>
      <c r="EC34" s="108" t="s">
        <v>503</v>
      </c>
      <c r="ED34" s="108" t="s">
        <v>503</v>
      </c>
      <c r="EE34" s="108" t="s">
        <v>503</v>
      </c>
      <c r="EF34" s="108" t="s">
        <v>503</v>
      </c>
      <c r="EG34" s="108" t="s">
        <v>503</v>
      </c>
      <c r="EH34" s="108" t="s">
        <v>503</v>
      </c>
      <c r="EI34" s="108" t="s">
        <v>503</v>
      </c>
      <c r="EJ34" s="108" t="s">
        <v>503</v>
      </c>
      <c r="EK34" s="108" t="s">
        <v>503</v>
      </c>
      <c r="EL34" s="108" t="s">
        <v>503</v>
      </c>
      <c r="EM34" s="108" t="s">
        <v>503</v>
      </c>
      <c r="EN34" s="108" t="s">
        <v>503</v>
      </c>
      <c r="EO34" s="108" t="s">
        <v>503</v>
      </c>
      <c r="EP34" s="108" t="s">
        <v>503</v>
      </c>
      <c r="EQ34" s="108" t="s">
        <v>503</v>
      </c>
      <c r="ER34" s="108" t="s">
        <v>503</v>
      </c>
      <c r="ES34" s="108" t="s">
        <v>503</v>
      </c>
      <c r="ET34" s="108" t="s">
        <v>503</v>
      </c>
      <c r="EU34" s="108" t="s">
        <v>503</v>
      </c>
      <c r="EV34" s="108" t="s">
        <v>503</v>
      </c>
      <c r="EW34" s="108" t="s">
        <v>503</v>
      </c>
      <c r="EX34" s="108" t="s">
        <v>503</v>
      </c>
      <c r="EY34" s="108" t="s">
        <v>503</v>
      </c>
      <c r="EZ34" s="108" t="s">
        <v>503</v>
      </c>
      <c r="FA34" s="108" t="s">
        <v>503</v>
      </c>
      <c r="FB34" s="108" t="s">
        <v>503</v>
      </c>
      <c r="FC34" s="108" t="s">
        <v>503</v>
      </c>
      <c r="FD34" s="108" t="s">
        <v>503</v>
      </c>
      <c r="FE34" s="108" t="s">
        <v>503</v>
      </c>
      <c r="FF34" s="108" t="s">
        <v>503</v>
      </c>
      <c r="FG34" s="108" t="s">
        <v>503</v>
      </c>
      <c r="FH34" s="108" t="s">
        <v>503</v>
      </c>
      <c r="FI34" s="108" t="s">
        <v>503</v>
      </c>
      <c r="FJ34" s="108" t="s">
        <v>503</v>
      </c>
      <c r="FK34" s="108" t="s">
        <v>503</v>
      </c>
      <c r="FL34" s="108" t="s">
        <v>503</v>
      </c>
      <c r="FM34" s="108" t="s">
        <v>503</v>
      </c>
      <c r="FN34" s="108" t="s">
        <v>503</v>
      </c>
      <c r="FO34" s="108" t="s">
        <v>503</v>
      </c>
      <c r="FP34" s="108" t="s">
        <v>503</v>
      </c>
      <c r="FQ34" s="108" t="s">
        <v>503</v>
      </c>
      <c r="FR34" s="108" t="s">
        <v>503</v>
      </c>
      <c r="FS34" s="108" t="s">
        <v>503</v>
      </c>
      <c r="FT34" s="108" t="s">
        <v>503</v>
      </c>
      <c r="FU34" s="108" t="s">
        <v>503</v>
      </c>
      <c r="FV34" s="108" t="s">
        <v>503</v>
      </c>
      <c r="FW34" s="108" t="s">
        <v>503</v>
      </c>
      <c r="FX34" s="108" t="s">
        <v>502</v>
      </c>
      <c r="FY34" s="108" t="s">
        <v>502</v>
      </c>
      <c r="FZ34" s="108" t="s">
        <v>502</v>
      </c>
      <c r="GA34" s="108" t="s">
        <v>503</v>
      </c>
      <c r="GB34" s="108" t="s">
        <v>503</v>
      </c>
      <c r="GC34" s="108" t="s">
        <v>503</v>
      </c>
      <c r="GD34" s="108" t="s">
        <v>503</v>
      </c>
      <c r="GE34" s="108" t="s">
        <v>503</v>
      </c>
      <c r="GF34" s="108" t="s">
        <v>503</v>
      </c>
      <c r="GG34" s="108" t="s">
        <v>503</v>
      </c>
      <c r="GH34" s="108" t="s">
        <v>503</v>
      </c>
      <c r="GI34" s="108" t="s">
        <v>503</v>
      </c>
      <c r="GJ34" s="108" t="s">
        <v>503</v>
      </c>
      <c r="GK34" s="108" t="s">
        <v>503</v>
      </c>
      <c r="GL34" s="108" t="s">
        <v>503</v>
      </c>
      <c r="GM34" s="108" t="s">
        <v>503</v>
      </c>
      <c r="GN34" s="108" t="s">
        <v>503</v>
      </c>
      <c r="GO34" s="108" t="s">
        <v>503</v>
      </c>
      <c r="GP34" s="108" t="s">
        <v>502</v>
      </c>
      <c r="GQ34" s="108" t="s">
        <v>502</v>
      </c>
      <c r="GR34" s="108" t="s">
        <v>502</v>
      </c>
      <c r="GS34" s="108" t="s">
        <v>664</v>
      </c>
      <c r="GT34" s="108" t="s">
        <v>664</v>
      </c>
      <c r="GU34" s="108" t="s">
        <v>664</v>
      </c>
      <c r="GV34" s="108" t="s">
        <v>664</v>
      </c>
      <c r="GW34" s="108" t="s">
        <v>664</v>
      </c>
      <c r="GX34" s="108" t="s">
        <v>664</v>
      </c>
      <c r="GY34" s="71">
        <v>45349</v>
      </c>
      <c r="GZ34" s="71">
        <v>0</v>
      </c>
      <c r="HA34" s="71">
        <f>GZ34+GY34</f>
        <v>45349</v>
      </c>
      <c r="HB34" s="108" t="s">
        <v>664</v>
      </c>
      <c r="HC34" s="108" t="s">
        <v>664</v>
      </c>
      <c r="HD34" s="108" t="s">
        <v>664</v>
      </c>
      <c r="HE34" s="108" t="s">
        <v>664</v>
      </c>
      <c r="HF34" s="108" t="s">
        <v>664</v>
      </c>
      <c r="HG34" s="108" t="s">
        <v>664</v>
      </c>
      <c r="HH34" s="108" t="s">
        <v>664</v>
      </c>
      <c r="HI34" s="108" t="s">
        <v>664</v>
      </c>
      <c r="HJ34" s="108" t="s">
        <v>664</v>
      </c>
      <c r="HK34" s="108" t="s">
        <v>664</v>
      </c>
      <c r="HL34" s="108" t="s">
        <v>664</v>
      </c>
      <c r="HM34" s="108" t="s">
        <v>664</v>
      </c>
      <c r="HN34" s="108" t="s">
        <v>664</v>
      </c>
      <c r="HO34" s="108" t="s">
        <v>664</v>
      </c>
      <c r="HP34" s="108" t="s">
        <v>664</v>
      </c>
      <c r="HQ34" s="108" t="s">
        <v>664</v>
      </c>
      <c r="HR34" s="108" t="s">
        <v>664</v>
      </c>
      <c r="HS34" s="108" t="s">
        <v>664</v>
      </c>
      <c r="HT34" s="108" t="s">
        <v>664</v>
      </c>
      <c r="HU34" s="108" t="s">
        <v>664</v>
      </c>
      <c r="HV34" s="108" t="s">
        <v>664</v>
      </c>
      <c r="HW34" s="108" t="s">
        <v>664</v>
      </c>
      <c r="HX34" s="108" t="s">
        <v>664</v>
      </c>
      <c r="HY34" s="108" t="s">
        <v>664</v>
      </c>
      <c r="HZ34" s="108" t="s">
        <v>664</v>
      </c>
      <c r="IA34" s="108" t="s">
        <v>664</v>
      </c>
      <c r="IB34" s="108" t="s">
        <v>664</v>
      </c>
      <c r="IC34" s="108" t="s">
        <v>664</v>
      </c>
      <c r="ID34" s="108" t="s">
        <v>664</v>
      </c>
      <c r="IE34" s="108" t="s">
        <v>664</v>
      </c>
      <c r="IF34" s="108" t="s">
        <v>664</v>
      </c>
      <c r="IG34" s="108" t="s">
        <v>664</v>
      </c>
      <c r="IH34" s="108" t="s">
        <v>664</v>
      </c>
      <c r="II34" s="108" t="s">
        <v>664</v>
      </c>
      <c r="IJ34" s="108" t="s">
        <v>664</v>
      </c>
      <c r="IK34" s="108" t="s">
        <v>664</v>
      </c>
      <c r="IL34" s="108" t="s">
        <v>664</v>
      </c>
      <c r="IM34" s="108" t="s">
        <v>664</v>
      </c>
      <c r="IN34" s="108" t="s">
        <v>664</v>
      </c>
      <c r="IO34" s="120" t="s">
        <v>503</v>
      </c>
      <c r="IP34" s="120" t="s">
        <v>503</v>
      </c>
      <c r="IQ34" s="120" t="s">
        <v>503</v>
      </c>
      <c r="IR34" s="120" t="s">
        <v>664</v>
      </c>
      <c r="IS34" s="120" t="s">
        <v>664</v>
      </c>
      <c r="IT34" s="120" t="s">
        <v>664</v>
      </c>
      <c r="IU34" s="120" t="s">
        <v>503</v>
      </c>
      <c r="IV34" s="120" t="s">
        <v>503</v>
      </c>
      <c r="IW34" s="120" t="s">
        <v>503</v>
      </c>
      <c r="IX34" s="120" t="s">
        <v>503</v>
      </c>
      <c r="IY34" s="120" t="s">
        <v>503</v>
      </c>
      <c r="IZ34" s="120" t="s">
        <v>503</v>
      </c>
      <c r="JA34" s="120" t="s">
        <v>503</v>
      </c>
      <c r="JB34" s="120" t="s">
        <v>503</v>
      </c>
      <c r="JC34" s="120" t="s">
        <v>503</v>
      </c>
      <c r="JD34" s="108" t="s">
        <v>502</v>
      </c>
      <c r="JE34" s="108" t="s">
        <v>502</v>
      </c>
      <c r="JF34" s="108" t="s">
        <v>502</v>
      </c>
      <c r="JG34" s="120" t="s">
        <v>664</v>
      </c>
      <c r="JH34" s="120" t="s">
        <v>664</v>
      </c>
      <c r="JI34" s="120" t="s">
        <v>664</v>
      </c>
      <c r="JJ34" s="120" t="s">
        <v>664</v>
      </c>
      <c r="JK34" s="120" t="s">
        <v>664</v>
      </c>
      <c r="JL34" s="120" t="s">
        <v>664</v>
      </c>
      <c r="JM34" s="120" t="s">
        <v>664</v>
      </c>
      <c r="JN34" s="120" t="s">
        <v>664</v>
      </c>
      <c r="JO34" s="120" t="s">
        <v>664</v>
      </c>
      <c r="JP34" s="110">
        <v>30300</v>
      </c>
      <c r="JQ34" s="111">
        <v>36201.635232000001</v>
      </c>
      <c r="JR34" s="112">
        <f t="shared" si="0"/>
        <v>4</v>
      </c>
      <c r="JS34" s="113">
        <f t="shared" si="1"/>
        <v>48675.175000000003</v>
      </c>
      <c r="JT34" s="114">
        <f t="shared" si="2"/>
        <v>48700</v>
      </c>
      <c r="JU34" s="134"/>
    </row>
    <row r="35" spans="1:281" ht="101.25" customHeight="1" x14ac:dyDescent="0.2">
      <c r="A35" s="98">
        <v>129</v>
      </c>
      <c r="B35" s="99">
        <v>129</v>
      </c>
      <c r="C35" s="39" t="s">
        <v>674</v>
      </c>
      <c r="D35" s="100" t="s">
        <v>259</v>
      </c>
      <c r="E35" s="39">
        <v>27112700</v>
      </c>
      <c r="F35" s="101" t="s">
        <v>258</v>
      </c>
      <c r="G35" s="102" t="s">
        <v>86</v>
      </c>
      <c r="H35" s="103" t="s">
        <v>501</v>
      </c>
      <c r="I35" s="108" t="s">
        <v>503</v>
      </c>
      <c r="J35" s="108" t="s">
        <v>503</v>
      </c>
      <c r="K35" s="108" t="s">
        <v>503</v>
      </c>
      <c r="L35" s="108" t="s">
        <v>503</v>
      </c>
      <c r="M35" s="108" t="s">
        <v>503</v>
      </c>
      <c r="N35" s="108" t="s">
        <v>503</v>
      </c>
      <c r="O35" s="108" t="s">
        <v>503</v>
      </c>
      <c r="P35" s="108" t="s">
        <v>503</v>
      </c>
      <c r="Q35" s="108" t="s">
        <v>503</v>
      </c>
      <c r="R35" s="108" t="s">
        <v>503</v>
      </c>
      <c r="S35" s="108" t="s">
        <v>503</v>
      </c>
      <c r="T35" s="108" t="s">
        <v>503</v>
      </c>
      <c r="U35" s="108" t="s">
        <v>503</v>
      </c>
      <c r="V35" s="108" t="s">
        <v>503</v>
      </c>
      <c r="W35" s="108" t="s">
        <v>503</v>
      </c>
      <c r="X35" s="108" t="s">
        <v>503</v>
      </c>
      <c r="Y35" s="108" t="s">
        <v>503</v>
      </c>
      <c r="Z35" s="108" t="s">
        <v>503</v>
      </c>
      <c r="AA35" s="108" t="s">
        <v>503</v>
      </c>
      <c r="AB35" s="108" t="s">
        <v>503</v>
      </c>
      <c r="AC35" s="108" t="s">
        <v>503</v>
      </c>
      <c r="AD35" s="108" t="s">
        <v>503</v>
      </c>
      <c r="AE35" s="108" t="s">
        <v>503</v>
      </c>
      <c r="AF35" s="108" t="s">
        <v>503</v>
      </c>
      <c r="AG35" s="108" t="s">
        <v>503</v>
      </c>
      <c r="AH35" s="108" t="s">
        <v>503</v>
      </c>
      <c r="AI35" s="108" t="s">
        <v>503</v>
      </c>
      <c r="AJ35" s="108" t="s">
        <v>503</v>
      </c>
      <c r="AK35" s="108" t="s">
        <v>503</v>
      </c>
      <c r="AL35" s="108" t="s">
        <v>503</v>
      </c>
      <c r="AM35" s="108" t="s">
        <v>503</v>
      </c>
      <c r="AN35" s="108" t="s">
        <v>503</v>
      </c>
      <c r="AO35" s="108" t="s">
        <v>503</v>
      </c>
      <c r="AP35" s="108" t="s">
        <v>503</v>
      </c>
      <c r="AQ35" s="108" t="s">
        <v>503</v>
      </c>
      <c r="AR35" s="108" t="s">
        <v>503</v>
      </c>
      <c r="AS35" s="108" t="s">
        <v>503</v>
      </c>
      <c r="AT35" s="108" t="s">
        <v>503</v>
      </c>
      <c r="AU35" s="108" t="s">
        <v>503</v>
      </c>
      <c r="AV35" s="108" t="s">
        <v>503</v>
      </c>
      <c r="AW35" s="108" t="s">
        <v>503</v>
      </c>
      <c r="AX35" s="108" t="s">
        <v>503</v>
      </c>
      <c r="AY35" s="108" t="s">
        <v>503</v>
      </c>
      <c r="AZ35" s="108" t="s">
        <v>503</v>
      </c>
      <c r="BA35" s="108" t="s">
        <v>503</v>
      </c>
      <c r="BB35" s="108" t="s">
        <v>503</v>
      </c>
      <c r="BC35" s="108" t="s">
        <v>503</v>
      </c>
      <c r="BD35" s="108" t="s">
        <v>503</v>
      </c>
      <c r="BE35" s="108" t="s">
        <v>503</v>
      </c>
      <c r="BF35" s="108" t="s">
        <v>503</v>
      </c>
      <c r="BG35" s="108" t="s">
        <v>503</v>
      </c>
      <c r="BH35" s="108" t="s">
        <v>503</v>
      </c>
      <c r="BI35" s="108" t="s">
        <v>503</v>
      </c>
      <c r="BJ35" s="108" t="s">
        <v>503</v>
      </c>
      <c r="BK35" s="108" t="s">
        <v>503</v>
      </c>
      <c r="BL35" s="108" t="s">
        <v>503</v>
      </c>
      <c r="BM35" s="108" t="s">
        <v>503</v>
      </c>
      <c r="BN35" s="108" t="s">
        <v>503</v>
      </c>
      <c r="BO35" s="108" t="s">
        <v>503</v>
      </c>
      <c r="BP35" s="108" t="s">
        <v>503</v>
      </c>
      <c r="BQ35" s="108" t="s">
        <v>503</v>
      </c>
      <c r="BR35" s="108" t="s">
        <v>503</v>
      </c>
      <c r="BS35" s="108" t="s">
        <v>503</v>
      </c>
      <c r="BT35" s="108" t="s">
        <v>503</v>
      </c>
      <c r="BU35" s="108" t="s">
        <v>503</v>
      </c>
      <c r="BV35" s="108" t="s">
        <v>503</v>
      </c>
      <c r="BW35" s="77">
        <v>28571.428571428569</v>
      </c>
      <c r="BX35" s="119">
        <f t="shared" si="21"/>
        <v>1428.5714285714284</v>
      </c>
      <c r="BY35" s="118">
        <f t="shared" si="14"/>
        <v>29999.999999999996</v>
      </c>
      <c r="BZ35" s="108" t="s">
        <v>503</v>
      </c>
      <c r="CA35" s="108" t="s">
        <v>503</v>
      </c>
      <c r="CB35" s="108" t="s">
        <v>503</v>
      </c>
      <c r="CC35" s="108" t="s">
        <v>503</v>
      </c>
      <c r="CD35" s="108" t="s">
        <v>503</v>
      </c>
      <c r="CE35" s="108" t="s">
        <v>503</v>
      </c>
      <c r="CF35" s="108" t="s">
        <v>503</v>
      </c>
      <c r="CG35" s="108" t="s">
        <v>503</v>
      </c>
      <c r="CH35" s="108" t="s">
        <v>503</v>
      </c>
      <c r="CI35" s="56">
        <v>18345.714285714286</v>
      </c>
      <c r="CJ35" s="119">
        <f t="shared" si="15"/>
        <v>3485.6857142857143</v>
      </c>
      <c r="CK35" s="118">
        <f>+CI35+CJ35</f>
        <v>21831.4</v>
      </c>
      <c r="CL35" s="56">
        <v>22800</v>
      </c>
      <c r="CM35" s="119">
        <f t="shared" si="16"/>
        <v>4332</v>
      </c>
      <c r="CN35" s="118">
        <f t="shared" si="17"/>
        <v>27132</v>
      </c>
      <c r="CO35" s="108" t="s">
        <v>503</v>
      </c>
      <c r="CP35" s="108" t="s">
        <v>503</v>
      </c>
      <c r="CQ35" s="108" t="s">
        <v>503</v>
      </c>
      <c r="CR35" s="108" t="s">
        <v>503</v>
      </c>
      <c r="CS35" s="108" t="s">
        <v>503</v>
      </c>
      <c r="CT35" s="108" t="s">
        <v>503</v>
      </c>
      <c r="CU35" s="108" t="s">
        <v>503</v>
      </c>
      <c r="CV35" s="108" t="s">
        <v>503</v>
      </c>
      <c r="CW35" s="108" t="s">
        <v>503</v>
      </c>
      <c r="CX35" s="108" t="s">
        <v>503</v>
      </c>
      <c r="CY35" s="108" t="s">
        <v>503</v>
      </c>
      <c r="CZ35" s="108" t="s">
        <v>503</v>
      </c>
      <c r="DA35" s="108" t="s">
        <v>503</v>
      </c>
      <c r="DB35" s="108" t="s">
        <v>503</v>
      </c>
      <c r="DC35" s="108" t="s">
        <v>503</v>
      </c>
      <c r="DD35" s="108" t="s">
        <v>503</v>
      </c>
      <c r="DE35" s="108" t="s">
        <v>503</v>
      </c>
      <c r="DF35" s="108" t="s">
        <v>503</v>
      </c>
      <c r="DG35" s="108" t="s">
        <v>503</v>
      </c>
      <c r="DH35" s="108" t="s">
        <v>503</v>
      </c>
      <c r="DI35" s="108" t="s">
        <v>503</v>
      </c>
      <c r="DJ35" s="108" t="s">
        <v>503</v>
      </c>
      <c r="DK35" s="108" t="s">
        <v>503</v>
      </c>
      <c r="DL35" s="108" t="s">
        <v>503</v>
      </c>
      <c r="DM35" s="118" t="s">
        <v>502</v>
      </c>
      <c r="DN35" s="118" t="s">
        <v>502</v>
      </c>
      <c r="DO35" s="118" t="s">
        <v>502</v>
      </c>
      <c r="DP35" s="108" t="s">
        <v>669</v>
      </c>
      <c r="DQ35" s="108" t="s">
        <v>669</v>
      </c>
      <c r="DR35" s="108" t="s">
        <v>669</v>
      </c>
      <c r="DS35" s="108" t="s">
        <v>669</v>
      </c>
      <c r="DT35" s="108" t="s">
        <v>669</v>
      </c>
      <c r="DU35" s="108" t="s">
        <v>669</v>
      </c>
      <c r="DV35" s="108" t="s">
        <v>669</v>
      </c>
      <c r="DW35" s="108" t="s">
        <v>669</v>
      </c>
      <c r="DX35" s="108" t="s">
        <v>669</v>
      </c>
      <c r="DY35" s="108" t="s">
        <v>503</v>
      </c>
      <c r="DZ35" s="108" t="s">
        <v>503</v>
      </c>
      <c r="EA35" s="108" t="s">
        <v>503</v>
      </c>
      <c r="EB35" s="108" t="s">
        <v>503</v>
      </c>
      <c r="EC35" s="108" t="s">
        <v>503</v>
      </c>
      <c r="ED35" s="108" t="s">
        <v>503</v>
      </c>
      <c r="EE35" s="108" t="s">
        <v>503</v>
      </c>
      <c r="EF35" s="108" t="s">
        <v>503</v>
      </c>
      <c r="EG35" s="108" t="s">
        <v>503</v>
      </c>
      <c r="EH35" s="108" t="s">
        <v>503</v>
      </c>
      <c r="EI35" s="108" t="s">
        <v>503</v>
      </c>
      <c r="EJ35" s="108" t="s">
        <v>503</v>
      </c>
      <c r="EK35" s="108" t="s">
        <v>503</v>
      </c>
      <c r="EL35" s="108" t="s">
        <v>503</v>
      </c>
      <c r="EM35" s="108" t="s">
        <v>503</v>
      </c>
      <c r="EN35" s="108" t="s">
        <v>503</v>
      </c>
      <c r="EO35" s="108" t="s">
        <v>503</v>
      </c>
      <c r="EP35" s="108" t="s">
        <v>503</v>
      </c>
      <c r="EQ35" s="108" t="s">
        <v>503</v>
      </c>
      <c r="ER35" s="108" t="s">
        <v>503</v>
      </c>
      <c r="ES35" s="108" t="s">
        <v>503</v>
      </c>
      <c r="ET35" s="108" t="s">
        <v>503</v>
      </c>
      <c r="EU35" s="108" t="s">
        <v>503</v>
      </c>
      <c r="EV35" s="108" t="s">
        <v>503</v>
      </c>
      <c r="EW35" s="108" t="s">
        <v>503</v>
      </c>
      <c r="EX35" s="108" t="s">
        <v>503</v>
      </c>
      <c r="EY35" s="108" t="s">
        <v>503</v>
      </c>
      <c r="EZ35" s="108" t="s">
        <v>503</v>
      </c>
      <c r="FA35" s="108" t="s">
        <v>503</v>
      </c>
      <c r="FB35" s="108" t="s">
        <v>503</v>
      </c>
      <c r="FC35" s="108" t="s">
        <v>503</v>
      </c>
      <c r="FD35" s="108" t="s">
        <v>503</v>
      </c>
      <c r="FE35" s="108" t="s">
        <v>503</v>
      </c>
      <c r="FF35" s="108" t="s">
        <v>503</v>
      </c>
      <c r="FG35" s="108" t="s">
        <v>503</v>
      </c>
      <c r="FH35" s="108" t="s">
        <v>503</v>
      </c>
      <c r="FI35" s="108" t="s">
        <v>503</v>
      </c>
      <c r="FJ35" s="108" t="s">
        <v>503</v>
      </c>
      <c r="FK35" s="108" t="s">
        <v>503</v>
      </c>
      <c r="FL35" s="108" t="s">
        <v>503</v>
      </c>
      <c r="FM35" s="108" t="s">
        <v>503</v>
      </c>
      <c r="FN35" s="108" t="s">
        <v>503</v>
      </c>
      <c r="FO35" s="108" t="s">
        <v>503</v>
      </c>
      <c r="FP35" s="108" t="s">
        <v>503</v>
      </c>
      <c r="FQ35" s="108" t="s">
        <v>503</v>
      </c>
      <c r="FR35" s="108" t="s">
        <v>503</v>
      </c>
      <c r="FS35" s="108" t="s">
        <v>503</v>
      </c>
      <c r="FT35" s="108" t="s">
        <v>503</v>
      </c>
      <c r="FU35" s="108" t="s">
        <v>503</v>
      </c>
      <c r="FV35" s="108" t="s">
        <v>503</v>
      </c>
      <c r="FW35" s="108" t="s">
        <v>503</v>
      </c>
      <c r="FX35" s="108" t="s">
        <v>502</v>
      </c>
      <c r="FY35" s="108" t="s">
        <v>502</v>
      </c>
      <c r="FZ35" s="108" t="s">
        <v>502</v>
      </c>
      <c r="GA35" s="108" t="s">
        <v>503</v>
      </c>
      <c r="GB35" s="108" t="s">
        <v>503</v>
      </c>
      <c r="GC35" s="108" t="s">
        <v>503</v>
      </c>
      <c r="GD35" s="108" t="s">
        <v>503</v>
      </c>
      <c r="GE35" s="108" t="s">
        <v>503</v>
      </c>
      <c r="GF35" s="108" t="s">
        <v>503</v>
      </c>
      <c r="GG35" s="108" t="s">
        <v>503</v>
      </c>
      <c r="GH35" s="108" t="s">
        <v>503</v>
      </c>
      <c r="GI35" s="108" t="s">
        <v>503</v>
      </c>
      <c r="GJ35" s="108" t="s">
        <v>503</v>
      </c>
      <c r="GK35" s="108" t="s">
        <v>503</v>
      </c>
      <c r="GL35" s="108" t="s">
        <v>503</v>
      </c>
      <c r="GM35" s="108" t="s">
        <v>503</v>
      </c>
      <c r="GN35" s="108" t="s">
        <v>503</v>
      </c>
      <c r="GO35" s="108" t="s">
        <v>503</v>
      </c>
      <c r="GP35" s="108" t="s">
        <v>502</v>
      </c>
      <c r="GQ35" s="108" t="s">
        <v>502</v>
      </c>
      <c r="GR35" s="108" t="s">
        <v>502</v>
      </c>
      <c r="GS35" s="108" t="s">
        <v>664</v>
      </c>
      <c r="GT35" s="108" t="s">
        <v>664</v>
      </c>
      <c r="GU35" s="108" t="s">
        <v>664</v>
      </c>
      <c r="GV35" s="108" t="s">
        <v>664</v>
      </c>
      <c r="GW35" s="108" t="s">
        <v>664</v>
      </c>
      <c r="GX35" s="108" t="s">
        <v>664</v>
      </c>
      <c r="GY35" s="108" t="s">
        <v>664</v>
      </c>
      <c r="GZ35" s="108" t="s">
        <v>664</v>
      </c>
      <c r="HA35" s="108" t="s">
        <v>664</v>
      </c>
      <c r="HB35" s="108" t="s">
        <v>664</v>
      </c>
      <c r="HC35" s="108" t="s">
        <v>664</v>
      </c>
      <c r="HD35" s="108" t="s">
        <v>664</v>
      </c>
      <c r="HE35" s="108" t="s">
        <v>664</v>
      </c>
      <c r="HF35" s="108" t="s">
        <v>664</v>
      </c>
      <c r="HG35" s="108" t="s">
        <v>664</v>
      </c>
      <c r="HH35" s="108" t="s">
        <v>664</v>
      </c>
      <c r="HI35" s="108" t="s">
        <v>664</v>
      </c>
      <c r="HJ35" s="108" t="s">
        <v>664</v>
      </c>
      <c r="HK35" s="108" t="s">
        <v>664</v>
      </c>
      <c r="HL35" s="108" t="s">
        <v>664</v>
      </c>
      <c r="HM35" s="108" t="s">
        <v>664</v>
      </c>
      <c r="HN35" s="108" t="s">
        <v>664</v>
      </c>
      <c r="HO35" s="108" t="s">
        <v>664</v>
      </c>
      <c r="HP35" s="108" t="s">
        <v>664</v>
      </c>
      <c r="HQ35" s="108" t="s">
        <v>664</v>
      </c>
      <c r="HR35" s="108" t="s">
        <v>664</v>
      </c>
      <c r="HS35" s="108" t="s">
        <v>664</v>
      </c>
      <c r="HT35" s="108" t="s">
        <v>664</v>
      </c>
      <c r="HU35" s="108" t="s">
        <v>664</v>
      </c>
      <c r="HV35" s="108" t="s">
        <v>664</v>
      </c>
      <c r="HW35" s="108" t="s">
        <v>664</v>
      </c>
      <c r="HX35" s="108" t="s">
        <v>664</v>
      </c>
      <c r="HY35" s="108" t="s">
        <v>664</v>
      </c>
      <c r="HZ35" s="108" t="s">
        <v>664</v>
      </c>
      <c r="IA35" s="108" t="s">
        <v>664</v>
      </c>
      <c r="IB35" s="108" t="s">
        <v>664</v>
      </c>
      <c r="IC35" s="108" t="s">
        <v>664</v>
      </c>
      <c r="ID35" s="108" t="s">
        <v>664</v>
      </c>
      <c r="IE35" s="108" t="s">
        <v>664</v>
      </c>
      <c r="IF35" s="108" t="s">
        <v>664</v>
      </c>
      <c r="IG35" s="108" t="s">
        <v>664</v>
      </c>
      <c r="IH35" s="108" t="s">
        <v>664</v>
      </c>
      <c r="II35" s="108" t="s">
        <v>664</v>
      </c>
      <c r="IJ35" s="108" t="s">
        <v>664</v>
      </c>
      <c r="IK35" s="108" t="s">
        <v>664</v>
      </c>
      <c r="IL35" s="108" t="s">
        <v>664</v>
      </c>
      <c r="IM35" s="108" t="s">
        <v>664</v>
      </c>
      <c r="IN35" s="108" t="s">
        <v>664</v>
      </c>
      <c r="IO35" s="120" t="s">
        <v>503</v>
      </c>
      <c r="IP35" s="120" t="s">
        <v>503</v>
      </c>
      <c r="IQ35" s="120" t="s">
        <v>503</v>
      </c>
      <c r="IR35" s="120" t="s">
        <v>664</v>
      </c>
      <c r="IS35" s="120" t="s">
        <v>664</v>
      </c>
      <c r="IT35" s="120" t="s">
        <v>664</v>
      </c>
      <c r="IU35" s="120" t="s">
        <v>503</v>
      </c>
      <c r="IV35" s="120" t="s">
        <v>503</v>
      </c>
      <c r="IW35" s="120" t="s">
        <v>503</v>
      </c>
      <c r="IX35" s="120" t="s">
        <v>503</v>
      </c>
      <c r="IY35" s="120" t="s">
        <v>503</v>
      </c>
      <c r="IZ35" s="120" t="s">
        <v>503</v>
      </c>
      <c r="JA35" s="120" t="s">
        <v>503</v>
      </c>
      <c r="JB35" s="120" t="s">
        <v>503</v>
      </c>
      <c r="JC35" s="120" t="s">
        <v>503</v>
      </c>
      <c r="JD35" s="108" t="s">
        <v>502</v>
      </c>
      <c r="JE35" s="108" t="s">
        <v>502</v>
      </c>
      <c r="JF35" s="108" t="s">
        <v>502</v>
      </c>
      <c r="JG35" s="120" t="s">
        <v>664</v>
      </c>
      <c r="JH35" s="120" t="s">
        <v>664</v>
      </c>
      <c r="JI35" s="120" t="s">
        <v>664</v>
      </c>
      <c r="JJ35" s="120" t="s">
        <v>664</v>
      </c>
      <c r="JK35" s="120" t="s">
        <v>664</v>
      </c>
      <c r="JL35" s="120" t="s">
        <v>664</v>
      </c>
      <c r="JM35" s="120" t="s">
        <v>664</v>
      </c>
      <c r="JN35" s="120" t="s">
        <v>664</v>
      </c>
      <c r="JO35" s="120" t="s">
        <v>664</v>
      </c>
      <c r="JP35" s="110">
        <v>22750</v>
      </c>
      <c r="JQ35" s="111">
        <v>27181.09576</v>
      </c>
      <c r="JR35" s="112">
        <f t="shared" si="0"/>
        <v>3</v>
      </c>
      <c r="JS35" s="113">
        <f t="shared" si="1"/>
        <v>26321.133333333331</v>
      </c>
      <c r="JT35" s="114">
        <f t="shared" si="2"/>
        <v>26350</v>
      </c>
      <c r="JU35" s="134"/>
    </row>
    <row r="36" spans="1:281" ht="101.25" customHeight="1" x14ac:dyDescent="0.2">
      <c r="A36" s="98">
        <v>131</v>
      </c>
      <c r="B36" s="99">
        <v>131</v>
      </c>
      <c r="C36" s="39" t="s">
        <v>674</v>
      </c>
      <c r="D36" s="100" t="s">
        <v>261</v>
      </c>
      <c r="E36" s="39">
        <v>27112700</v>
      </c>
      <c r="F36" s="101" t="s">
        <v>260</v>
      </c>
      <c r="G36" s="102" t="s">
        <v>86</v>
      </c>
      <c r="H36" s="103" t="s">
        <v>501</v>
      </c>
      <c r="I36" s="108" t="s">
        <v>503</v>
      </c>
      <c r="J36" s="108" t="s">
        <v>503</v>
      </c>
      <c r="K36" s="108" t="s">
        <v>503</v>
      </c>
      <c r="L36" s="108" t="s">
        <v>503</v>
      </c>
      <c r="M36" s="108" t="s">
        <v>503</v>
      </c>
      <c r="N36" s="108" t="s">
        <v>503</v>
      </c>
      <c r="O36" s="108" t="s">
        <v>503</v>
      </c>
      <c r="P36" s="108" t="s">
        <v>503</v>
      </c>
      <c r="Q36" s="108" t="s">
        <v>503</v>
      </c>
      <c r="R36" s="108" t="s">
        <v>503</v>
      </c>
      <c r="S36" s="108" t="s">
        <v>503</v>
      </c>
      <c r="T36" s="108" t="s">
        <v>503</v>
      </c>
      <c r="U36" s="108" t="s">
        <v>503</v>
      </c>
      <c r="V36" s="108" t="s">
        <v>503</v>
      </c>
      <c r="W36" s="108" t="s">
        <v>503</v>
      </c>
      <c r="X36" s="108" t="s">
        <v>503</v>
      </c>
      <c r="Y36" s="108" t="s">
        <v>503</v>
      </c>
      <c r="Z36" s="108" t="s">
        <v>503</v>
      </c>
      <c r="AA36" s="108" t="s">
        <v>503</v>
      </c>
      <c r="AB36" s="108" t="s">
        <v>503</v>
      </c>
      <c r="AC36" s="108" t="s">
        <v>503</v>
      </c>
      <c r="AD36" s="108" t="s">
        <v>503</v>
      </c>
      <c r="AE36" s="108" t="s">
        <v>503</v>
      </c>
      <c r="AF36" s="108" t="s">
        <v>503</v>
      </c>
      <c r="AG36" s="108" t="s">
        <v>503</v>
      </c>
      <c r="AH36" s="108" t="s">
        <v>503</v>
      </c>
      <c r="AI36" s="108" t="s">
        <v>503</v>
      </c>
      <c r="AJ36" s="108" t="s">
        <v>503</v>
      </c>
      <c r="AK36" s="108" t="s">
        <v>503</v>
      </c>
      <c r="AL36" s="108" t="s">
        <v>503</v>
      </c>
      <c r="AM36" s="108" t="s">
        <v>503</v>
      </c>
      <c r="AN36" s="108" t="s">
        <v>503</v>
      </c>
      <c r="AO36" s="108" t="s">
        <v>503</v>
      </c>
      <c r="AP36" s="108" t="s">
        <v>503</v>
      </c>
      <c r="AQ36" s="108" t="s">
        <v>503</v>
      </c>
      <c r="AR36" s="108" t="s">
        <v>503</v>
      </c>
      <c r="AS36" s="108" t="s">
        <v>503</v>
      </c>
      <c r="AT36" s="108" t="s">
        <v>503</v>
      </c>
      <c r="AU36" s="108" t="s">
        <v>503</v>
      </c>
      <c r="AV36" s="108" t="s">
        <v>503</v>
      </c>
      <c r="AW36" s="108" t="s">
        <v>503</v>
      </c>
      <c r="AX36" s="108" t="s">
        <v>503</v>
      </c>
      <c r="AY36" s="108" t="s">
        <v>503</v>
      </c>
      <c r="AZ36" s="108" t="s">
        <v>503</v>
      </c>
      <c r="BA36" s="108" t="s">
        <v>503</v>
      </c>
      <c r="BB36" s="108" t="s">
        <v>503</v>
      </c>
      <c r="BC36" s="108" t="s">
        <v>503</v>
      </c>
      <c r="BD36" s="108" t="s">
        <v>503</v>
      </c>
      <c r="BE36" s="108" t="s">
        <v>503</v>
      </c>
      <c r="BF36" s="108" t="s">
        <v>503</v>
      </c>
      <c r="BG36" s="108" t="s">
        <v>503</v>
      </c>
      <c r="BH36" s="108" t="s">
        <v>503</v>
      </c>
      <c r="BI36" s="108" t="s">
        <v>503</v>
      </c>
      <c r="BJ36" s="108" t="s">
        <v>503</v>
      </c>
      <c r="BK36" s="108" t="s">
        <v>503</v>
      </c>
      <c r="BL36" s="108" t="s">
        <v>503</v>
      </c>
      <c r="BM36" s="108" t="s">
        <v>503</v>
      </c>
      <c r="BN36" s="108" t="s">
        <v>503</v>
      </c>
      <c r="BO36" s="108" t="s">
        <v>503</v>
      </c>
      <c r="BP36" s="108" t="s">
        <v>503</v>
      </c>
      <c r="BQ36" s="108" t="s">
        <v>503</v>
      </c>
      <c r="BR36" s="108" t="s">
        <v>503</v>
      </c>
      <c r="BS36" s="108" t="s">
        <v>503</v>
      </c>
      <c r="BT36" s="108" t="s">
        <v>503</v>
      </c>
      <c r="BU36" s="108" t="s">
        <v>503</v>
      </c>
      <c r="BV36" s="108" t="s">
        <v>503</v>
      </c>
      <c r="BW36" s="108" t="s">
        <v>503</v>
      </c>
      <c r="BX36" s="108" t="s">
        <v>503</v>
      </c>
      <c r="BY36" s="108" t="s">
        <v>503</v>
      </c>
      <c r="BZ36" s="108" t="s">
        <v>503</v>
      </c>
      <c r="CA36" s="108" t="s">
        <v>503</v>
      </c>
      <c r="CB36" s="108" t="s">
        <v>503</v>
      </c>
      <c r="CC36" s="108" t="s">
        <v>503</v>
      </c>
      <c r="CD36" s="108" t="s">
        <v>503</v>
      </c>
      <c r="CE36" s="108" t="s">
        <v>503</v>
      </c>
      <c r="CF36" s="108" t="s">
        <v>503</v>
      </c>
      <c r="CG36" s="108" t="s">
        <v>503</v>
      </c>
      <c r="CH36" s="108" t="s">
        <v>503</v>
      </c>
      <c r="CI36" s="56">
        <v>45128.571428571435</v>
      </c>
      <c r="CJ36" s="119">
        <f t="shared" si="15"/>
        <v>8574.4285714285725</v>
      </c>
      <c r="CK36" s="118">
        <f>+CI36+CJ36</f>
        <v>53703.000000000007</v>
      </c>
      <c r="CL36" s="56">
        <v>48000</v>
      </c>
      <c r="CM36" s="119">
        <f t="shared" si="16"/>
        <v>9120</v>
      </c>
      <c r="CN36" s="118">
        <f t="shared" si="17"/>
        <v>57120</v>
      </c>
      <c r="CO36" s="56">
        <v>48700</v>
      </c>
      <c r="CP36" s="119">
        <f>+CO36*5%</f>
        <v>2435</v>
      </c>
      <c r="CQ36" s="118">
        <f t="shared" si="20"/>
        <v>51135</v>
      </c>
      <c r="CR36" s="108" t="s">
        <v>503</v>
      </c>
      <c r="CS36" s="108" t="s">
        <v>503</v>
      </c>
      <c r="CT36" s="108" t="s">
        <v>503</v>
      </c>
      <c r="CU36" s="108" t="s">
        <v>503</v>
      </c>
      <c r="CV36" s="108" t="s">
        <v>503</v>
      </c>
      <c r="CW36" s="108" t="s">
        <v>503</v>
      </c>
      <c r="CX36" s="108" t="s">
        <v>503</v>
      </c>
      <c r="CY36" s="108" t="s">
        <v>503</v>
      </c>
      <c r="CZ36" s="108" t="s">
        <v>503</v>
      </c>
      <c r="DA36" s="108" t="s">
        <v>503</v>
      </c>
      <c r="DB36" s="108" t="s">
        <v>503</v>
      </c>
      <c r="DC36" s="108" t="s">
        <v>503</v>
      </c>
      <c r="DD36" s="108" t="s">
        <v>503</v>
      </c>
      <c r="DE36" s="108" t="s">
        <v>503</v>
      </c>
      <c r="DF36" s="108" t="s">
        <v>503</v>
      </c>
      <c r="DG36" s="108" t="s">
        <v>503</v>
      </c>
      <c r="DH36" s="108" t="s">
        <v>503</v>
      </c>
      <c r="DI36" s="108" t="s">
        <v>503</v>
      </c>
      <c r="DJ36" s="108" t="s">
        <v>503</v>
      </c>
      <c r="DK36" s="108" t="s">
        <v>503</v>
      </c>
      <c r="DL36" s="108" t="s">
        <v>503</v>
      </c>
      <c r="DM36" s="118" t="s">
        <v>502</v>
      </c>
      <c r="DN36" s="118" t="s">
        <v>502</v>
      </c>
      <c r="DO36" s="118" t="s">
        <v>502</v>
      </c>
      <c r="DP36" s="108" t="s">
        <v>669</v>
      </c>
      <c r="DQ36" s="108" t="s">
        <v>669</v>
      </c>
      <c r="DR36" s="108" t="s">
        <v>669</v>
      </c>
      <c r="DS36" s="108" t="s">
        <v>669</v>
      </c>
      <c r="DT36" s="108" t="s">
        <v>669</v>
      </c>
      <c r="DU36" s="108" t="s">
        <v>669</v>
      </c>
      <c r="DV36" s="108" t="s">
        <v>669</v>
      </c>
      <c r="DW36" s="108" t="s">
        <v>669</v>
      </c>
      <c r="DX36" s="108" t="s">
        <v>669</v>
      </c>
      <c r="DY36" s="108" t="s">
        <v>503</v>
      </c>
      <c r="DZ36" s="108" t="s">
        <v>503</v>
      </c>
      <c r="EA36" s="108" t="s">
        <v>503</v>
      </c>
      <c r="EB36" s="108" t="s">
        <v>503</v>
      </c>
      <c r="EC36" s="108" t="s">
        <v>503</v>
      </c>
      <c r="ED36" s="108" t="s">
        <v>503</v>
      </c>
      <c r="EE36" s="108" t="s">
        <v>503</v>
      </c>
      <c r="EF36" s="108" t="s">
        <v>503</v>
      </c>
      <c r="EG36" s="108" t="s">
        <v>503</v>
      </c>
      <c r="EH36" s="108" t="s">
        <v>503</v>
      </c>
      <c r="EI36" s="108" t="s">
        <v>503</v>
      </c>
      <c r="EJ36" s="108" t="s">
        <v>503</v>
      </c>
      <c r="EK36" s="108" t="s">
        <v>503</v>
      </c>
      <c r="EL36" s="108" t="s">
        <v>503</v>
      </c>
      <c r="EM36" s="108" t="s">
        <v>503</v>
      </c>
      <c r="EN36" s="108" t="s">
        <v>503</v>
      </c>
      <c r="EO36" s="108" t="s">
        <v>503</v>
      </c>
      <c r="EP36" s="108" t="s">
        <v>503</v>
      </c>
      <c r="EQ36" s="108" t="s">
        <v>503</v>
      </c>
      <c r="ER36" s="108" t="s">
        <v>503</v>
      </c>
      <c r="ES36" s="108" t="s">
        <v>503</v>
      </c>
      <c r="ET36" s="108" t="s">
        <v>503</v>
      </c>
      <c r="EU36" s="108" t="s">
        <v>503</v>
      </c>
      <c r="EV36" s="108" t="s">
        <v>503</v>
      </c>
      <c r="EW36" s="108" t="s">
        <v>503</v>
      </c>
      <c r="EX36" s="108" t="s">
        <v>503</v>
      </c>
      <c r="EY36" s="108" t="s">
        <v>503</v>
      </c>
      <c r="EZ36" s="108" t="s">
        <v>503</v>
      </c>
      <c r="FA36" s="108" t="s">
        <v>503</v>
      </c>
      <c r="FB36" s="108" t="s">
        <v>503</v>
      </c>
      <c r="FC36" s="108" t="s">
        <v>503</v>
      </c>
      <c r="FD36" s="108" t="s">
        <v>503</v>
      </c>
      <c r="FE36" s="108" t="s">
        <v>503</v>
      </c>
      <c r="FF36" s="108" t="s">
        <v>503</v>
      </c>
      <c r="FG36" s="108" t="s">
        <v>503</v>
      </c>
      <c r="FH36" s="108" t="s">
        <v>503</v>
      </c>
      <c r="FI36" s="108" t="s">
        <v>503</v>
      </c>
      <c r="FJ36" s="108" t="s">
        <v>503</v>
      </c>
      <c r="FK36" s="108" t="s">
        <v>503</v>
      </c>
      <c r="FL36" s="108" t="s">
        <v>503</v>
      </c>
      <c r="FM36" s="108" t="s">
        <v>503</v>
      </c>
      <c r="FN36" s="108" t="s">
        <v>503</v>
      </c>
      <c r="FO36" s="108" t="s">
        <v>503</v>
      </c>
      <c r="FP36" s="108" t="s">
        <v>503</v>
      </c>
      <c r="FQ36" s="108" t="s">
        <v>503</v>
      </c>
      <c r="FR36" s="108" t="s">
        <v>503</v>
      </c>
      <c r="FS36" s="108" t="s">
        <v>503</v>
      </c>
      <c r="FT36" s="108" t="s">
        <v>503</v>
      </c>
      <c r="FU36" s="108" t="s">
        <v>503</v>
      </c>
      <c r="FV36" s="108" t="s">
        <v>503</v>
      </c>
      <c r="FW36" s="108" t="s">
        <v>503</v>
      </c>
      <c r="FX36" s="108" t="s">
        <v>502</v>
      </c>
      <c r="FY36" s="108" t="s">
        <v>502</v>
      </c>
      <c r="FZ36" s="108" t="s">
        <v>502</v>
      </c>
      <c r="GA36" s="108" t="s">
        <v>503</v>
      </c>
      <c r="GB36" s="108" t="s">
        <v>503</v>
      </c>
      <c r="GC36" s="108" t="s">
        <v>503</v>
      </c>
      <c r="GD36" s="108" t="s">
        <v>503</v>
      </c>
      <c r="GE36" s="108" t="s">
        <v>503</v>
      </c>
      <c r="GF36" s="108" t="s">
        <v>503</v>
      </c>
      <c r="GG36" s="108" t="s">
        <v>503</v>
      </c>
      <c r="GH36" s="108" t="s">
        <v>503</v>
      </c>
      <c r="GI36" s="108" t="s">
        <v>503</v>
      </c>
      <c r="GJ36" s="108" t="s">
        <v>503</v>
      </c>
      <c r="GK36" s="108" t="s">
        <v>503</v>
      </c>
      <c r="GL36" s="108" t="s">
        <v>503</v>
      </c>
      <c r="GM36" s="108" t="s">
        <v>503</v>
      </c>
      <c r="GN36" s="108" t="s">
        <v>503</v>
      </c>
      <c r="GO36" s="108" t="s">
        <v>503</v>
      </c>
      <c r="GP36" s="108" t="s">
        <v>502</v>
      </c>
      <c r="GQ36" s="108" t="s">
        <v>502</v>
      </c>
      <c r="GR36" s="108" t="s">
        <v>502</v>
      </c>
      <c r="GS36" s="108" t="s">
        <v>664</v>
      </c>
      <c r="GT36" s="108" t="s">
        <v>664</v>
      </c>
      <c r="GU36" s="108" t="s">
        <v>664</v>
      </c>
      <c r="GV36" s="108" t="s">
        <v>664</v>
      </c>
      <c r="GW36" s="108" t="s">
        <v>664</v>
      </c>
      <c r="GX36" s="108" t="s">
        <v>664</v>
      </c>
      <c r="GY36" s="108" t="s">
        <v>503</v>
      </c>
      <c r="GZ36" s="108" t="s">
        <v>503</v>
      </c>
      <c r="HA36" s="108" t="s">
        <v>503</v>
      </c>
      <c r="HB36" s="108" t="s">
        <v>664</v>
      </c>
      <c r="HC36" s="108" t="s">
        <v>664</v>
      </c>
      <c r="HD36" s="108" t="s">
        <v>664</v>
      </c>
      <c r="HE36" s="108" t="s">
        <v>664</v>
      </c>
      <c r="HF36" s="108" t="s">
        <v>664</v>
      </c>
      <c r="HG36" s="108" t="s">
        <v>664</v>
      </c>
      <c r="HH36" s="108" t="s">
        <v>664</v>
      </c>
      <c r="HI36" s="108" t="s">
        <v>664</v>
      </c>
      <c r="HJ36" s="108" t="s">
        <v>664</v>
      </c>
      <c r="HK36" s="108" t="s">
        <v>664</v>
      </c>
      <c r="HL36" s="108" t="s">
        <v>664</v>
      </c>
      <c r="HM36" s="108" t="s">
        <v>664</v>
      </c>
      <c r="HN36" s="108" t="s">
        <v>664</v>
      </c>
      <c r="HO36" s="108" t="s">
        <v>664</v>
      </c>
      <c r="HP36" s="108" t="s">
        <v>664</v>
      </c>
      <c r="HQ36" s="108" t="s">
        <v>664</v>
      </c>
      <c r="HR36" s="108" t="s">
        <v>664</v>
      </c>
      <c r="HS36" s="108" t="s">
        <v>664</v>
      </c>
      <c r="HT36" s="108" t="s">
        <v>664</v>
      </c>
      <c r="HU36" s="108" t="s">
        <v>664</v>
      </c>
      <c r="HV36" s="108" t="s">
        <v>664</v>
      </c>
      <c r="HW36" s="108" t="s">
        <v>664</v>
      </c>
      <c r="HX36" s="108" t="s">
        <v>664</v>
      </c>
      <c r="HY36" s="108" t="s">
        <v>664</v>
      </c>
      <c r="HZ36" s="108" t="s">
        <v>664</v>
      </c>
      <c r="IA36" s="108" t="s">
        <v>664</v>
      </c>
      <c r="IB36" s="108" t="s">
        <v>664</v>
      </c>
      <c r="IC36" s="108" t="s">
        <v>664</v>
      </c>
      <c r="ID36" s="108" t="s">
        <v>664</v>
      </c>
      <c r="IE36" s="108" t="s">
        <v>664</v>
      </c>
      <c r="IF36" s="108" t="s">
        <v>664</v>
      </c>
      <c r="IG36" s="108" t="s">
        <v>664</v>
      </c>
      <c r="IH36" s="108" t="s">
        <v>664</v>
      </c>
      <c r="II36" s="108" t="s">
        <v>664</v>
      </c>
      <c r="IJ36" s="108" t="s">
        <v>664</v>
      </c>
      <c r="IK36" s="108" t="s">
        <v>664</v>
      </c>
      <c r="IL36" s="108" t="s">
        <v>664</v>
      </c>
      <c r="IM36" s="108" t="s">
        <v>664</v>
      </c>
      <c r="IN36" s="108" t="s">
        <v>664</v>
      </c>
      <c r="IO36" s="120" t="s">
        <v>503</v>
      </c>
      <c r="IP36" s="120" t="s">
        <v>503</v>
      </c>
      <c r="IQ36" s="120" t="s">
        <v>503</v>
      </c>
      <c r="IR36" s="120" t="s">
        <v>664</v>
      </c>
      <c r="IS36" s="120" t="s">
        <v>664</v>
      </c>
      <c r="IT36" s="120" t="s">
        <v>664</v>
      </c>
      <c r="IU36" s="120" t="s">
        <v>503</v>
      </c>
      <c r="IV36" s="120" t="s">
        <v>503</v>
      </c>
      <c r="IW36" s="120" t="s">
        <v>503</v>
      </c>
      <c r="IX36" s="120" t="s">
        <v>503</v>
      </c>
      <c r="IY36" s="120" t="s">
        <v>503</v>
      </c>
      <c r="IZ36" s="120" t="s">
        <v>503</v>
      </c>
      <c r="JA36" s="120" t="s">
        <v>503</v>
      </c>
      <c r="JB36" s="120" t="s">
        <v>503</v>
      </c>
      <c r="JC36" s="120" t="s">
        <v>503</v>
      </c>
      <c r="JD36" s="108" t="s">
        <v>502</v>
      </c>
      <c r="JE36" s="108" t="s">
        <v>502</v>
      </c>
      <c r="JF36" s="108" t="s">
        <v>502</v>
      </c>
      <c r="JG36" s="120" t="s">
        <v>664</v>
      </c>
      <c r="JH36" s="120" t="s">
        <v>664</v>
      </c>
      <c r="JI36" s="120" t="s">
        <v>664</v>
      </c>
      <c r="JJ36" s="120" t="s">
        <v>664</v>
      </c>
      <c r="JK36" s="120" t="s">
        <v>664</v>
      </c>
      <c r="JL36" s="120" t="s">
        <v>664</v>
      </c>
      <c r="JM36" s="120" t="s">
        <v>664</v>
      </c>
      <c r="JN36" s="120" t="s">
        <v>664</v>
      </c>
      <c r="JO36" s="120" t="s">
        <v>664</v>
      </c>
      <c r="JP36" s="110">
        <v>67550</v>
      </c>
      <c r="JQ36" s="111">
        <v>80706.945871999997</v>
      </c>
      <c r="JR36" s="112">
        <f t="shared" si="0"/>
        <v>3</v>
      </c>
      <c r="JS36" s="113">
        <f t="shared" si="1"/>
        <v>53986</v>
      </c>
      <c r="JT36" s="114">
        <f t="shared" si="2"/>
        <v>54000</v>
      </c>
      <c r="JU36" s="134"/>
    </row>
    <row r="37" spans="1:281" ht="101.25" customHeight="1" x14ac:dyDescent="0.2">
      <c r="A37" s="98">
        <v>133</v>
      </c>
      <c r="B37" s="99">
        <v>133</v>
      </c>
      <c r="C37" s="39" t="s">
        <v>674</v>
      </c>
      <c r="D37" s="100" t="s">
        <v>109</v>
      </c>
      <c r="E37" s="39">
        <v>31162800</v>
      </c>
      <c r="F37" s="101" t="s">
        <v>680</v>
      </c>
      <c r="G37" s="102" t="s">
        <v>118</v>
      </c>
      <c r="H37" s="103" t="s">
        <v>501</v>
      </c>
      <c r="I37" s="108" t="s">
        <v>503</v>
      </c>
      <c r="J37" s="108" t="s">
        <v>503</v>
      </c>
      <c r="K37" s="108" t="s">
        <v>503</v>
      </c>
      <c r="L37" s="108" t="s">
        <v>503</v>
      </c>
      <c r="M37" s="108" t="s">
        <v>503</v>
      </c>
      <c r="N37" s="108" t="s">
        <v>503</v>
      </c>
      <c r="O37" s="108" t="s">
        <v>503</v>
      </c>
      <c r="P37" s="108" t="s">
        <v>503</v>
      </c>
      <c r="Q37" s="108" t="s">
        <v>503</v>
      </c>
      <c r="R37" s="108" t="s">
        <v>503</v>
      </c>
      <c r="S37" s="108" t="s">
        <v>503</v>
      </c>
      <c r="T37" s="108" t="s">
        <v>503</v>
      </c>
      <c r="U37" s="108" t="s">
        <v>503</v>
      </c>
      <c r="V37" s="108" t="s">
        <v>503</v>
      </c>
      <c r="W37" s="108" t="s">
        <v>503</v>
      </c>
      <c r="X37" s="108" t="s">
        <v>503</v>
      </c>
      <c r="Y37" s="108" t="s">
        <v>503</v>
      </c>
      <c r="Z37" s="108" t="s">
        <v>503</v>
      </c>
      <c r="AA37" s="108" t="s">
        <v>503</v>
      </c>
      <c r="AB37" s="108" t="s">
        <v>503</v>
      </c>
      <c r="AC37" s="108" t="s">
        <v>503</v>
      </c>
      <c r="AD37" s="108" t="s">
        <v>503</v>
      </c>
      <c r="AE37" s="108" t="s">
        <v>503</v>
      </c>
      <c r="AF37" s="108" t="s">
        <v>503</v>
      </c>
      <c r="AG37" s="108" t="s">
        <v>503</v>
      </c>
      <c r="AH37" s="108" t="s">
        <v>503</v>
      </c>
      <c r="AI37" s="108" t="s">
        <v>503</v>
      </c>
      <c r="AJ37" s="108" t="s">
        <v>503</v>
      </c>
      <c r="AK37" s="108" t="s">
        <v>503</v>
      </c>
      <c r="AL37" s="108" t="s">
        <v>503</v>
      </c>
      <c r="AM37" s="108" t="s">
        <v>503</v>
      </c>
      <c r="AN37" s="108" t="s">
        <v>503</v>
      </c>
      <c r="AO37" s="108" t="s">
        <v>503</v>
      </c>
      <c r="AP37" s="108" t="s">
        <v>503</v>
      </c>
      <c r="AQ37" s="108" t="s">
        <v>503</v>
      </c>
      <c r="AR37" s="108" t="s">
        <v>503</v>
      </c>
      <c r="AS37" s="108" t="s">
        <v>503</v>
      </c>
      <c r="AT37" s="108" t="s">
        <v>503</v>
      </c>
      <c r="AU37" s="108" t="s">
        <v>503</v>
      </c>
      <c r="AV37" s="108" t="s">
        <v>503</v>
      </c>
      <c r="AW37" s="108" t="s">
        <v>503</v>
      </c>
      <c r="AX37" s="108" t="s">
        <v>503</v>
      </c>
      <c r="AY37" s="108" t="s">
        <v>503</v>
      </c>
      <c r="AZ37" s="108" t="s">
        <v>503</v>
      </c>
      <c r="BA37" s="108" t="s">
        <v>503</v>
      </c>
      <c r="BB37" s="108" t="s">
        <v>503</v>
      </c>
      <c r="BC37" s="108" t="s">
        <v>503</v>
      </c>
      <c r="BD37" s="108" t="s">
        <v>503</v>
      </c>
      <c r="BE37" s="108" t="s">
        <v>503</v>
      </c>
      <c r="BF37" s="108" t="s">
        <v>503</v>
      </c>
      <c r="BG37" s="108" t="s">
        <v>503</v>
      </c>
      <c r="BH37" s="108" t="s">
        <v>503</v>
      </c>
      <c r="BI37" s="108" t="s">
        <v>503</v>
      </c>
      <c r="BJ37" s="108" t="s">
        <v>503</v>
      </c>
      <c r="BK37" s="108" t="s">
        <v>503</v>
      </c>
      <c r="BL37" s="108" t="s">
        <v>503</v>
      </c>
      <c r="BM37" s="108" t="s">
        <v>503</v>
      </c>
      <c r="BN37" s="108" t="s">
        <v>503</v>
      </c>
      <c r="BO37" s="108" t="s">
        <v>503</v>
      </c>
      <c r="BP37" s="108" t="s">
        <v>503</v>
      </c>
      <c r="BQ37" s="108" t="s">
        <v>503</v>
      </c>
      <c r="BR37" s="108" t="s">
        <v>503</v>
      </c>
      <c r="BS37" s="108" t="s">
        <v>503</v>
      </c>
      <c r="BT37" s="108" t="s">
        <v>503</v>
      </c>
      <c r="BU37" s="108" t="s">
        <v>503</v>
      </c>
      <c r="BV37" s="108" t="s">
        <v>503</v>
      </c>
      <c r="BW37" s="108" t="s">
        <v>503</v>
      </c>
      <c r="BX37" s="108" t="s">
        <v>503</v>
      </c>
      <c r="BY37" s="108" t="s">
        <v>503</v>
      </c>
      <c r="BZ37" s="108" t="s">
        <v>503</v>
      </c>
      <c r="CA37" s="108" t="s">
        <v>503</v>
      </c>
      <c r="CB37" s="108" t="s">
        <v>503</v>
      </c>
      <c r="CC37" s="108" t="s">
        <v>503</v>
      </c>
      <c r="CD37" s="108" t="s">
        <v>503</v>
      </c>
      <c r="CE37" s="108" t="s">
        <v>503</v>
      </c>
      <c r="CF37" s="108" t="s">
        <v>503</v>
      </c>
      <c r="CG37" s="108" t="s">
        <v>503</v>
      </c>
      <c r="CH37" s="108" t="s">
        <v>503</v>
      </c>
      <c r="CI37" s="56">
        <v>29024.285714285717</v>
      </c>
      <c r="CJ37" s="119">
        <f>+CI37*19%</f>
        <v>5514.6142857142868</v>
      </c>
      <c r="CK37" s="118">
        <f>+CI37+CJ37</f>
        <v>34538.9</v>
      </c>
      <c r="CL37" s="56">
        <v>25900</v>
      </c>
      <c r="CM37" s="119">
        <f t="shared" si="16"/>
        <v>4921</v>
      </c>
      <c r="CN37" s="118">
        <f t="shared" si="17"/>
        <v>30821</v>
      </c>
      <c r="CO37" s="108" t="s">
        <v>503</v>
      </c>
      <c r="CP37" s="108" t="s">
        <v>503</v>
      </c>
      <c r="CQ37" s="108" t="s">
        <v>503</v>
      </c>
      <c r="CR37" s="108" t="s">
        <v>503</v>
      </c>
      <c r="CS37" s="108" t="s">
        <v>503</v>
      </c>
      <c r="CT37" s="108" t="s">
        <v>503</v>
      </c>
      <c r="CU37" s="108" t="s">
        <v>503</v>
      </c>
      <c r="CV37" s="108" t="s">
        <v>503</v>
      </c>
      <c r="CW37" s="108" t="s">
        <v>503</v>
      </c>
      <c r="CX37" s="108" t="s">
        <v>503</v>
      </c>
      <c r="CY37" s="108" t="s">
        <v>503</v>
      </c>
      <c r="CZ37" s="108" t="s">
        <v>503</v>
      </c>
      <c r="DA37" s="108" t="s">
        <v>503</v>
      </c>
      <c r="DB37" s="108" t="s">
        <v>503</v>
      </c>
      <c r="DC37" s="108" t="s">
        <v>503</v>
      </c>
      <c r="DD37" s="108" t="s">
        <v>503</v>
      </c>
      <c r="DE37" s="108" t="s">
        <v>503</v>
      </c>
      <c r="DF37" s="108" t="s">
        <v>503</v>
      </c>
      <c r="DG37" s="108" t="s">
        <v>503</v>
      </c>
      <c r="DH37" s="108" t="s">
        <v>503</v>
      </c>
      <c r="DI37" s="108" t="s">
        <v>503</v>
      </c>
      <c r="DJ37" s="108" t="s">
        <v>503</v>
      </c>
      <c r="DK37" s="108" t="s">
        <v>503</v>
      </c>
      <c r="DL37" s="108" t="s">
        <v>503</v>
      </c>
      <c r="DM37" s="118" t="s">
        <v>502</v>
      </c>
      <c r="DN37" s="118" t="s">
        <v>502</v>
      </c>
      <c r="DO37" s="118" t="s">
        <v>502</v>
      </c>
      <c r="DP37" s="108" t="s">
        <v>669</v>
      </c>
      <c r="DQ37" s="108" t="s">
        <v>669</v>
      </c>
      <c r="DR37" s="108" t="s">
        <v>669</v>
      </c>
      <c r="DS37" s="108" t="s">
        <v>669</v>
      </c>
      <c r="DT37" s="108" t="s">
        <v>669</v>
      </c>
      <c r="DU37" s="108" t="s">
        <v>669</v>
      </c>
      <c r="DV37" s="108" t="s">
        <v>669</v>
      </c>
      <c r="DW37" s="108" t="s">
        <v>669</v>
      </c>
      <c r="DX37" s="108" t="s">
        <v>669</v>
      </c>
      <c r="DY37" s="108" t="s">
        <v>503</v>
      </c>
      <c r="DZ37" s="108" t="s">
        <v>503</v>
      </c>
      <c r="EA37" s="108" t="s">
        <v>503</v>
      </c>
      <c r="EB37" s="108" t="s">
        <v>503</v>
      </c>
      <c r="EC37" s="108" t="s">
        <v>503</v>
      </c>
      <c r="ED37" s="108" t="s">
        <v>503</v>
      </c>
      <c r="EE37" s="108" t="s">
        <v>503</v>
      </c>
      <c r="EF37" s="108" t="s">
        <v>503</v>
      </c>
      <c r="EG37" s="108" t="s">
        <v>503</v>
      </c>
      <c r="EH37" s="108" t="s">
        <v>503</v>
      </c>
      <c r="EI37" s="108" t="s">
        <v>503</v>
      </c>
      <c r="EJ37" s="108" t="s">
        <v>503</v>
      </c>
      <c r="EK37" s="108" t="s">
        <v>503</v>
      </c>
      <c r="EL37" s="108" t="s">
        <v>503</v>
      </c>
      <c r="EM37" s="108" t="s">
        <v>503</v>
      </c>
      <c r="EN37" s="108" t="s">
        <v>503</v>
      </c>
      <c r="EO37" s="108" t="s">
        <v>503</v>
      </c>
      <c r="EP37" s="108" t="s">
        <v>503</v>
      </c>
      <c r="EQ37" s="108" t="s">
        <v>503</v>
      </c>
      <c r="ER37" s="108" t="s">
        <v>503</v>
      </c>
      <c r="ES37" s="108" t="s">
        <v>503</v>
      </c>
      <c r="ET37" s="108" t="s">
        <v>503</v>
      </c>
      <c r="EU37" s="108" t="s">
        <v>503</v>
      </c>
      <c r="EV37" s="108" t="s">
        <v>503</v>
      </c>
      <c r="EW37" s="108" t="s">
        <v>503</v>
      </c>
      <c r="EX37" s="108" t="s">
        <v>503</v>
      </c>
      <c r="EY37" s="108" t="s">
        <v>503</v>
      </c>
      <c r="EZ37" s="108" t="s">
        <v>503</v>
      </c>
      <c r="FA37" s="108" t="s">
        <v>503</v>
      </c>
      <c r="FB37" s="108" t="s">
        <v>503</v>
      </c>
      <c r="FC37" s="108" t="s">
        <v>503</v>
      </c>
      <c r="FD37" s="108" t="s">
        <v>503</v>
      </c>
      <c r="FE37" s="108" t="s">
        <v>503</v>
      </c>
      <c r="FF37" s="108" t="s">
        <v>503</v>
      </c>
      <c r="FG37" s="108" t="s">
        <v>503</v>
      </c>
      <c r="FH37" s="108" t="s">
        <v>503</v>
      </c>
      <c r="FI37" s="108" t="s">
        <v>503</v>
      </c>
      <c r="FJ37" s="108" t="s">
        <v>503</v>
      </c>
      <c r="FK37" s="108" t="s">
        <v>503</v>
      </c>
      <c r="FL37" s="108" t="s">
        <v>503</v>
      </c>
      <c r="FM37" s="108" t="s">
        <v>503</v>
      </c>
      <c r="FN37" s="108" t="s">
        <v>503</v>
      </c>
      <c r="FO37" s="108" t="s">
        <v>503</v>
      </c>
      <c r="FP37" s="108" t="s">
        <v>503</v>
      </c>
      <c r="FQ37" s="108" t="s">
        <v>503</v>
      </c>
      <c r="FR37" s="108" t="s">
        <v>503</v>
      </c>
      <c r="FS37" s="108" t="s">
        <v>503</v>
      </c>
      <c r="FT37" s="108" t="s">
        <v>503</v>
      </c>
      <c r="FU37" s="108" t="s">
        <v>503</v>
      </c>
      <c r="FV37" s="108" t="s">
        <v>503</v>
      </c>
      <c r="FW37" s="108" t="s">
        <v>503</v>
      </c>
      <c r="FX37" s="47">
        <f>36900/1.19</f>
        <v>31008.403361344539</v>
      </c>
      <c r="FY37" s="47">
        <f>FX37*0.19</f>
        <v>5891.5966386554628</v>
      </c>
      <c r="FZ37" s="161">
        <f>FY37+FX37</f>
        <v>36900</v>
      </c>
      <c r="GA37" s="108" t="s">
        <v>503</v>
      </c>
      <c r="GB37" s="108" t="s">
        <v>503</v>
      </c>
      <c r="GC37" s="108" t="s">
        <v>503</v>
      </c>
      <c r="GD37" s="108" t="s">
        <v>503</v>
      </c>
      <c r="GE37" s="108" t="s">
        <v>503</v>
      </c>
      <c r="GF37" s="108" t="s">
        <v>503</v>
      </c>
      <c r="GG37" s="108" t="s">
        <v>503</v>
      </c>
      <c r="GH37" s="108" t="s">
        <v>503</v>
      </c>
      <c r="GI37" s="108" t="s">
        <v>503</v>
      </c>
      <c r="GJ37" s="108" t="s">
        <v>503</v>
      </c>
      <c r="GK37" s="108" t="s">
        <v>503</v>
      </c>
      <c r="GL37" s="108" t="s">
        <v>503</v>
      </c>
      <c r="GM37" s="108" t="s">
        <v>503</v>
      </c>
      <c r="GN37" s="108" t="s">
        <v>503</v>
      </c>
      <c r="GO37" s="108" t="s">
        <v>503</v>
      </c>
      <c r="GP37" s="108" t="s">
        <v>502</v>
      </c>
      <c r="GQ37" s="108" t="s">
        <v>502</v>
      </c>
      <c r="GR37" s="108" t="s">
        <v>502</v>
      </c>
      <c r="GS37" s="108" t="s">
        <v>664</v>
      </c>
      <c r="GT37" s="108" t="s">
        <v>664</v>
      </c>
      <c r="GU37" s="108" t="s">
        <v>664</v>
      </c>
      <c r="GV37" s="108" t="s">
        <v>664</v>
      </c>
      <c r="GW37" s="108" t="s">
        <v>664</v>
      </c>
      <c r="GX37" s="108" t="s">
        <v>664</v>
      </c>
      <c r="GY37" s="108" t="s">
        <v>664</v>
      </c>
      <c r="GZ37" s="108" t="s">
        <v>664</v>
      </c>
      <c r="HA37" s="108" t="s">
        <v>664</v>
      </c>
      <c r="HB37" s="108" t="s">
        <v>664</v>
      </c>
      <c r="HC37" s="108" t="s">
        <v>664</v>
      </c>
      <c r="HD37" s="108" t="s">
        <v>664</v>
      </c>
      <c r="HE37" s="108" t="s">
        <v>664</v>
      </c>
      <c r="HF37" s="108" t="s">
        <v>664</v>
      </c>
      <c r="HG37" s="108" t="s">
        <v>664</v>
      </c>
      <c r="HH37" s="108" t="s">
        <v>664</v>
      </c>
      <c r="HI37" s="108" t="s">
        <v>664</v>
      </c>
      <c r="HJ37" s="108" t="s">
        <v>664</v>
      </c>
      <c r="HK37" s="108" t="s">
        <v>664</v>
      </c>
      <c r="HL37" s="108" t="s">
        <v>664</v>
      </c>
      <c r="HM37" s="108" t="s">
        <v>664</v>
      </c>
      <c r="HN37" s="108" t="s">
        <v>664</v>
      </c>
      <c r="HO37" s="108" t="s">
        <v>664</v>
      </c>
      <c r="HP37" s="108" t="s">
        <v>664</v>
      </c>
      <c r="HQ37" s="108" t="s">
        <v>664</v>
      </c>
      <c r="HR37" s="108" t="s">
        <v>664</v>
      </c>
      <c r="HS37" s="108" t="s">
        <v>664</v>
      </c>
      <c r="HT37" s="108" t="s">
        <v>664</v>
      </c>
      <c r="HU37" s="108" t="s">
        <v>664</v>
      </c>
      <c r="HV37" s="108" t="s">
        <v>664</v>
      </c>
      <c r="HW37" s="108" t="s">
        <v>664</v>
      </c>
      <c r="HX37" s="108" t="s">
        <v>664</v>
      </c>
      <c r="HY37" s="108" t="s">
        <v>664</v>
      </c>
      <c r="HZ37" s="108" t="s">
        <v>664</v>
      </c>
      <c r="IA37" s="108" t="s">
        <v>664</v>
      </c>
      <c r="IB37" s="108" t="s">
        <v>664</v>
      </c>
      <c r="IC37" s="108" t="s">
        <v>664</v>
      </c>
      <c r="ID37" s="108" t="s">
        <v>664</v>
      </c>
      <c r="IE37" s="108" t="s">
        <v>664</v>
      </c>
      <c r="IF37" s="108" t="s">
        <v>664</v>
      </c>
      <c r="IG37" s="108" t="s">
        <v>664</v>
      </c>
      <c r="IH37" s="108" t="s">
        <v>664</v>
      </c>
      <c r="II37" s="108" t="s">
        <v>664</v>
      </c>
      <c r="IJ37" s="108" t="s">
        <v>664</v>
      </c>
      <c r="IK37" s="108" t="s">
        <v>664</v>
      </c>
      <c r="IL37" s="108" t="s">
        <v>664</v>
      </c>
      <c r="IM37" s="108" t="s">
        <v>664</v>
      </c>
      <c r="IN37" s="108" t="s">
        <v>664</v>
      </c>
      <c r="IO37" s="120" t="s">
        <v>503</v>
      </c>
      <c r="IP37" s="120" t="s">
        <v>503</v>
      </c>
      <c r="IQ37" s="120" t="s">
        <v>503</v>
      </c>
      <c r="IR37" s="120" t="s">
        <v>664</v>
      </c>
      <c r="IS37" s="120" t="s">
        <v>664</v>
      </c>
      <c r="IT37" s="120" t="s">
        <v>664</v>
      </c>
      <c r="IU37" s="120" t="s">
        <v>503</v>
      </c>
      <c r="IV37" s="120" t="s">
        <v>503</v>
      </c>
      <c r="IW37" s="120" t="s">
        <v>503</v>
      </c>
      <c r="IX37" s="120" t="s">
        <v>503</v>
      </c>
      <c r="IY37" s="120" t="s">
        <v>503</v>
      </c>
      <c r="IZ37" s="120" t="s">
        <v>503</v>
      </c>
      <c r="JA37" s="120" t="s">
        <v>503</v>
      </c>
      <c r="JB37" s="120" t="s">
        <v>503</v>
      </c>
      <c r="JC37" s="120" t="s">
        <v>503</v>
      </c>
      <c r="JD37" s="108" t="s">
        <v>502</v>
      </c>
      <c r="JE37" s="108" t="s">
        <v>502</v>
      </c>
      <c r="JF37" s="108" t="s">
        <v>502</v>
      </c>
      <c r="JG37" s="120" t="s">
        <v>664</v>
      </c>
      <c r="JH37" s="120" t="s">
        <v>664</v>
      </c>
      <c r="JI37" s="120" t="s">
        <v>664</v>
      </c>
      <c r="JJ37" s="120" t="s">
        <v>664</v>
      </c>
      <c r="JK37" s="120" t="s">
        <v>664</v>
      </c>
      <c r="JL37" s="120" t="s">
        <v>664</v>
      </c>
      <c r="JM37" s="120" t="s">
        <v>664</v>
      </c>
      <c r="JN37" s="120" t="s">
        <v>664</v>
      </c>
      <c r="JO37" s="120" t="s">
        <v>664</v>
      </c>
      <c r="JP37" s="110">
        <v>25350</v>
      </c>
      <c r="JQ37" s="111">
        <v>30287.506704000003</v>
      </c>
      <c r="JR37" s="112">
        <f t="shared" si="0"/>
        <v>3</v>
      </c>
      <c r="JS37" s="113">
        <f t="shared" si="1"/>
        <v>34086.633333333331</v>
      </c>
      <c r="JT37" s="114">
        <f t="shared" si="2"/>
        <v>34100</v>
      </c>
      <c r="JU37" s="134"/>
    </row>
    <row r="38" spans="1:281" ht="87" customHeight="1" x14ac:dyDescent="0.2">
      <c r="A38" s="98">
        <v>134</v>
      </c>
      <c r="B38" s="99">
        <v>134</v>
      </c>
      <c r="C38" s="39" t="s">
        <v>12</v>
      </c>
      <c r="D38" s="100" t="s">
        <v>21</v>
      </c>
      <c r="E38" s="39">
        <v>82150000</v>
      </c>
      <c r="F38" s="101" t="s">
        <v>175</v>
      </c>
      <c r="G38" s="102" t="s">
        <v>54</v>
      </c>
      <c r="H38" s="103" t="s">
        <v>501</v>
      </c>
      <c r="I38" s="108" t="s">
        <v>503</v>
      </c>
      <c r="J38" s="108" t="s">
        <v>503</v>
      </c>
      <c r="K38" s="108" t="s">
        <v>503</v>
      </c>
      <c r="L38" s="118" t="s">
        <v>502</v>
      </c>
      <c r="M38" s="118" t="s">
        <v>502</v>
      </c>
      <c r="N38" s="118" t="s">
        <v>502</v>
      </c>
      <c r="O38" s="108" t="s">
        <v>503</v>
      </c>
      <c r="P38" s="108" t="s">
        <v>503</v>
      </c>
      <c r="Q38" s="108" t="s">
        <v>503</v>
      </c>
      <c r="R38" s="108" t="s">
        <v>503</v>
      </c>
      <c r="S38" s="108" t="s">
        <v>503</v>
      </c>
      <c r="T38" s="108" t="s">
        <v>503</v>
      </c>
      <c r="U38" s="118" t="s">
        <v>502</v>
      </c>
      <c r="V38" s="118" t="s">
        <v>502</v>
      </c>
      <c r="W38" s="118" t="s">
        <v>502</v>
      </c>
      <c r="X38" s="108" t="s">
        <v>503</v>
      </c>
      <c r="Y38" s="108" t="s">
        <v>503</v>
      </c>
      <c r="Z38" s="108" t="s">
        <v>503</v>
      </c>
      <c r="AA38" s="108" t="s">
        <v>503</v>
      </c>
      <c r="AB38" s="108" t="s">
        <v>503</v>
      </c>
      <c r="AC38" s="108" t="s">
        <v>503</v>
      </c>
      <c r="AD38" s="108" t="s">
        <v>503</v>
      </c>
      <c r="AE38" s="108" t="s">
        <v>503</v>
      </c>
      <c r="AF38" s="108" t="s">
        <v>503</v>
      </c>
      <c r="AG38" s="108" t="s">
        <v>503</v>
      </c>
      <c r="AH38" s="108" t="s">
        <v>503</v>
      </c>
      <c r="AI38" s="108" t="s">
        <v>503</v>
      </c>
      <c r="AJ38" s="108" t="s">
        <v>503</v>
      </c>
      <c r="AK38" s="108" t="s">
        <v>503</v>
      </c>
      <c r="AL38" s="108" t="s">
        <v>503</v>
      </c>
      <c r="AM38" s="108" t="s">
        <v>503</v>
      </c>
      <c r="AN38" s="108" t="s">
        <v>503</v>
      </c>
      <c r="AO38" s="108" t="s">
        <v>503</v>
      </c>
      <c r="AP38" s="108" t="s">
        <v>503</v>
      </c>
      <c r="AQ38" s="108" t="s">
        <v>503</v>
      </c>
      <c r="AR38" s="108" t="s">
        <v>503</v>
      </c>
      <c r="AS38" s="118" t="s">
        <v>502</v>
      </c>
      <c r="AT38" s="118" t="s">
        <v>502</v>
      </c>
      <c r="AU38" s="118" t="s">
        <v>502</v>
      </c>
      <c r="AV38" s="108" t="s">
        <v>503</v>
      </c>
      <c r="AW38" s="108" t="s">
        <v>503</v>
      </c>
      <c r="AX38" s="108" t="s">
        <v>503</v>
      </c>
      <c r="AY38" s="108" t="s">
        <v>503</v>
      </c>
      <c r="AZ38" s="108" t="s">
        <v>503</v>
      </c>
      <c r="BA38" s="108" t="s">
        <v>503</v>
      </c>
      <c r="BB38" s="108" t="s">
        <v>503</v>
      </c>
      <c r="BC38" s="108" t="s">
        <v>503</v>
      </c>
      <c r="BD38" s="108" t="s">
        <v>503</v>
      </c>
      <c r="BE38" s="118" t="s">
        <v>502</v>
      </c>
      <c r="BF38" s="118" t="s">
        <v>502</v>
      </c>
      <c r="BG38" s="118" t="s">
        <v>502</v>
      </c>
      <c r="BH38" s="108" t="s">
        <v>503</v>
      </c>
      <c r="BI38" s="108" t="s">
        <v>503</v>
      </c>
      <c r="BJ38" s="108" t="s">
        <v>503</v>
      </c>
      <c r="BK38" s="108" t="s">
        <v>503</v>
      </c>
      <c r="BL38" s="108" t="s">
        <v>503</v>
      </c>
      <c r="BM38" s="108" t="s">
        <v>503</v>
      </c>
      <c r="BN38" s="108" t="s">
        <v>503</v>
      </c>
      <c r="BO38" s="108" t="s">
        <v>503</v>
      </c>
      <c r="BP38" s="108" t="s">
        <v>503</v>
      </c>
      <c r="BQ38" s="108" t="s">
        <v>503</v>
      </c>
      <c r="BR38" s="108" t="s">
        <v>503</v>
      </c>
      <c r="BS38" s="108" t="s">
        <v>503</v>
      </c>
      <c r="BT38" s="108" t="s">
        <v>503</v>
      </c>
      <c r="BU38" s="108" t="s">
        <v>503</v>
      </c>
      <c r="BV38" s="108" t="s">
        <v>503</v>
      </c>
      <c r="BW38" s="108" t="s">
        <v>503</v>
      </c>
      <c r="BX38" s="108" t="s">
        <v>503</v>
      </c>
      <c r="BY38" s="108" t="s">
        <v>503</v>
      </c>
      <c r="BZ38" s="108" t="s">
        <v>503</v>
      </c>
      <c r="CA38" s="108" t="s">
        <v>503</v>
      </c>
      <c r="CB38" s="108" t="s">
        <v>503</v>
      </c>
      <c r="CC38" s="108" t="s">
        <v>503</v>
      </c>
      <c r="CD38" s="108" t="s">
        <v>503</v>
      </c>
      <c r="CE38" s="108" t="s">
        <v>503</v>
      </c>
      <c r="CF38" s="108" t="s">
        <v>503</v>
      </c>
      <c r="CG38" s="108" t="s">
        <v>503</v>
      </c>
      <c r="CH38" s="108" t="s">
        <v>503</v>
      </c>
      <c r="CI38" s="108" t="s">
        <v>503</v>
      </c>
      <c r="CJ38" s="108" t="s">
        <v>503</v>
      </c>
      <c r="CK38" s="108" t="s">
        <v>503</v>
      </c>
      <c r="CL38" s="108" t="s">
        <v>503</v>
      </c>
      <c r="CM38" s="108" t="s">
        <v>503</v>
      </c>
      <c r="CN38" s="108" t="s">
        <v>503</v>
      </c>
      <c r="CO38" s="108" t="s">
        <v>503</v>
      </c>
      <c r="CP38" s="108" t="s">
        <v>503</v>
      </c>
      <c r="CQ38" s="108" t="s">
        <v>503</v>
      </c>
      <c r="CR38" s="108" t="s">
        <v>503</v>
      </c>
      <c r="CS38" s="108" t="s">
        <v>503</v>
      </c>
      <c r="CT38" s="108" t="s">
        <v>503</v>
      </c>
      <c r="CU38" s="108" t="s">
        <v>503</v>
      </c>
      <c r="CV38" s="108" t="s">
        <v>503</v>
      </c>
      <c r="CW38" s="108" t="s">
        <v>503</v>
      </c>
      <c r="CX38" s="108" t="s">
        <v>503</v>
      </c>
      <c r="CY38" s="108" t="s">
        <v>503</v>
      </c>
      <c r="CZ38" s="108" t="s">
        <v>503</v>
      </c>
      <c r="DA38" s="108" t="s">
        <v>503</v>
      </c>
      <c r="DB38" s="108" t="s">
        <v>503</v>
      </c>
      <c r="DC38" s="108" t="s">
        <v>503</v>
      </c>
      <c r="DD38" s="108" t="s">
        <v>503</v>
      </c>
      <c r="DE38" s="108" t="s">
        <v>503</v>
      </c>
      <c r="DF38" s="108" t="s">
        <v>503</v>
      </c>
      <c r="DG38" s="108" t="s">
        <v>503</v>
      </c>
      <c r="DH38" s="108" t="s">
        <v>503</v>
      </c>
      <c r="DI38" s="108" t="s">
        <v>503</v>
      </c>
      <c r="DJ38" s="108" t="s">
        <v>503</v>
      </c>
      <c r="DK38" s="108" t="s">
        <v>503</v>
      </c>
      <c r="DL38" s="108" t="s">
        <v>503</v>
      </c>
      <c r="DM38" s="108" t="s">
        <v>503</v>
      </c>
      <c r="DN38" s="108" t="s">
        <v>503</v>
      </c>
      <c r="DO38" s="108" t="s">
        <v>503</v>
      </c>
      <c r="DP38" s="108" t="s">
        <v>669</v>
      </c>
      <c r="DQ38" s="108" t="s">
        <v>669</v>
      </c>
      <c r="DR38" s="108" t="s">
        <v>669</v>
      </c>
      <c r="DS38" s="108" t="s">
        <v>669</v>
      </c>
      <c r="DT38" s="108" t="s">
        <v>669</v>
      </c>
      <c r="DU38" s="108" t="s">
        <v>669</v>
      </c>
      <c r="DV38" s="108" t="s">
        <v>503</v>
      </c>
      <c r="DW38" s="108" t="s">
        <v>503</v>
      </c>
      <c r="DX38" s="108" t="s">
        <v>503</v>
      </c>
      <c r="DY38" s="108" t="s">
        <v>503</v>
      </c>
      <c r="DZ38" s="108" t="s">
        <v>503</v>
      </c>
      <c r="EA38" s="108" t="s">
        <v>503</v>
      </c>
      <c r="EB38" s="108" t="s">
        <v>503</v>
      </c>
      <c r="EC38" s="108" t="s">
        <v>503</v>
      </c>
      <c r="ED38" s="108" t="s">
        <v>503</v>
      </c>
      <c r="EE38" s="108" t="s">
        <v>503</v>
      </c>
      <c r="EF38" s="108" t="s">
        <v>503</v>
      </c>
      <c r="EG38" s="108" t="s">
        <v>503</v>
      </c>
      <c r="EH38" s="108" t="s">
        <v>503</v>
      </c>
      <c r="EI38" s="108" t="s">
        <v>503</v>
      </c>
      <c r="EJ38" s="108" t="s">
        <v>503</v>
      </c>
      <c r="EK38" s="108" t="s">
        <v>503</v>
      </c>
      <c r="EL38" s="108" t="s">
        <v>503</v>
      </c>
      <c r="EM38" s="108" t="s">
        <v>503</v>
      </c>
      <c r="EN38" s="108" t="s">
        <v>503</v>
      </c>
      <c r="EO38" s="108" t="s">
        <v>503</v>
      </c>
      <c r="EP38" s="108" t="s">
        <v>503</v>
      </c>
      <c r="EQ38" s="108" t="s">
        <v>502</v>
      </c>
      <c r="ER38" s="108" t="s">
        <v>502</v>
      </c>
      <c r="ES38" s="108" t="s">
        <v>502</v>
      </c>
      <c r="ET38" s="108" t="s">
        <v>502</v>
      </c>
      <c r="EU38" s="108" t="s">
        <v>502</v>
      </c>
      <c r="EV38" s="108" t="s">
        <v>502</v>
      </c>
      <c r="EW38" s="108" t="s">
        <v>502</v>
      </c>
      <c r="EX38" s="108" t="s">
        <v>502</v>
      </c>
      <c r="EY38" s="108" t="s">
        <v>502</v>
      </c>
      <c r="EZ38" s="108" t="s">
        <v>502</v>
      </c>
      <c r="FA38" s="108" t="s">
        <v>502</v>
      </c>
      <c r="FB38" s="108" t="s">
        <v>502</v>
      </c>
      <c r="FC38" s="108" t="s">
        <v>502</v>
      </c>
      <c r="FD38" s="108" t="s">
        <v>502</v>
      </c>
      <c r="FE38" s="108" t="s">
        <v>502</v>
      </c>
      <c r="FF38" s="108" t="s">
        <v>503</v>
      </c>
      <c r="FG38" s="108" t="s">
        <v>503</v>
      </c>
      <c r="FH38" s="108" t="s">
        <v>503</v>
      </c>
      <c r="FI38" s="108" t="s">
        <v>503</v>
      </c>
      <c r="FJ38" s="108" t="s">
        <v>503</v>
      </c>
      <c r="FK38" s="108" t="s">
        <v>503</v>
      </c>
      <c r="FL38" s="108" t="s">
        <v>503</v>
      </c>
      <c r="FM38" s="108" t="s">
        <v>503</v>
      </c>
      <c r="FN38" s="108" t="s">
        <v>503</v>
      </c>
      <c r="FO38" s="108" t="s">
        <v>502</v>
      </c>
      <c r="FP38" s="108" t="s">
        <v>502</v>
      </c>
      <c r="FQ38" s="108" t="s">
        <v>502</v>
      </c>
      <c r="FR38" s="108" t="s">
        <v>502</v>
      </c>
      <c r="FS38" s="108" t="s">
        <v>502</v>
      </c>
      <c r="FT38" s="108" t="s">
        <v>502</v>
      </c>
      <c r="FU38" s="108" t="s">
        <v>502</v>
      </c>
      <c r="FV38" s="108" t="s">
        <v>502</v>
      </c>
      <c r="FW38" s="108" t="s">
        <v>502</v>
      </c>
      <c r="FX38" s="108" t="s">
        <v>503</v>
      </c>
      <c r="FY38" s="108" t="s">
        <v>503</v>
      </c>
      <c r="FZ38" s="108" t="s">
        <v>503</v>
      </c>
      <c r="GA38" s="108" t="s">
        <v>503</v>
      </c>
      <c r="GB38" s="108" t="s">
        <v>503</v>
      </c>
      <c r="GC38" s="108" t="s">
        <v>503</v>
      </c>
      <c r="GD38" s="108" t="s">
        <v>503</v>
      </c>
      <c r="GE38" s="108" t="s">
        <v>503</v>
      </c>
      <c r="GF38" s="108" t="s">
        <v>503</v>
      </c>
      <c r="GG38" s="108" t="s">
        <v>669</v>
      </c>
      <c r="GH38" s="108" t="s">
        <v>669</v>
      </c>
      <c r="GI38" s="108" t="s">
        <v>669</v>
      </c>
      <c r="GJ38" s="108" t="s">
        <v>669</v>
      </c>
      <c r="GK38" s="108" t="s">
        <v>669</v>
      </c>
      <c r="GL38" s="108" t="s">
        <v>669</v>
      </c>
      <c r="GM38" s="108" t="s">
        <v>502</v>
      </c>
      <c r="GN38" s="108" t="s">
        <v>502</v>
      </c>
      <c r="GO38" s="108" t="s">
        <v>502</v>
      </c>
      <c r="GP38" s="108" t="s">
        <v>664</v>
      </c>
      <c r="GQ38" s="108" t="s">
        <v>664</v>
      </c>
      <c r="GR38" s="108" t="s">
        <v>664</v>
      </c>
      <c r="GS38" s="108" t="s">
        <v>502</v>
      </c>
      <c r="GT38" s="108" t="s">
        <v>502</v>
      </c>
      <c r="GU38" s="108" t="s">
        <v>502</v>
      </c>
      <c r="GV38" s="108" t="s">
        <v>502</v>
      </c>
      <c r="GW38" s="108" t="s">
        <v>502</v>
      </c>
      <c r="GX38" s="108" t="s">
        <v>502</v>
      </c>
      <c r="GY38" s="108" t="s">
        <v>664</v>
      </c>
      <c r="GZ38" s="108" t="s">
        <v>664</v>
      </c>
      <c r="HA38" s="108" t="s">
        <v>664</v>
      </c>
      <c r="HB38" s="108" t="s">
        <v>664</v>
      </c>
      <c r="HC38" s="108" t="s">
        <v>664</v>
      </c>
      <c r="HD38" s="108" t="s">
        <v>664</v>
      </c>
      <c r="HE38" s="108" t="s">
        <v>664</v>
      </c>
      <c r="HF38" s="108" t="s">
        <v>664</v>
      </c>
      <c r="HG38" s="108" t="s">
        <v>664</v>
      </c>
      <c r="HH38" s="108" t="s">
        <v>664</v>
      </c>
      <c r="HI38" s="108" t="s">
        <v>664</v>
      </c>
      <c r="HJ38" s="108" t="s">
        <v>664</v>
      </c>
      <c r="HK38" s="108" t="s">
        <v>664</v>
      </c>
      <c r="HL38" s="108" t="s">
        <v>664</v>
      </c>
      <c r="HM38" s="108" t="s">
        <v>664</v>
      </c>
      <c r="HN38" s="108" t="s">
        <v>664</v>
      </c>
      <c r="HO38" s="108" t="s">
        <v>664</v>
      </c>
      <c r="HP38" s="108" t="s">
        <v>664</v>
      </c>
      <c r="HQ38" s="108" t="s">
        <v>503</v>
      </c>
      <c r="HR38" s="108" t="s">
        <v>503</v>
      </c>
      <c r="HS38" s="108" t="s">
        <v>503</v>
      </c>
      <c r="HT38" s="108" t="s">
        <v>502</v>
      </c>
      <c r="HU38" s="108" t="s">
        <v>502</v>
      </c>
      <c r="HV38" s="108" t="s">
        <v>502</v>
      </c>
      <c r="HW38" s="108" t="s">
        <v>503</v>
      </c>
      <c r="HX38" s="108" t="s">
        <v>503</v>
      </c>
      <c r="HY38" s="108" t="s">
        <v>503</v>
      </c>
      <c r="HZ38" s="118" t="s">
        <v>502</v>
      </c>
      <c r="IA38" s="118" t="s">
        <v>502</v>
      </c>
      <c r="IB38" s="118" t="s">
        <v>502</v>
      </c>
      <c r="IC38" s="118" t="s">
        <v>502</v>
      </c>
      <c r="ID38" s="118" t="s">
        <v>502</v>
      </c>
      <c r="IE38" s="118" t="s">
        <v>502</v>
      </c>
      <c r="IF38" s="118" t="s">
        <v>502</v>
      </c>
      <c r="IG38" s="118" t="s">
        <v>502</v>
      </c>
      <c r="IH38" s="118" t="s">
        <v>502</v>
      </c>
      <c r="II38" s="118" t="s">
        <v>502</v>
      </c>
      <c r="IJ38" s="118" t="s">
        <v>502</v>
      </c>
      <c r="IK38" s="118" t="s">
        <v>502</v>
      </c>
      <c r="IL38" s="118" t="s">
        <v>502</v>
      </c>
      <c r="IM38" s="118" t="s">
        <v>502</v>
      </c>
      <c r="IN38" s="118" t="s">
        <v>502</v>
      </c>
      <c r="IO38" s="120" t="s">
        <v>503</v>
      </c>
      <c r="IP38" s="120" t="s">
        <v>503</v>
      </c>
      <c r="IQ38" s="120" t="s">
        <v>503</v>
      </c>
      <c r="IR38" s="118" t="s">
        <v>669</v>
      </c>
      <c r="IS38" s="118" t="s">
        <v>669</v>
      </c>
      <c r="IT38" s="118" t="s">
        <v>669</v>
      </c>
      <c r="IU38" s="120" t="s">
        <v>503</v>
      </c>
      <c r="IV38" s="120" t="s">
        <v>503</v>
      </c>
      <c r="IW38" s="120" t="s">
        <v>503</v>
      </c>
      <c r="IX38" s="120" t="s">
        <v>503</v>
      </c>
      <c r="IY38" s="120" t="s">
        <v>503</v>
      </c>
      <c r="IZ38" s="120" t="s">
        <v>503</v>
      </c>
      <c r="JA38" s="120" t="s">
        <v>503</v>
      </c>
      <c r="JB38" s="120" t="s">
        <v>503</v>
      </c>
      <c r="JC38" s="120" t="s">
        <v>503</v>
      </c>
      <c r="JD38" s="120" t="s">
        <v>664</v>
      </c>
      <c r="JE38" s="120" t="s">
        <v>664</v>
      </c>
      <c r="JF38" s="120" t="s">
        <v>664</v>
      </c>
      <c r="JG38" s="118">
        <v>172400</v>
      </c>
      <c r="JH38" s="118">
        <f>+JG38*0%</f>
        <v>0</v>
      </c>
      <c r="JI38" s="118">
        <f>+JG38+JH38</f>
        <v>172400</v>
      </c>
      <c r="JJ38" s="118" t="s">
        <v>502</v>
      </c>
      <c r="JK38" s="118" t="s">
        <v>502</v>
      </c>
      <c r="JL38" s="118" t="s">
        <v>502</v>
      </c>
      <c r="JM38" s="118" t="s">
        <v>502</v>
      </c>
      <c r="JN38" s="118" t="s">
        <v>502</v>
      </c>
      <c r="JO38" s="118" t="s">
        <v>502</v>
      </c>
      <c r="JP38" s="110">
        <v>166600</v>
      </c>
      <c r="JQ38" s="111">
        <v>199049.25510400001</v>
      </c>
      <c r="JR38" s="112">
        <f t="shared" si="0"/>
        <v>1</v>
      </c>
      <c r="JS38" s="113">
        <f t="shared" si="1"/>
        <v>172400</v>
      </c>
      <c r="JT38" s="114">
        <f t="shared" si="2"/>
        <v>172400</v>
      </c>
      <c r="JU38" s="164"/>
    </row>
    <row r="39" spans="1:281" ht="189" customHeight="1" x14ac:dyDescent="0.2">
      <c r="A39" s="98">
        <v>135</v>
      </c>
      <c r="B39" s="99">
        <v>135</v>
      </c>
      <c r="C39" s="39" t="s">
        <v>12</v>
      </c>
      <c r="D39" s="100" t="s">
        <v>202</v>
      </c>
      <c r="E39" s="39">
        <v>81112500</v>
      </c>
      <c r="F39" s="165" t="s">
        <v>210</v>
      </c>
      <c r="G39" s="102" t="s">
        <v>86</v>
      </c>
      <c r="H39" s="103" t="s">
        <v>501</v>
      </c>
      <c r="I39" s="108" t="s">
        <v>503</v>
      </c>
      <c r="J39" s="108" t="s">
        <v>503</v>
      </c>
      <c r="K39" s="108" t="s">
        <v>503</v>
      </c>
      <c r="L39" s="118" t="s">
        <v>502</v>
      </c>
      <c r="M39" s="118" t="s">
        <v>502</v>
      </c>
      <c r="N39" s="118" t="s">
        <v>502</v>
      </c>
      <c r="O39" s="108" t="s">
        <v>503</v>
      </c>
      <c r="P39" s="108" t="s">
        <v>503</v>
      </c>
      <c r="Q39" s="108" t="s">
        <v>503</v>
      </c>
      <c r="R39" s="108" t="s">
        <v>503</v>
      </c>
      <c r="S39" s="108" t="s">
        <v>503</v>
      </c>
      <c r="T39" s="108" t="s">
        <v>503</v>
      </c>
      <c r="U39" s="118" t="s">
        <v>502</v>
      </c>
      <c r="V39" s="118" t="s">
        <v>502</v>
      </c>
      <c r="W39" s="118" t="s">
        <v>502</v>
      </c>
      <c r="X39" s="108" t="s">
        <v>503</v>
      </c>
      <c r="Y39" s="108" t="s">
        <v>503</v>
      </c>
      <c r="Z39" s="108" t="s">
        <v>503</v>
      </c>
      <c r="AA39" s="108" t="s">
        <v>503</v>
      </c>
      <c r="AB39" s="108" t="s">
        <v>503</v>
      </c>
      <c r="AC39" s="108" t="s">
        <v>503</v>
      </c>
      <c r="AD39" s="108" t="s">
        <v>503</v>
      </c>
      <c r="AE39" s="108" t="s">
        <v>503</v>
      </c>
      <c r="AF39" s="108" t="s">
        <v>503</v>
      </c>
      <c r="AG39" s="108" t="s">
        <v>503</v>
      </c>
      <c r="AH39" s="108" t="s">
        <v>503</v>
      </c>
      <c r="AI39" s="108" t="s">
        <v>503</v>
      </c>
      <c r="AJ39" s="108" t="s">
        <v>503</v>
      </c>
      <c r="AK39" s="108" t="s">
        <v>503</v>
      </c>
      <c r="AL39" s="108" t="s">
        <v>503</v>
      </c>
      <c r="AM39" s="108" t="s">
        <v>503</v>
      </c>
      <c r="AN39" s="108" t="s">
        <v>503</v>
      </c>
      <c r="AO39" s="108" t="s">
        <v>503</v>
      </c>
      <c r="AP39" s="108" t="s">
        <v>503</v>
      </c>
      <c r="AQ39" s="108" t="s">
        <v>503</v>
      </c>
      <c r="AR39" s="108" t="s">
        <v>503</v>
      </c>
      <c r="AS39" s="118" t="s">
        <v>502</v>
      </c>
      <c r="AT39" s="118" t="s">
        <v>502</v>
      </c>
      <c r="AU39" s="118" t="s">
        <v>502</v>
      </c>
      <c r="AV39" s="108" t="s">
        <v>503</v>
      </c>
      <c r="AW39" s="108" t="s">
        <v>503</v>
      </c>
      <c r="AX39" s="108" t="s">
        <v>503</v>
      </c>
      <c r="AY39" s="108" t="s">
        <v>503</v>
      </c>
      <c r="AZ39" s="108" t="s">
        <v>503</v>
      </c>
      <c r="BA39" s="108" t="s">
        <v>503</v>
      </c>
      <c r="BB39" s="108" t="s">
        <v>503</v>
      </c>
      <c r="BC39" s="108" t="s">
        <v>503</v>
      </c>
      <c r="BD39" s="108" t="s">
        <v>503</v>
      </c>
      <c r="BE39" s="118" t="s">
        <v>502</v>
      </c>
      <c r="BF39" s="118" t="s">
        <v>502</v>
      </c>
      <c r="BG39" s="118" t="s">
        <v>502</v>
      </c>
      <c r="BH39" s="108" t="s">
        <v>503</v>
      </c>
      <c r="BI39" s="108" t="s">
        <v>503</v>
      </c>
      <c r="BJ39" s="108" t="s">
        <v>503</v>
      </c>
      <c r="BK39" s="108" t="s">
        <v>503</v>
      </c>
      <c r="BL39" s="108" t="s">
        <v>503</v>
      </c>
      <c r="BM39" s="108" t="s">
        <v>503</v>
      </c>
      <c r="BN39" s="108" t="s">
        <v>503</v>
      </c>
      <c r="BO39" s="108" t="s">
        <v>503</v>
      </c>
      <c r="BP39" s="108" t="s">
        <v>503</v>
      </c>
      <c r="BQ39" s="108" t="s">
        <v>503</v>
      </c>
      <c r="BR39" s="108" t="s">
        <v>503</v>
      </c>
      <c r="BS39" s="108" t="s">
        <v>503</v>
      </c>
      <c r="BT39" s="108" t="s">
        <v>503</v>
      </c>
      <c r="BU39" s="108" t="s">
        <v>503</v>
      </c>
      <c r="BV39" s="108" t="s">
        <v>503</v>
      </c>
      <c r="BW39" s="108" t="s">
        <v>503</v>
      </c>
      <c r="BX39" s="108" t="s">
        <v>503</v>
      </c>
      <c r="BY39" s="108" t="s">
        <v>503</v>
      </c>
      <c r="BZ39" s="77" t="s">
        <v>502</v>
      </c>
      <c r="CA39" s="77" t="s">
        <v>502</v>
      </c>
      <c r="CB39" s="77" t="s">
        <v>502</v>
      </c>
      <c r="CC39" s="108" t="s">
        <v>503</v>
      </c>
      <c r="CD39" s="108" t="s">
        <v>503</v>
      </c>
      <c r="CE39" s="108" t="s">
        <v>503</v>
      </c>
      <c r="CF39" s="108" t="s">
        <v>503</v>
      </c>
      <c r="CG39" s="108" t="s">
        <v>503</v>
      </c>
      <c r="CH39" s="108" t="s">
        <v>503</v>
      </c>
      <c r="CI39" s="108" t="s">
        <v>503</v>
      </c>
      <c r="CJ39" s="108" t="s">
        <v>503</v>
      </c>
      <c r="CK39" s="108" t="s">
        <v>503</v>
      </c>
      <c r="CL39" s="108" t="s">
        <v>503</v>
      </c>
      <c r="CM39" s="108" t="s">
        <v>503</v>
      </c>
      <c r="CN39" s="108" t="s">
        <v>503</v>
      </c>
      <c r="CO39" s="108" t="s">
        <v>503</v>
      </c>
      <c r="CP39" s="108" t="s">
        <v>503</v>
      </c>
      <c r="CQ39" s="108" t="s">
        <v>503</v>
      </c>
      <c r="CR39" s="108" t="s">
        <v>503</v>
      </c>
      <c r="CS39" s="108" t="s">
        <v>503</v>
      </c>
      <c r="CT39" s="108" t="s">
        <v>503</v>
      </c>
      <c r="CU39" s="108" t="s">
        <v>503</v>
      </c>
      <c r="CV39" s="108" t="s">
        <v>503</v>
      </c>
      <c r="CW39" s="108" t="s">
        <v>503</v>
      </c>
      <c r="CX39" s="108" t="s">
        <v>503</v>
      </c>
      <c r="CY39" s="108" t="s">
        <v>503</v>
      </c>
      <c r="CZ39" s="108" t="s">
        <v>503</v>
      </c>
      <c r="DA39" s="108" t="s">
        <v>503</v>
      </c>
      <c r="DB39" s="108" t="s">
        <v>503</v>
      </c>
      <c r="DC39" s="108" t="s">
        <v>503</v>
      </c>
      <c r="DD39" s="108" t="s">
        <v>503</v>
      </c>
      <c r="DE39" s="108" t="s">
        <v>503</v>
      </c>
      <c r="DF39" s="108" t="s">
        <v>503</v>
      </c>
      <c r="DG39" s="108" t="s">
        <v>503</v>
      </c>
      <c r="DH39" s="108" t="s">
        <v>503</v>
      </c>
      <c r="DI39" s="108" t="s">
        <v>503</v>
      </c>
      <c r="DJ39" s="108" t="s">
        <v>503</v>
      </c>
      <c r="DK39" s="108" t="s">
        <v>503</v>
      </c>
      <c r="DL39" s="108" t="s">
        <v>503</v>
      </c>
      <c r="DM39" s="108" t="s">
        <v>503</v>
      </c>
      <c r="DN39" s="108" t="s">
        <v>503</v>
      </c>
      <c r="DO39" s="108" t="s">
        <v>503</v>
      </c>
      <c r="DP39" s="108" t="s">
        <v>669</v>
      </c>
      <c r="DQ39" s="108" t="s">
        <v>669</v>
      </c>
      <c r="DR39" s="108" t="s">
        <v>669</v>
      </c>
      <c r="DS39" s="108" t="s">
        <v>669</v>
      </c>
      <c r="DT39" s="108" t="s">
        <v>669</v>
      </c>
      <c r="DU39" s="108" t="s">
        <v>669</v>
      </c>
      <c r="DV39" s="108" t="s">
        <v>503</v>
      </c>
      <c r="DW39" s="108" t="s">
        <v>503</v>
      </c>
      <c r="DX39" s="108" t="s">
        <v>503</v>
      </c>
      <c r="DY39" s="108" t="s">
        <v>503</v>
      </c>
      <c r="DZ39" s="108" t="s">
        <v>503</v>
      </c>
      <c r="EA39" s="108" t="s">
        <v>503</v>
      </c>
      <c r="EB39" s="108" t="s">
        <v>503</v>
      </c>
      <c r="EC39" s="108" t="s">
        <v>503</v>
      </c>
      <c r="ED39" s="108" t="s">
        <v>503</v>
      </c>
      <c r="EE39" s="108" t="s">
        <v>503</v>
      </c>
      <c r="EF39" s="108" t="s">
        <v>503</v>
      </c>
      <c r="EG39" s="108" t="s">
        <v>503</v>
      </c>
      <c r="EH39" s="108" t="s">
        <v>503</v>
      </c>
      <c r="EI39" s="108" t="s">
        <v>503</v>
      </c>
      <c r="EJ39" s="108" t="s">
        <v>503</v>
      </c>
      <c r="EK39" s="108" t="s">
        <v>503</v>
      </c>
      <c r="EL39" s="108" t="s">
        <v>503</v>
      </c>
      <c r="EM39" s="108" t="s">
        <v>503</v>
      </c>
      <c r="EN39" s="108" t="s">
        <v>503</v>
      </c>
      <c r="EO39" s="108" t="s">
        <v>503</v>
      </c>
      <c r="EP39" s="108" t="s">
        <v>503</v>
      </c>
      <c r="EQ39" s="108" t="s">
        <v>502</v>
      </c>
      <c r="ER39" s="108" t="s">
        <v>502</v>
      </c>
      <c r="ES39" s="108" t="s">
        <v>502</v>
      </c>
      <c r="ET39" s="108" t="s">
        <v>502</v>
      </c>
      <c r="EU39" s="108" t="s">
        <v>502</v>
      </c>
      <c r="EV39" s="108" t="s">
        <v>502</v>
      </c>
      <c r="EW39" s="108" t="s">
        <v>502</v>
      </c>
      <c r="EX39" s="108" t="s">
        <v>502</v>
      </c>
      <c r="EY39" s="108" t="s">
        <v>502</v>
      </c>
      <c r="EZ39" s="108" t="s">
        <v>502</v>
      </c>
      <c r="FA39" s="108" t="s">
        <v>502</v>
      </c>
      <c r="FB39" s="108" t="s">
        <v>502</v>
      </c>
      <c r="FC39" s="108" t="s">
        <v>502</v>
      </c>
      <c r="FD39" s="108" t="s">
        <v>502</v>
      </c>
      <c r="FE39" s="108" t="s">
        <v>502</v>
      </c>
      <c r="FF39" s="108" t="s">
        <v>503</v>
      </c>
      <c r="FG39" s="108" t="s">
        <v>503</v>
      </c>
      <c r="FH39" s="108" t="s">
        <v>503</v>
      </c>
      <c r="FI39" s="108" t="s">
        <v>503</v>
      </c>
      <c r="FJ39" s="108" t="s">
        <v>503</v>
      </c>
      <c r="FK39" s="108" t="s">
        <v>503</v>
      </c>
      <c r="FL39" s="108" t="s">
        <v>503</v>
      </c>
      <c r="FM39" s="108" t="s">
        <v>503</v>
      </c>
      <c r="FN39" s="108" t="s">
        <v>503</v>
      </c>
      <c r="FO39" s="108" t="s">
        <v>502</v>
      </c>
      <c r="FP39" s="108" t="s">
        <v>502</v>
      </c>
      <c r="FQ39" s="108" t="s">
        <v>502</v>
      </c>
      <c r="FR39" s="108" t="s">
        <v>502</v>
      </c>
      <c r="FS39" s="108" t="s">
        <v>502</v>
      </c>
      <c r="FT39" s="108" t="s">
        <v>502</v>
      </c>
      <c r="FU39" s="108" t="s">
        <v>502</v>
      </c>
      <c r="FV39" s="108" t="s">
        <v>502</v>
      </c>
      <c r="FW39" s="108" t="s">
        <v>502</v>
      </c>
      <c r="FX39" s="108" t="s">
        <v>503</v>
      </c>
      <c r="FY39" s="108" t="s">
        <v>503</v>
      </c>
      <c r="FZ39" s="108" t="s">
        <v>503</v>
      </c>
      <c r="GA39" s="108" t="s">
        <v>503</v>
      </c>
      <c r="GB39" s="108" t="s">
        <v>503</v>
      </c>
      <c r="GC39" s="108" t="s">
        <v>503</v>
      </c>
      <c r="GD39" s="108" t="s">
        <v>503</v>
      </c>
      <c r="GE39" s="108" t="s">
        <v>503</v>
      </c>
      <c r="GF39" s="108" t="s">
        <v>503</v>
      </c>
      <c r="GG39" s="108" t="s">
        <v>669</v>
      </c>
      <c r="GH39" s="108" t="s">
        <v>669</v>
      </c>
      <c r="GI39" s="108" t="s">
        <v>669</v>
      </c>
      <c r="GJ39" s="108" t="s">
        <v>669</v>
      </c>
      <c r="GK39" s="108" t="s">
        <v>669</v>
      </c>
      <c r="GL39" s="108" t="s">
        <v>669</v>
      </c>
      <c r="GM39" s="108" t="s">
        <v>502</v>
      </c>
      <c r="GN39" s="108" t="s">
        <v>502</v>
      </c>
      <c r="GO39" s="108" t="s">
        <v>502</v>
      </c>
      <c r="GP39" s="108" t="s">
        <v>664</v>
      </c>
      <c r="GQ39" s="108" t="s">
        <v>664</v>
      </c>
      <c r="GR39" s="108" t="s">
        <v>664</v>
      </c>
      <c r="GS39" s="108" t="s">
        <v>502</v>
      </c>
      <c r="GT39" s="108" t="s">
        <v>502</v>
      </c>
      <c r="GU39" s="108" t="s">
        <v>502</v>
      </c>
      <c r="GV39" s="108" t="s">
        <v>502</v>
      </c>
      <c r="GW39" s="108" t="s">
        <v>502</v>
      </c>
      <c r="GX39" s="108" t="s">
        <v>502</v>
      </c>
      <c r="GY39" s="108" t="s">
        <v>664</v>
      </c>
      <c r="GZ39" s="108" t="s">
        <v>664</v>
      </c>
      <c r="HA39" s="108" t="s">
        <v>664</v>
      </c>
      <c r="HB39" s="108" t="s">
        <v>664</v>
      </c>
      <c r="HC39" s="108" t="s">
        <v>664</v>
      </c>
      <c r="HD39" s="108" t="s">
        <v>664</v>
      </c>
      <c r="HE39" s="108" t="s">
        <v>664</v>
      </c>
      <c r="HF39" s="108" t="s">
        <v>664</v>
      </c>
      <c r="HG39" s="108" t="s">
        <v>664</v>
      </c>
      <c r="HH39" s="108" t="s">
        <v>664</v>
      </c>
      <c r="HI39" s="108" t="s">
        <v>664</v>
      </c>
      <c r="HJ39" s="108" t="s">
        <v>664</v>
      </c>
      <c r="HK39" s="108" t="s">
        <v>664</v>
      </c>
      <c r="HL39" s="108" t="s">
        <v>664</v>
      </c>
      <c r="HM39" s="108" t="s">
        <v>664</v>
      </c>
      <c r="HN39" s="108" t="s">
        <v>664</v>
      </c>
      <c r="HO39" s="108" t="s">
        <v>664</v>
      </c>
      <c r="HP39" s="108" t="s">
        <v>664</v>
      </c>
      <c r="HQ39" s="108" t="s">
        <v>503</v>
      </c>
      <c r="HR39" s="108" t="s">
        <v>503</v>
      </c>
      <c r="HS39" s="108" t="s">
        <v>503</v>
      </c>
      <c r="HT39" s="108" t="s">
        <v>502</v>
      </c>
      <c r="HU39" s="108" t="s">
        <v>502</v>
      </c>
      <c r="HV39" s="108" t="s">
        <v>502</v>
      </c>
      <c r="HW39" s="108" t="s">
        <v>502</v>
      </c>
      <c r="HX39" s="108" t="s">
        <v>502</v>
      </c>
      <c r="HY39" s="108" t="s">
        <v>502</v>
      </c>
      <c r="HZ39" s="118" t="s">
        <v>502</v>
      </c>
      <c r="IA39" s="118" t="s">
        <v>502</v>
      </c>
      <c r="IB39" s="118" t="s">
        <v>502</v>
      </c>
      <c r="IC39" s="118" t="s">
        <v>502</v>
      </c>
      <c r="ID39" s="118" t="s">
        <v>502</v>
      </c>
      <c r="IE39" s="118" t="s">
        <v>502</v>
      </c>
      <c r="IF39" s="118" t="s">
        <v>502</v>
      </c>
      <c r="IG39" s="118" t="s">
        <v>502</v>
      </c>
      <c r="IH39" s="118" t="s">
        <v>502</v>
      </c>
      <c r="II39" s="118">
        <v>8000000</v>
      </c>
      <c r="IJ39" s="118">
        <f>+II39*19%</f>
        <v>1520000</v>
      </c>
      <c r="IK39" s="118">
        <f>+II39+IJ39</f>
        <v>9520000</v>
      </c>
      <c r="IL39" s="118">
        <v>9000000</v>
      </c>
      <c r="IM39" s="118">
        <f>+IL39*0%</f>
        <v>0</v>
      </c>
      <c r="IN39" s="118">
        <f>+IL39+IM39</f>
        <v>9000000</v>
      </c>
      <c r="IO39" s="69">
        <v>10200000</v>
      </c>
      <c r="IP39" s="118">
        <f>+IO39*0%</f>
        <v>0</v>
      </c>
      <c r="IQ39" s="118">
        <f>+IO39+IP39</f>
        <v>10200000</v>
      </c>
      <c r="IR39" s="118" t="s">
        <v>669</v>
      </c>
      <c r="IS39" s="118" t="s">
        <v>669</v>
      </c>
      <c r="IT39" s="118" t="s">
        <v>669</v>
      </c>
      <c r="IU39" s="120" t="s">
        <v>503</v>
      </c>
      <c r="IV39" s="120" t="s">
        <v>503</v>
      </c>
      <c r="IW39" s="120" t="s">
        <v>503</v>
      </c>
      <c r="IX39" s="120" t="s">
        <v>503</v>
      </c>
      <c r="IY39" s="120" t="s">
        <v>503</v>
      </c>
      <c r="IZ39" s="120" t="s">
        <v>503</v>
      </c>
      <c r="JA39" s="120" t="s">
        <v>503</v>
      </c>
      <c r="JB39" s="120" t="s">
        <v>503</v>
      </c>
      <c r="JC39" s="120" t="s">
        <v>503</v>
      </c>
      <c r="JD39" s="120" t="s">
        <v>664</v>
      </c>
      <c r="JE39" s="120" t="s">
        <v>664</v>
      </c>
      <c r="JF39" s="120" t="s">
        <v>664</v>
      </c>
      <c r="JG39" s="118" t="s">
        <v>502</v>
      </c>
      <c r="JH39" s="118" t="s">
        <v>502</v>
      </c>
      <c r="JI39" s="118" t="s">
        <v>502</v>
      </c>
      <c r="JJ39" s="118" t="s">
        <v>502</v>
      </c>
      <c r="JK39" s="118" t="s">
        <v>502</v>
      </c>
      <c r="JL39" s="118" t="s">
        <v>502</v>
      </c>
      <c r="JM39" s="118" t="s">
        <v>502</v>
      </c>
      <c r="JN39" s="118" t="s">
        <v>502</v>
      </c>
      <c r="JO39" s="118" t="s">
        <v>502</v>
      </c>
      <c r="JP39" s="110" t="e">
        <v>#N/A</v>
      </c>
      <c r="JQ39" s="111" t="e">
        <v>#N/A</v>
      </c>
      <c r="JR39" s="112">
        <f t="shared" si="0"/>
        <v>3</v>
      </c>
      <c r="JS39" s="113">
        <f t="shared" si="1"/>
        <v>9573333.333333334</v>
      </c>
      <c r="JT39" s="114">
        <f t="shared" si="2"/>
        <v>9573350</v>
      </c>
      <c r="JU39" s="166"/>
    </row>
    <row r="40" spans="1:281" ht="101.25" customHeight="1" x14ac:dyDescent="0.2">
      <c r="A40" s="98">
        <v>136</v>
      </c>
      <c r="B40" s="99">
        <v>136</v>
      </c>
      <c r="C40" s="39" t="s">
        <v>12</v>
      </c>
      <c r="D40" s="100" t="s">
        <v>22</v>
      </c>
      <c r="E40" s="39">
        <v>43211800</v>
      </c>
      <c r="F40" s="101" t="s">
        <v>176</v>
      </c>
      <c r="G40" s="102" t="s">
        <v>55</v>
      </c>
      <c r="H40" s="103" t="s">
        <v>501</v>
      </c>
      <c r="I40" s="108" t="s">
        <v>503</v>
      </c>
      <c r="J40" s="108" t="s">
        <v>503</v>
      </c>
      <c r="K40" s="108" t="s">
        <v>503</v>
      </c>
      <c r="L40" s="118" t="s">
        <v>502</v>
      </c>
      <c r="M40" s="118" t="s">
        <v>502</v>
      </c>
      <c r="N40" s="118" t="s">
        <v>502</v>
      </c>
      <c r="O40" s="108" t="s">
        <v>503</v>
      </c>
      <c r="P40" s="108" t="s">
        <v>503</v>
      </c>
      <c r="Q40" s="108" t="s">
        <v>503</v>
      </c>
      <c r="R40" s="108" t="s">
        <v>503</v>
      </c>
      <c r="S40" s="108" t="s">
        <v>503</v>
      </c>
      <c r="T40" s="108" t="s">
        <v>503</v>
      </c>
      <c r="U40" s="118" t="s">
        <v>502</v>
      </c>
      <c r="V40" s="118" t="s">
        <v>502</v>
      </c>
      <c r="W40" s="118" t="s">
        <v>502</v>
      </c>
      <c r="X40" s="108" t="s">
        <v>503</v>
      </c>
      <c r="Y40" s="108" t="s">
        <v>503</v>
      </c>
      <c r="Z40" s="108" t="s">
        <v>503</v>
      </c>
      <c r="AA40" s="108" t="s">
        <v>503</v>
      </c>
      <c r="AB40" s="108" t="s">
        <v>503</v>
      </c>
      <c r="AC40" s="108" t="s">
        <v>503</v>
      </c>
      <c r="AD40" s="108" t="s">
        <v>503</v>
      </c>
      <c r="AE40" s="108" t="s">
        <v>503</v>
      </c>
      <c r="AF40" s="108" t="s">
        <v>503</v>
      </c>
      <c r="AG40" s="108" t="s">
        <v>503</v>
      </c>
      <c r="AH40" s="108" t="s">
        <v>503</v>
      </c>
      <c r="AI40" s="108" t="s">
        <v>503</v>
      </c>
      <c r="AJ40" s="108" t="s">
        <v>503</v>
      </c>
      <c r="AK40" s="108" t="s">
        <v>503</v>
      </c>
      <c r="AL40" s="108" t="s">
        <v>503</v>
      </c>
      <c r="AM40" s="108" t="s">
        <v>503</v>
      </c>
      <c r="AN40" s="108" t="s">
        <v>503</v>
      </c>
      <c r="AO40" s="108" t="s">
        <v>503</v>
      </c>
      <c r="AP40" s="108" t="s">
        <v>503</v>
      </c>
      <c r="AQ40" s="108" t="s">
        <v>503</v>
      </c>
      <c r="AR40" s="108" t="s">
        <v>503</v>
      </c>
      <c r="AS40" s="118" t="s">
        <v>502</v>
      </c>
      <c r="AT40" s="118" t="s">
        <v>502</v>
      </c>
      <c r="AU40" s="118" t="s">
        <v>502</v>
      </c>
      <c r="AV40" s="108" t="s">
        <v>503</v>
      </c>
      <c r="AW40" s="108" t="s">
        <v>503</v>
      </c>
      <c r="AX40" s="108" t="s">
        <v>503</v>
      </c>
      <c r="AY40" s="108" t="s">
        <v>503</v>
      </c>
      <c r="AZ40" s="108" t="s">
        <v>503</v>
      </c>
      <c r="BA40" s="108" t="s">
        <v>503</v>
      </c>
      <c r="BB40" s="108" t="s">
        <v>503</v>
      </c>
      <c r="BC40" s="108" t="s">
        <v>503</v>
      </c>
      <c r="BD40" s="108" t="s">
        <v>503</v>
      </c>
      <c r="BE40" s="118" t="s">
        <v>502</v>
      </c>
      <c r="BF40" s="118" t="s">
        <v>502</v>
      </c>
      <c r="BG40" s="118" t="s">
        <v>502</v>
      </c>
      <c r="BH40" s="108" t="s">
        <v>503</v>
      </c>
      <c r="BI40" s="108" t="s">
        <v>503</v>
      </c>
      <c r="BJ40" s="108" t="s">
        <v>503</v>
      </c>
      <c r="BK40" s="108" t="s">
        <v>503</v>
      </c>
      <c r="BL40" s="108" t="s">
        <v>503</v>
      </c>
      <c r="BM40" s="108" t="s">
        <v>503</v>
      </c>
      <c r="BN40" s="108" t="s">
        <v>503</v>
      </c>
      <c r="BO40" s="108" t="s">
        <v>503</v>
      </c>
      <c r="BP40" s="108" t="s">
        <v>503</v>
      </c>
      <c r="BQ40" s="108" t="s">
        <v>503</v>
      </c>
      <c r="BR40" s="108" t="s">
        <v>503</v>
      </c>
      <c r="BS40" s="108" t="s">
        <v>503</v>
      </c>
      <c r="BT40" s="108" t="s">
        <v>503</v>
      </c>
      <c r="BU40" s="108" t="s">
        <v>503</v>
      </c>
      <c r="BV40" s="108" t="s">
        <v>503</v>
      </c>
      <c r="BW40" s="108" t="s">
        <v>503</v>
      </c>
      <c r="BX40" s="108" t="s">
        <v>503</v>
      </c>
      <c r="BY40" s="108" t="s">
        <v>503</v>
      </c>
      <c r="BZ40" s="108" t="s">
        <v>503</v>
      </c>
      <c r="CA40" s="108" t="s">
        <v>503</v>
      </c>
      <c r="CB40" s="108" t="s">
        <v>503</v>
      </c>
      <c r="CC40" s="108" t="s">
        <v>503</v>
      </c>
      <c r="CD40" s="108" t="s">
        <v>503</v>
      </c>
      <c r="CE40" s="108" t="s">
        <v>503</v>
      </c>
      <c r="CF40" s="108" t="s">
        <v>503</v>
      </c>
      <c r="CG40" s="108" t="s">
        <v>503</v>
      </c>
      <c r="CH40" s="108" t="s">
        <v>503</v>
      </c>
      <c r="CI40" s="108" t="s">
        <v>503</v>
      </c>
      <c r="CJ40" s="108" t="s">
        <v>503</v>
      </c>
      <c r="CK40" s="108" t="s">
        <v>503</v>
      </c>
      <c r="CL40" s="108" t="s">
        <v>503</v>
      </c>
      <c r="CM40" s="108" t="s">
        <v>503</v>
      </c>
      <c r="CN40" s="108" t="s">
        <v>503</v>
      </c>
      <c r="CO40" s="108" t="s">
        <v>503</v>
      </c>
      <c r="CP40" s="108" t="s">
        <v>503</v>
      </c>
      <c r="CQ40" s="108" t="s">
        <v>503</v>
      </c>
      <c r="CR40" s="108" t="s">
        <v>503</v>
      </c>
      <c r="CS40" s="108" t="s">
        <v>503</v>
      </c>
      <c r="CT40" s="108" t="s">
        <v>503</v>
      </c>
      <c r="CU40" s="108" t="s">
        <v>503</v>
      </c>
      <c r="CV40" s="108" t="s">
        <v>503</v>
      </c>
      <c r="CW40" s="108" t="s">
        <v>503</v>
      </c>
      <c r="CX40" s="108" t="s">
        <v>503</v>
      </c>
      <c r="CY40" s="108" t="s">
        <v>503</v>
      </c>
      <c r="CZ40" s="108" t="s">
        <v>503</v>
      </c>
      <c r="DA40" s="108" t="s">
        <v>503</v>
      </c>
      <c r="DB40" s="108" t="s">
        <v>503</v>
      </c>
      <c r="DC40" s="108" t="s">
        <v>503</v>
      </c>
      <c r="DD40" s="108" t="s">
        <v>503</v>
      </c>
      <c r="DE40" s="108" t="s">
        <v>503</v>
      </c>
      <c r="DF40" s="108" t="s">
        <v>503</v>
      </c>
      <c r="DG40" s="108" t="s">
        <v>503</v>
      </c>
      <c r="DH40" s="108" t="s">
        <v>503</v>
      </c>
      <c r="DI40" s="108" t="s">
        <v>503</v>
      </c>
      <c r="DJ40" s="108" t="s">
        <v>503</v>
      </c>
      <c r="DK40" s="108" t="s">
        <v>503</v>
      </c>
      <c r="DL40" s="108" t="s">
        <v>503</v>
      </c>
      <c r="DM40" s="108" t="s">
        <v>503</v>
      </c>
      <c r="DN40" s="108" t="s">
        <v>503</v>
      </c>
      <c r="DO40" s="108" t="s">
        <v>503</v>
      </c>
      <c r="DP40" s="108" t="s">
        <v>669</v>
      </c>
      <c r="DQ40" s="108" t="s">
        <v>669</v>
      </c>
      <c r="DR40" s="108" t="s">
        <v>669</v>
      </c>
      <c r="DS40" s="108" t="s">
        <v>669</v>
      </c>
      <c r="DT40" s="108" t="s">
        <v>669</v>
      </c>
      <c r="DU40" s="108" t="s">
        <v>669</v>
      </c>
      <c r="DV40" s="108" t="s">
        <v>503</v>
      </c>
      <c r="DW40" s="108" t="s">
        <v>503</v>
      </c>
      <c r="DX40" s="108" t="s">
        <v>503</v>
      </c>
      <c r="DY40" s="108" t="s">
        <v>503</v>
      </c>
      <c r="DZ40" s="108" t="s">
        <v>503</v>
      </c>
      <c r="EA40" s="108" t="s">
        <v>503</v>
      </c>
      <c r="EB40" s="108" t="s">
        <v>503</v>
      </c>
      <c r="EC40" s="108" t="s">
        <v>503</v>
      </c>
      <c r="ED40" s="108" t="s">
        <v>503</v>
      </c>
      <c r="EE40" s="108" t="s">
        <v>503</v>
      </c>
      <c r="EF40" s="108" t="s">
        <v>503</v>
      </c>
      <c r="EG40" s="108" t="s">
        <v>503</v>
      </c>
      <c r="EH40" s="108" t="s">
        <v>503</v>
      </c>
      <c r="EI40" s="108" t="s">
        <v>503</v>
      </c>
      <c r="EJ40" s="108" t="s">
        <v>503</v>
      </c>
      <c r="EK40" s="108" t="s">
        <v>503</v>
      </c>
      <c r="EL40" s="108" t="s">
        <v>503</v>
      </c>
      <c r="EM40" s="108" t="s">
        <v>503</v>
      </c>
      <c r="EN40" s="108" t="s">
        <v>503</v>
      </c>
      <c r="EO40" s="108" t="s">
        <v>503</v>
      </c>
      <c r="EP40" s="108" t="s">
        <v>503</v>
      </c>
      <c r="EQ40" s="108" t="s">
        <v>502</v>
      </c>
      <c r="ER40" s="108" t="s">
        <v>502</v>
      </c>
      <c r="ES40" s="108" t="s">
        <v>502</v>
      </c>
      <c r="ET40" s="108" t="s">
        <v>502</v>
      </c>
      <c r="EU40" s="108" t="s">
        <v>502</v>
      </c>
      <c r="EV40" s="108" t="s">
        <v>502</v>
      </c>
      <c r="EW40" s="108" t="s">
        <v>502</v>
      </c>
      <c r="EX40" s="108" t="s">
        <v>502</v>
      </c>
      <c r="EY40" s="108" t="s">
        <v>502</v>
      </c>
      <c r="EZ40" s="108" t="s">
        <v>502</v>
      </c>
      <c r="FA40" s="108" t="s">
        <v>502</v>
      </c>
      <c r="FB40" s="108" t="s">
        <v>502</v>
      </c>
      <c r="FC40" s="108" t="s">
        <v>502</v>
      </c>
      <c r="FD40" s="108" t="s">
        <v>502</v>
      </c>
      <c r="FE40" s="108" t="s">
        <v>502</v>
      </c>
      <c r="FF40" s="108" t="s">
        <v>503</v>
      </c>
      <c r="FG40" s="108" t="s">
        <v>503</v>
      </c>
      <c r="FH40" s="108" t="s">
        <v>503</v>
      </c>
      <c r="FI40" s="108" t="s">
        <v>503</v>
      </c>
      <c r="FJ40" s="108" t="s">
        <v>503</v>
      </c>
      <c r="FK40" s="108" t="s">
        <v>503</v>
      </c>
      <c r="FL40" s="108" t="s">
        <v>503</v>
      </c>
      <c r="FM40" s="108" t="s">
        <v>503</v>
      </c>
      <c r="FN40" s="108" t="s">
        <v>503</v>
      </c>
      <c r="FO40" s="47">
        <v>20000</v>
      </c>
      <c r="FP40" s="47">
        <v>0</v>
      </c>
      <c r="FQ40" s="47">
        <v>20000</v>
      </c>
      <c r="FR40" s="47">
        <v>24900</v>
      </c>
      <c r="FS40" s="47">
        <v>0</v>
      </c>
      <c r="FT40" s="47">
        <v>24900</v>
      </c>
      <c r="FU40" s="47">
        <v>25000</v>
      </c>
      <c r="FV40" s="47">
        <v>0</v>
      </c>
      <c r="FW40" s="47">
        <f>+FU40+FV40</f>
        <v>25000</v>
      </c>
      <c r="FX40" s="108" t="s">
        <v>503</v>
      </c>
      <c r="FY40" s="108" t="s">
        <v>503</v>
      </c>
      <c r="FZ40" s="108" t="s">
        <v>503</v>
      </c>
      <c r="GA40" s="108" t="s">
        <v>503</v>
      </c>
      <c r="GB40" s="108" t="s">
        <v>503</v>
      </c>
      <c r="GC40" s="108" t="s">
        <v>503</v>
      </c>
      <c r="GD40" s="108" t="s">
        <v>503</v>
      </c>
      <c r="GE40" s="108" t="s">
        <v>503</v>
      </c>
      <c r="GF40" s="108" t="s">
        <v>503</v>
      </c>
      <c r="GG40" s="108" t="s">
        <v>669</v>
      </c>
      <c r="GH40" s="108" t="s">
        <v>669</v>
      </c>
      <c r="GI40" s="108" t="s">
        <v>669</v>
      </c>
      <c r="GJ40" s="108" t="s">
        <v>669</v>
      </c>
      <c r="GK40" s="108" t="s">
        <v>669</v>
      </c>
      <c r="GL40" s="108" t="s">
        <v>669</v>
      </c>
      <c r="GM40" s="108" t="s">
        <v>502</v>
      </c>
      <c r="GN40" s="108" t="s">
        <v>502</v>
      </c>
      <c r="GO40" s="108" t="s">
        <v>502</v>
      </c>
      <c r="GP40" s="108" t="s">
        <v>664</v>
      </c>
      <c r="GQ40" s="108" t="s">
        <v>664</v>
      </c>
      <c r="GR40" s="108" t="s">
        <v>664</v>
      </c>
      <c r="GS40" s="108" t="s">
        <v>502</v>
      </c>
      <c r="GT40" s="108" t="s">
        <v>502</v>
      </c>
      <c r="GU40" s="108" t="s">
        <v>502</v>
      </c>
      <c r="GV40" s="108" t="s">
        <v>502</v>
      </c>
      <c r="GW40" s="108" t="s">
        <v>502</v>
      </c>
      <c r="GX40" s="108" t="s">
        <v>502</v>
      </c>
      <c r="GY40" s="108" t="s">
        <v>664</v>
      </c>
      <c r="GZ40" s="108" t="s">
        <v>664</v>
      </c>
      <c r="HA40" s="108" t="s">
        <v>664</v>
      </c>
      <c r="HB40" s="108" t="s">
        <v>664</v>
      </c>
      <c r="HC40" s="108" t="s">
        <v>664</v>
      </c>
      <c r="HD40" s="108" t="s">
        <v>664</v>
      </c>
      <c r="HE40" s="108" t="s">
        <v>664</v>
      </c>
      <c r="HF40" s="108" t="s">
        <v>664</v>
      </c>
      <c r="HG40" s="108" t="s">
        <v>664</v>
      </c>
      <c r="HH40" s="108" t="s">
        <v>664</v>
      </c>
      <c r="HI40" s="108" t="s">
        <v>664</v>
      </c>
      <c r="HJ40" s="108" t="s">
        <v>664</v>
      </c>
      <c r="HK40" s="108" t="s">
        <v>664</v>
      </c>
      <c r="HL40" s="108" t="s">
        <v>664</v>
      </c>
      <c r="HM40" s="108" t="s">
        <v>664</v>
      </c>
      <c r="HN40" s="108" t="s">
        <v>664</v>
      </c>
      <c r="HO40" s="108" t="s">
        <v>664</v>
      </c>
      <c r="HP40" s="108" t="s">
        <v>664</v>
      </c>
      <c r="HQ40" s="108" t="s">
        <v>503</v>
      </c>
      <c r="HR40" s="108" t="s">
        <v>503</v>
      </c>
      <c r="HS40" s="108" t="s">
        <v>503</v>
      </c>
      <c r="HT40" s="108" t="s">
        <v>502</v>
      </c>
      <c r="HU40" s="108" t="s">
        <v>502</v>
      </c>
      <c r="HV40" s="108" t="s">
        <v>502</v>
      </c>
      <c r="HW40" s="108" t="s">
        <v>502</v>
      </c>
      <c r="HX40" s="108" t="s">
        <v>502</v>
      </c>
      <c r="HY40" s="108" t="s">
        <v>502</v>
      </c>
      <c r="HZ40" s="118" t="s">
        <v>502</v>
      </c>
      <c r="IA40" s="118" t="s">
        <v>502</v>
      </c>
      <c r="IB40" s="118" t="s">
        <v>502</v>
      </c>
      <c r="IC40" s="118" t="s">
        <v>502</v>
      </c>
      <c r="ID40" s="118" t="s">
        <v>502</v>
      </c>
      <c r="IE40" s="118" t="s">
        <v>502</v>
      </c>
      <c r="IF40" s="118" t="s">
        <v>502</v>
      </c>
      <c r="IG40" s="118" t="s">
        <v>502</v>
      </c>
      <c r="IH40" s="118" t="s">
        <v>502</v>
      </c>
      <c r="II40" s="118" t="s">
        <v>502</v>
      </c>
      <c r="IJ40" s="118" t="s">
        <v>502</v>
      </c>
      <c r="IK40" s="118" t="s">
        <v>502</v>
      </c>
      <c r="IL40" s="118" t="s">
        <v>502</v>
      </c>
      <c r="IM40" s="118" t="s">
        <v>502</v>
      </c>
      <c r="IN40" s="118" t="s">
        <v>502</v>
      </c>
      <c r="IO40" s="120" t="s">
        <v>503</v>
      </c>
      <c r="IP40" s="120" t="s">
        <v>503</v>
      </c>
      <c r="IQ40" s="120" t="s">
        <v>503</v>
      </c>
      <c r="IR40" s="118" t="s">
        <v>669</v>
      </c>
      <c r="IS40" s="118" t="s">
        <v>669</v>
      </c>
      <c r="IT40" s="118" t="s">
        <v>669</v>
      </c>
      <c r="IU40" s="120" t="s">
        <v>503</v>
      </c>
      <c r="IV40" s="120" t="s">
        <v>503</v>
      </c>
      <c r="IW40" s="120" t="s">
        <v>503</v>
      </c>
      <c r="IX40" s="120" t="s">
        <v>503</v>
      </c>
      <c r="IY40" s="120" t="s">
        <v>503</v>
      </c>
      <c r="IZ40" s="120" t="s">
        <v>503</v>
      </c>
      <c r="JA40" s="120" t="s">
        <v>503</v>
      </c>
      <c r="JB40" s="120" t="s">
        <v>503</v>
      </c>
      <c r="JC40" s="120" t="s">
        <v>503</v>
      </c>
      <c r="JD40" s="120" t="s">
        <v>664</v>
      </c>
      <c r="JE40" s="120" t="s">
        <v>664</v>
      </c>
      <c r="JF40" s="120" t="s">
        <v>664</v>
      </c>
      <c r="JG40" s="118" t="s">
        <v>502</v>
      </c>
      <c r="JH40" s="118" t="s">
        <v>502</v>
      </c>
      <c r="JI40" s="118" t="s">
        <v>502</v>
      </c>
      <c r="JJ40" s="118" t="s">
        <v>502</v>
      </c>
      <c r="JK40" s="118" t="s">
        <v>502</v>
      </c>
      <c r="JL40" s="118" t="s">
        <v>502</v>
      </c>
      <c r="JM40" s="118" t="s">
        <v>502</v>
      </c>
      <c r="JN40" s="118" t="s">
        <v>502</v>
      </c>
      <c r="JO40" s="118" t="s">
        <v>502</v>
      </c>
      <c r="JP40" s="110">
        <v>72600</v>
      </c>
      <c r="JQ40" s="111">
        <v>86740.551743999997</v>
      </c>
      <c r="JR40" s="112">
        <f t="shared" si="0"/>
        <v>3</v>
      </c>
      <c r="JS40" s="113">
        <f t="shared" si="1"/>
        <v>23300</v>
      </c>
      <c r="JT40" s="114">
        <f t="shared" si="2"/>
        <v>23300</v>
      </c>
      <c r="JU40" s="84"/>
    </row>
    <row r="41" spans="1:281" ht="128.25" customHeight="1" x14ac:dyDescent="0.2">
      <c r="A41" s="98">
        <v>138</v>
      </c>
      <c r="B41" s="99">
        <v>138</v>
      </c>
      <c r="C41" s="39" t="s">
        <v>12</v>
      </c>
      <c r="D41" s="100" t="s">
        <v>23</v>
      </c>
      <c r="E41" s="39">
        <v>82150000</v>
      </c>
      <c r="F41" s="101" t="s">
        <v>177</v>
      </c>
      <c r="G41" s="102" t="s">
        <v>56</v>
      </c>
      <c r="H41" s="103" t="s">
        <v>501</v>
      </c>
      <c r="I41" s="108" t="s">
        <v>503</v>
      </c>
      <c r="J41" s="108" t="s">
        <v>503</v>
      </c>
      <c r="K41" s="108" t="s">
        <v>503</v>
      </c>
      <c r="L41" s="118" t="s">
        <v>502</v>
      </c>
      <c r="M41" s="118" t="s">
        <v>502</v>
      </c>
      <c r="N41" s="118" t="s">
        <v>502</v>
      </c>
      <c r="O41" s="108" t="s">
        <v>503</v>
      </c>
      <c r="P41" s="108" t="s">
        <v>503</v>
      </c>
      <c r="Q41" s="108" t="s">
        <v>503</v>
      </c>
      <c r="R41" s="108" t="s">
        <v>503</v>
      </c>
      <c r="S41" s="108" t="s">
        <v>503</v>
      </c>
      <c r="T41" s="108" t="s">
        <v>503</v>
      </c>
      <c r="U41" s="118" t="s">
        <v>502</v>
      </c>
      <c r="V41" s="118" t="s">
        <v>502</v>
      </c>
      <c r="W41" s="118" t="s">
        <v>502</v>
      </c>
      <c r="X41" s="108" t="s">
        <v>503</v>
      </c>
      <c r="Y41" s="108" t="s">
        <v>503</v>
      </c>
      <c r="Z41" s="108" t="s">
        <v>503</v>
      </c>
      <c r="AA41" s="108" t="s">
        <v>503</v>
      </c>
      <c r="AB41" s="108" t="s">
        <v>503</v>
      </c>
      <c r="AC41" s="108" t="s">
        <v>503</v>
      </c>
      <c r="AD41" s="108" t="s">
        <v>503</v>
      </c>
      <c r="AE41" s="108" t="s">
        <v>503</v>
      </c>
      <c r="AF41" s="108" t="s">
        <v>503</v>
      </c>
      <c r="AG41" s="108" t="s">
        <v>503</v>
      </c>
      <c r="AH41" s="108" t="s">
        <v>503</v>
      </c>
      <c r="AI41" s="108" t="s">
        <v>503</v>
      </c>
      <c r="AJ41" s="108" t="s">
        <v>503</v>
      </c>
      <c r="AK41" s="108" t="s">
        <v>503</v>
      </c>
      <c r="AL41" s="108" t="s">
        <v>503</v>
      </c>
      <c r="AM41" s="108" t="s">
        <v>503</v>
      </c>
      <c r="AN41" s="108" t="s">
        <v>503</v>
      </c>
      <c r="AO41" s="108" t="s">
        <v>503</v>
      </c>
      <c r="AP41" s="108" t="s">
        <v>503</v>
      </c>
      <c r="AQ41" s="108" t="s">
        <v>503</v>
      </c>
      <c r="AR41" s="108" t="s">
        <v>503</v>
      </c>
      <c r="AS41" s="118" t="s">
        <v>502</v>
      </c>
      <c r="AT41" s="118" t="s">
        <v>502</v>
      </c>
      <c r="AU41" s="118" t="s">
        <v>502</v>
      </c>
      <c r="AV41" s="108" t="s">
        <v>503</v>
      </c>
      <c r="AW41" s="108" t="s">
        <v>503</v>
      </c>
      <c r="AX41" s="108" t="s">
        <v>503</v>
      </c>
      <c r="AY41" s="108" t="s">
        <v>503</v>
      </c>
      <c r="AZ41" s="108" t="s">
        <v>503</v>
      </c>
      <c r="BA41" s="108" t="s">
        <v>503</v>
      </c>
      <c r="BB41" s="108" t="s">
        <v>503</v>
      </c>
      <c r="BC41" s="108" t="s">
        <v>503</v>
      </c>
      <c r="BD41" s="108" t="s">
        <v>503</v>
      </c>
      <c r="BE41" s="118" t="s">
        <v>502</v>
      </c>
      <c r="BF41" s="118" t="s">
        <v>502</v>
      </c>
      <c r="BG41" s="118" t="s">
        <v>502</v>
      </c>
      <c r="BH41" s="108" t="s">
        <v>503</v>
      </c>
      <c r="BI41" s="108" t="s">
        <v>503</v>
      </c>
      <c r="BJ41" s="108" t="s">
        <v>503</v>
      </c>
      <c r="BK41" s="108" t="s">
        <v>503</v>
      </c>
      <c r="BL41" s="108" t="s">
        <v>503</v>
      </c>
      <c r="BM41" s="108" t="s">
        <v>503</v>
      </c>
      <c r="BN41" s="108" t="s">
        <v>503</v>
      </c>
      <c r="BO41" s="108" t="s">
        <v>503</v>
      </c>
      <c r="BP41" s="108" t="s">
        <v>503</v>
      </c>
      <c r="BQ41" s="108" t="s">
        <v>503</v>
      </c>
      <c r="BR41" s="108" t="s">
        <v>503</v>
      </c>
      <c r="BS41" s="108" t="s">
        <v>503</v>
      </c>
      <c r="BT41" s="108" t="s">
        <v>503</v>
      </c>
      <c r="BU41" s="108" t="s">
        <v>503</v>
      </c>
      <c r="BV41" s="108" t="s">
        <v>503</v>
      </c>
      <c r="BW41" s="108" t="s">
        <v>503</v>
      </c>
      <c r="BX41" s="108" t="s">
        <v>503</v>
      </c>
      <c r="BY41" s="108" t="s">
        <v>503</v>
      </c>
      <c r="BZ41" s="108" t="s">
        <v>503</v>
      </c>
      <c r="CA41" s="108" t="s">
        <v>503</v>
      </c>
      <c r="CB41" s="108" t="s">
        <v>503</v>
      </c>
      <c r="CC41" s="108" t="s">
        <v>503</v>
      </c>
      <c r="CD41" s="108" t="s">
        <v>503</v>
      </c>
      <c r="CE41" s="108" t="s">
        <v>503</v>
      </c>
      <c r="CF41" s="108" t="s">
        <v>503</v>
      </c>
      <c r="CG41" s="108" t="s">
        <v>503</v>
      </c>
      <c r="CH41" s="108" t="s">
        <v>503</v>
      </c>
      <c r="CI41" s="108" t="s">
        <v>503</v>
      </c>
      <c r="CJ41" s="108" t="s">
        <v>503</v>
      </c>
      <c r="CK41" s="108" t="s">
        <v>503</v>
      </c>
      <c r="CL41" s="108" t="s">
        <v>503</v>
      </c>
      <c r="CM41" s="108" t="s">
        <v>503</v>
      </c>
      <c r="CN41" s="108" t="s">
        <v>503</v>
      </c>
      <c r="CO41" s="108" t="s">
        <v>503</v>
      </c>
      <c r="CP41" s="108" t="s">
        <v>503</v>
      </c>
      <c r="CQ41" s="108" t="s">
        <v>503</v>
      </c>
      <c r="CR41" s="108" t="s">
        <v>503</v>
      </c>
      <c r="CS41" s="108" t="s">
        <v>503</v>
      </c>
      <c r="CT41" s="108" t="s">
        <v>503</v>
      </c>
      <c r="CU41" s="108" t="s">
        <v>503</v>
      </c>
      <c r="CV41" s="108" t="s">
        <v>503</v>
      </c>
      <c r="CW41" s="108" t="s">
        <v>503</v>
      </c>
      <c r="CX41" s="108" t="s">
        <v>503</v>
      </c>
      <c r="CY41" s="108" t="s">
        <v>503</v>
      </c>
      <c r="CZ41" s="108" t="s">
        <v>503</v>
      </c>
      <c r="DA41" s="108" t="s">
        <v>503</v>
      </c>
      <c r="DB41" s="108" t="s">
        <v>503</v>
      </c>
      <c r="DC41" s="108" t="s">
        <v>503</v>
      </c>
      <c r="DD41" s="108" t="s">
        <v>503</v>
      </c>
      <c r="DE41" s="108" t="s">
        <v>503</v>
      </c>
      <c r="DF41" s="108" t="s">
        <v>503</v>
      </c>
      <c r="DG41" s="108" t="s">
        <v>503</v>
      </c>
      <c r="DH41" s="108" t="s">
        <v>503</v>
      </c>
      <c r="DI41" s="108" t="s">
        <v>503</v>
      </c>
      <c r="DJ41" s="108" t="s">
        <v>503</v>
      </c>
      <c r="DK41" s="108" t="s">
        <v>503</v>
      </c>
      <c r="DL41" s="108" t="s">
        <v>503</v>
      </c>
      <c r="DM41" s="108" t="s">
        <v>503</v>
      </c>
      <c r="DN41" s="108" t="s">
        <v>503</v>
      </c>
      <c r="DO41" s="108" t="s">
        <v>503</v>
      </c>
      <c r="DP41" s="108" t="s">
        <v>669</v>
      </c>
      <c r="DQ41" s="108" t="s">
        <v>669</v>
      </c>
      <c r="DR41" s="108" t="s">
        <v>669</v>
      </c>
      <c r="DS41" s="108" t="s">
        <v>669</v>
      </c>
      <c r="DT41" s="108" t="s">
        <v>669</v>
      </c>
      <c r="DU41" s="108" t="s">
        <v>669</v>
      </c>
      <c r="DV41" s="108" t="s">
        <v>503</v>
      </c>
      <c r="DW41" s="108" t="s">
        <v>503</v>
      </c>
      <c r="DX41" s="108" t="s">
        <v>503</v>
      </c>
      <c r="DY41" s="108" t="s">
        <v>503</v>
      </c>
      <c r="DZ41" s="108" t="s">
        <v>503</v>
      </c>
      <c r="EA41" s="108" t="s">
        <v>503</v>
      </c>
      <c r="EB41" s="108" t="s">
        <v>503</v>
      </c>
      <c r="EC41" s="108" t="s">
        <v>503</v>
      </c>
      <c r="ED41" s="108" t="s">
        <v>503</v>
      </c>
      <c r="EE41" s="108" t="s">
        <v>503</v>
      </c>
      <c r="EF41" s="108" t="s">
        <v>503</v>
      </c>
      <c r="EG41" s="108" t="s">
        <v>503</v>
      </c>
      <c r="EH41" s="108" t="s">
        <v>503</v>
      </c>
      <c r="EI41" s="108" t="s">
        <v>503</v>
      </c>
      <c r="EJ41" s="108" t="s">
        <v>503</v>
      </c>
      <c r="EK41" s="108" t="s">
        <v>503</v>
      </c>
      <c r="EL41" s="108" t="s">
        <v>503</v>
      </c>
      <c r="EM41" s="108" t="s">
        <v>503</v>
      </c>
      <c r="EN41" s="108" t="s">
        <v>503</v>
      </c>
      <c r="EO41" s="108" t="s">
        <v>503</v>
      </c>
      <c r="EP41" s="108" t="s">
        <v>503</v>
      </c>
      <c r="EQ41" s="108" t="s">
        <v>502</v>
      </c>
      <c r="ER41" s="108" t="s">
        <v>502</v>
      </c>
      <c r="ES41" s="108" t="s">
        <v>502</v>
      </c>
      <c r="ET41" s="108" t="s">
        <v>502</v>
      </c>
      <c r="EU41" s="108" t="s">
        <v>502</v>
      </c>
      <c r="EV41" s="108" t="s">
        <v>502</v>
      </c>
      <c r="EW41" s="108" t="s">
        <v>502</v>
      </c>
      <c r="EX41" s="108" t="s">
        <v>502</v>
      </c>
      <c r="EY41" s="108" t="s">
        <v>502</v>
      </c>
      <c r="EZ41" s="108" t="s">
        <v>502</v>
      </c>
      <c r="FA41" s="108" t="s">
        <v>502</v>
      </c>
      <c r="FB41" s="108" t="s">
        <v>502</v>
      </c>
      <c r="FC41" s="108" t="s">
        <v>502</v>
      </c>
      <c r="FD41" s="108" t="s">
        <v>502</v>
      </c>
      <c r="FE41" s="108" t="s">
        <v>502</v>
      </c>
      <c r="FF41" s="108" t="s">
        <v>503</v>
      </c>
      <c r="FG41" s="108" t="s">
        <v>503</v>
      </c>
      <c r="FH41" s="108" t="s">
        <v>503</v>
      </c>
      <c r="FI41" s="108" t="s">
        <v>503</v>
      </c>
      <c r="FJ41" s="108" t="s">
        <v>503</v>
      </c>
      <c r="FK41" s="108" t="s">
        <v>503</v>
      </c>
      <c r="FL41" s="108" t="s">
        <v>503</v>
      </c>
      <c r="FM41" s="108" t="s">
        <v>503</v>
      </c>
      <c r="FN41" s="108" t="s">
        <v>503</v>
      </c>
      <c r="FO41" s="108" t="s">
        <v>502</v>
      </c>
      <c r="FP41" s="108" t="s">
        <v>502</v>
      </c>
      <c r="FQ41" s="108" t="s">
        <v>502</v>
      </c>
      <c r="FR41" s="108" t="s">
        <v>502</v>
      </c>
      <c r="FS41" s="108" t="s">
        <v>502</v>
      </c>
      <c r="FT41" s="108" t="s">
        <v>502</v>
      </c>
      <c r="FU41" s="108" t="s">
        <v>502</v>
      </c>
      <c r="FV41" s="108" t="s">
        <v>502</v>
      </c>
      <c r="FW41" s="108" t="s">
        <v>502</v>
      </c>
      <c r="FX41" s="108" t="s">
        <v>503</v>
      </c>
      <c r="FY41" s="108" t="s">
        <v>503</v>
      </c>
      <c r="FZ41" s="108" t="s">
        <v>503</v>
      </c>
      <c r="GA41" s="108" t="s">
        <v>503</v>
      </c>
      <c r="GB41" s="108" t="s">
        <v>503</v>
      </c>
      <c r="GC41" s="108" t="s">
        <v>503</v>
      </c>
      <c r="GD41" s="108" t="s">
        <v>503</v>
      </c>
      <c r="GE41" s="108" t="s">
        <v>503</v>
      </c>
      <c r="GF41" s="108" t="s">
        <v>503</v>
      </c>
      <c r="GG41" s="108" t="s">
        <v>669</v>
      </c>
      <c r="GH41" s="108" t="s">
        <v>669</v>
      </c>
      <c r="GI41" s="108" t="s">
        <v>669</v>
      </c>
      <c r="GJ41" s="108" t="s">
        <v>669</v>
      </c>
      <c r="GK41" s="108" t="s">
        <v>669</v>
      </c>
      <c r="GL41" s="108" t="s">
        <v>669</v>
      </c>
      <c r="GM41" s="108" t="s">
        <v>502</v>
      </c>
      <c r="GN41" s="108" t="s">
        <v>502</v>
      </c>
      <c r="GO41" s="108" t="s">
        <v>502</v>
      </c>
      <c r="GP41" s="108" t="s">
        <v>664</v>
      </c>
      <c r="GQ41" s="108" t="s">
        <v>664</v>
      </c>
      <c r="GR41" s="108" t="s">
        <v>664</v>
      </c>
      <c r="GS41" s="108" t="s">
        <v>502</v>
      </c>
      <c r="GT41" s="108" t="s">
        <v>502</v>
      </c>
      <c r="GU41" s="108" t="s">
        <v>502</v>
      </c>
      <c r="GV41" s="108" t="s">
        <v>502</v>
      </c>
      <c r="GW41" s="108" t="s">
        <v>502</v>
      </c>
      <c r="GX41" s="108" t="s">
        <v>502</v>
      </c>
      <c r="GY41" s="108" t="s">
        <v>664</v>
      </c>
      <c r="GZ41" s="108" t="s">
        <v>664</v>
      </c>
      <c r="HA41" s="108" t="s">
        <v>664</v>
      </c>
      <c r="HB41" s="108" t="s">
        <v>664</v>
      </c>
      <c r="HC41" s="108" t="s">
        <v>664</v>
      </c>
      <c r="HD41" s="108" t="s">
        <v>664</v>
      </c>
      <c r="HE41" s="108" t="s">
        <v>664</v>
      </c>
      <c r="HF41" s="108" t="s">
        <v>664</v>
      </c>
      <c r="HG41" s="108" t="s">
        <v>664</v>
      </c>
      <c r="HH41" s="108" t="s">
        <v>664</v>
      </c>
      <c r="HI41" s="108" t="s">
        <v>664</v>
      </c>
      <c r="HJ41" s="108" t="s">
        <v>664</v>
      </c>
      <c r="HK41" s="108" t="s">
        <v>664</v>
      </c>
      <c r="HL41" s="108" t="s">
        <v>664</v>
      </c>
      <c r="HM41" s="108" t="s">
        <v>664</v>
      </c>
      <c r="HN41" s="108" t="s">
        <v>664</v>
      </c>
      <c r="HO41" s="108" t="s">
        <v>664</v>
      </c>
      <c r="HP41" s="108" t="s">
        <v>664</v>
      </c>
      <c r="HQ41" s="108" t="s">
        <v>503</v>
      </c>
      <c r="HR41" s="108" t="s">
        <v>503</v>
      </c>
      <c r="HS41" s="108" t="s">
        <v>503</v>
      </c>
      <c r="HT41" s="108" t="s">
        <v>502</v>
      </c>
      <c r="HU41" s="108" t="s">
        <v>502</v>
      </c>
      <c r="HV41" s="108" t="s">
        <v>502</v>
      </c>
      <c r="HW41" s="56">
        <v>2125000</v>
      </c>
      <c r="HX41" s="71">
        <f>+HW41*19%</f>
        <v>403750</v>
      </c>
      <c r="HY41" s="71">
        <f>+HW41+HX41</f>
        <v>2528750</v>
      </c>
      <c r="HZ41" s="118">
        <v>2010000</v>
      </c>
      <c r="IA41" s="71">
        <f>+HZ41*19%</f>
        <v>381900</v>
      </c>
      <c r="IB41" s="71">
        <f>+HZ41+IA41</f>
        <v>2391900</v>
      </c>
      <c r="IC41" s="118" t="s">
        <v>502</v>
      </c>
      <c r="ID41" s="118" t="s">
        <v>502</v>
      </c>
      <c r="IE41" s="118" t="s">
        <v>502</v>
      </c>
      <c r="IF41" s="118" t="s">
        <v>502</v>
      </c>
      <c r="IG41" s="118" t="s">
        <v>502</v>
      </c>
      <c r="IH41" s="118" t="s">
        <v>502</v>
      </c>
      <c r="II41" s="118" t="s">
        <v>502</v>
      </c>
      <c r="IJ41" s="118" t="s">
        <v>502</v>
      </c>
      <c r="IK41" s="118" t="s">
        <v>502</v>
      </c>
      <c r="IL41" s="118" t="s">
        <v>502</v>
      </c>
      <c r="IM41" s="118" t="s">
        <v>502</v>
      </c>
      <c r="IN41" s="118" t="s">
        <v>502</v>
      </c>
      <c r="IO41" s="120" t="s">
        <v>503</v>
      </c>
      <c r="IP41" s="120" t="s">
        <v>503</v>
      </c>
      <c r="IQ41" s="120" t="s">
        <v>503</v>
      </c>
      <c r="IR41" s="118" t="s">
        <v>669</v>
      </c>
      <c r="IS41" s="118" t="s">
        <v>669</v>
      </c>
      <c r="IT41" s="118" t="s">
        <v>669</v>
      </c>
      <c r="IU41" s="120" t="s">
        <v>503</v>
      </c>
      <c r="IV41" s="120" t="s">
        <v>503</v>
      </c>
      <c r="IW41" s="120" t="s">
        <v>503</v>
      </c>
      <c r="IX41" s="120" t="s">
        <v>503</v>
      </c>
      <c r="IY41" s="120" t="s">
        <v>503</v>
      </c>
      <c r="IZ41" s="120" t="s">
        <v>503</v>
      </c>
      <c r="JA41" s="120" t="s">
        <v>503</v>
      </c>
      <c r="JB41" s="120" t="s">
        <v>503</v>
      </c>
      <c r="JC41" s="120" t="s">
        <v>503</v>
      </c>
      <c r="JD41" s="120" t="s">
        <v>664</v>
      </c>
      <c r="JE41" s="120" t="s">
        <v>664</v>
      </c>
      <c r="JF41" s="120" t="s">
        <v>664</v>
      </c>
      <c r="JG41" s="118" t="s">
        <v>502</v>
      </c>
      <c r="JH41" s="118" t="s">
        <v>502</v>
      </c>
      <c r="JI41" s="118" t="s">
        <v>502</v>
      </c>
      <c r="JJ41" s="118" t="s">
        <v>502</v>
      </c>
      <c r="JK41" s="118" t="s">
        <v>502</v>
      </c>
      <c r="JL41" s="118" t="s">
        <v>502</v>
      </c>
      <c r="JM41" s="118" t="s">
        <v>502</v>
      </c>
      <c r="JN41" s="118" t="s">
        <v>502</v>
      </c>
      <c r="JO41" s="118" t="s">
        <v>502</v>
      </c>
      <c r="JP41" s="110"/>
      <c r="JQ41" s="111">
        <v>0</v>
      </c>
      <c r="JR41" s="112">
        <f t="shared" si="0"/>
        <v>2</v>
      </c>
      <c r="JS41" s="113">
        <f t="shared" si="1"/>
        <v>2460325</v>
      </c>
      <c r="JT41" s="114">
        <f t="shared" si="2"/>
        <v>2460350</v>
      </c>
      <c r="JU41" s="167"/>
    </row>
    <row r="42" spans="1:281" ht="128.25" customHeight="1" x14ac:dyDescent="0.2">
      <c r="A42" s="98">
        <v>139</v>
      </c>
      <c r="B42" s="99">
        <v>139</v>
      </c>
      <c r="C42" s="39" t="s">
        <v>12</v>
      </c>
      <c r="D42" s="100" t="s">
        <v>24</v>
      </c>
      <c r="E42" s="39">
        <v>82150000</v>
      </c>
      <c r="F42" s="101" t="s">
        <v>178</v>
      </c>
      <c r="G42" s="102" t="s">
        <v>56</v>
      </c>
      <c r="H42" s="103" t="s">
        <v>501</v>
      </c>
      <c r="I42" s="108" t="s">
        <v>503</v>
      </c>
      <c r="J42" s="108" t="s">
        <v>503</v>
      </c>
      <c r="K42" s="108" t="s">
        <v>503</v>
      </c>
      <c r="L42" s="118" t="s">
        <v>502</v>
      </c>
      <c r="M42" s="118" t="s">
        <v>502</v>
      </c>
      <c r="N42" s="118" t="s">
        <v>502</v>
      </c>
      <c r="O42" s="108" t="s">
        <v>503</v>
      </c>
      <c r="P42" s="108" t="s">
        <v>503</v>
      </c>
      <c r="Q42" s="108" t="s">
        <v>503</v>
      </c>
      <c r="R42" s="108" t="s">
        <v>503</v>
      </c>
      <c r="S42" s="108" t="s">
        <v>503</v>
      </c>
      <c r="T42" s="108" t="s">
        <v>503</v>
      </c>
      <c r="U42" s="118" t="s">
        <v>502</v>
      </c>
      <c r="V42" s="118" t="s">
        <v>502</v>
      </c>
      <c r="W42" s="118" t="s">
        <v>502</v>
      </c>
      <c r="X42" s="108" t="s">
        <v>503</v>
      </c>
      <c r="Y42" s="108" t="s">
        <v>503</v>
      </c>
      <c r="Z42" s="108" t="s">
        <v>503</v>
      </c>
      <c r="AA42" s="108" t="s">
        <v>503</v>
      </c>
      <c r="AB42" s="108" t="s">
        <v>503</v>
      </c>
      <c r="AC42" s="108" t="s">
        <v>503</v>
      </c>
      <c r="AD42" s="108" t="s">
        <v>503</v>
      </c>
      <c r="AE42" s="108" t="s">
        <v>503</v>
      </c>
      <c r="AF42" s="108" t="s">
        <v>503</v>
      </c>
      <c r="AG42" s="108" t="s">
        <v>503</v>
      </c>
      <c r="AH42" s="108" t="s">
        <v>503</v>
      </c>
      <c r="AI42" s="108" t="s">
        <v>503</v>
      </c>
      <c r="AJ42" s="108" t="s">
        <v>503</v>
      </c>
      <c r="AK42" s="108" t="s">
        <v>503</v>
      </c>
      <c r="AL42" s="108" t="s">
        <v>503</v>
      </c>
      <c r="AM42" s="108" t="s">
        <v>503</v>
      </c>
      <c r="AN42" s="108" t="s">
        <v>503</v>
      </c>
      <c r="AO42" s="108" t="s">
        <v>503</v>
      </c>
      <c r="AP42" s="108" t="s">
        <v>503</v>
      </c>
      <c r="AQ42" s="108" t="s">
        <v>503</v>
      </c>
      <c r="AR42" s="108" t="s">
        <v>503</v>
      </c>
      <c r="AS42" s="118" t="s">
        <v>502</v>
      </c>
      <c r="AT42" s="118" t="s">
        <v>502</v>
      </c>
      <c r="AU42" s="118" t="s">
        <v>502</v>
      </c>
      <c r="AV42" s="108" t="s">
        <v>503</v>
      </c>
      <c r="AW42" s="108" t="s">
        <v>503</v>
      </c>
      <c r="AX42" s="108" t="s">
        <v>503</v>
      </c>
      <c r="AY42" s="108" t="s">
        <v>503</v>
      </c>
      <c r="AZ42" s="108" t="s">
        <v>503</v>
      </c>
      <c r="BA42" s="108" t="s">
        <v>503</v>
      </c>
      <c r="BB42" s="108" t="s">
        <v>503</v>
      </c>
      <c r="BC42" s="108" t="s">
        <v>503</v>
      </c>
      <c r="BD42" s="108" t="s">
        <v>503</v>
      </c>
      <c r="BE42" s="118" t="s">
        <v>502</v>
      </c>
      <c r="BF42" s="118" t="s">
        <v>502</v>
      </c>
      <c r="BG42" s="118" t="s">
        <v>502</v>
      </c>
      <c r="BH42" s="108" t="s">
        <v>503</v>
      </c>
      <c r="BI42" s="108" t="s">
        <v>503</v>
      </c>
      <c r="BJ42" s="108" t="s">
        <v>503</v>
      </c>
      <c r="BK42" s="108" t="s">
        <v>503</v>
      </c>
      <c r="BL42" s="108" t="s">
        <v>503</v>
      </c>
      <c r="BM42" s="108" t="s">
        <v>503</v>
      </c>
      <c r="BN42" s="108" t="s">
        <v>503</v>
      </c>
      <c r="BO42" s="108" t="s">
        <v>503</v>
      </c>
      <c r="BP42" s="108" t="s">
        <v>503</v>
      </c>
      <c r="BQ42" s="108" t="s">
        <v>503</v>
      </c>
      <c r="BR42" s="108" t="s">
        <v>503</v>
      </c>
      <c r="BS42" s="108" t="s">
        <v>503</v>
      </c>
      <c r="BT42" s="108" t="s">
        <v>503</v>
      </c>
      <c r="BU42" s="108" t="s">
        <v>503</v>
      </c>
      <c r="BV42" s="108" t="s">
        <v>503</v>
      </c>
      <c r="BW42" s="108" t="s">
        <v>503</v>
      </c>
      <c r="BX42" s="108" t="s">
        <v>503</v>
      </c>
      <c r="BY42" s="108" t="s">
        <v>503</v>
      </c>
      <c r="BZ42" s="108" t="s">
        <v>503</v>
      </c>
      <c r="CA42" s="108" t="s">
        <v>503</v>
      </c>
      <c r="CB42" s="108" t="s">
        <v>503</v>
      </c>
      <c r="CC42" s="108" t="s">
        <v>503</v>
      </c>
      <c r="CD42" s="108" t="s">
        <v>503</v>
      </c>
      <c r="CE42" s="108" t="s">
        <v>503</v>
      </c>
      <c r="CF42" s="108" t="s">
        <v>503</v>
      </c>
      <c r="CG42" s="108" t="s">
        <v>503</v>
      </c>
      <c r="CH42" s="108" t="s">
        <v>503</v>
      </c>
      <c r="CI42" s="108" t="s">
        <v>503</v>
      </c>
      <c r="CJ42" s="108" t="s">
        <v>503</v>
      </c>
      <c r="CK42" s="108" t="s">
        <v>503</v>
      </c>
      <c r="CL42" s="108" t="s">
        <v>503</v>
      </c>
      <c r="CM42" s="108" t="s">
        <v>503</v>
      </c>
      <c r="CN42" s="108" t="s">
        <v>503</v>
      </c>
      <c r="CO42" s="108" t="s">
        <v>503</v>
      </c>
      <c r="CP42" s="108" t="s">
        <v>503</v>
      </c>
      <c r="CQ42" s="108" t="s">
        <v>503</v>
      </c>
      <c r="CR42" s="108" t="s">
        <v>503</v>
      </c>
      <c r="CS42" s="108" t="s">
        <v>503</v>
      </c>
      <c r="CT42" s="108" t="s">
        <v>503</v>
      </c>
      <c r="CU42" s="108" t="s">
        <v>503</v>
      </c>
      <c r="CV42" s="108" t="s">
        <v>503</v>
      </c>
      <c r="CW42" s="108" t="s">
        <v>503</v>
      </c>
      <c r="CX42" s="108" t="s">
        <v>503</v>
      </c>
      <c r="CY42" s="108" t="s">
        <v>503</v>
      </c>
      <c r="CZ42" s="108" t="s">
        <v>503</v>
      </c>
      <c r="DA42" s="108" t="s">
        <v>503</v>
      </c>
      <c r="DB42" s="108" t="s">
        <v>503</v>
      </c>
      <c r="DC42" s="108" t="s">
        <v>503</v>
      </c>
      <c r="DD42" s="108" t="s">
        <v>503</v>
      </c>
      <c r="DE42" s="108" t="s">
        <v>503</v>
      </c>
      <c r="DF42" s="108" t="s">
        <v>503</v>
      </c>
      <c r="DG42" s="108" t="s">
        <v>503</v>
      </c>
      <c r="DH42" s="108" t="s">
        <v>503</v>
      </c>
      <c r="DI42" s="108" t="s">
        <v>503</v>
      </c>
      <c r="DJ42" s="108" t="s">
        <v>503</v>
      </c>
      <c r="DK42" s="108" t="s">
        <v>503</v>
      </c>
      <c r="DL42" s="108" t="s">
        <v>503</v>
      </c>
      <c r="DM42" s="108" t="s">
        <v>503</v>
      </c>
      <c r="DN42" s="108" t="s">
        <v>503</v>
      </c>
      <c r="DO42" s="108" t="s">
        <v>503</v>
      </c>
      <c r="DP42" s="108" t="s">
        <v>669</v>
      </c>
      <c r="DQ42" s="108" t="s">
        <v>669</v>
      </c>
      <c r="DR42" s="108" t="s">
        <v>669</v>
      </c>
      <c r="DS42" s="108" t="s">
        <v>669</v>
      </c>
      <c r="DT42" s="108" t="s">
        <v>669</v>
      </c>
      <c r="DU42" s="108" t="s">
        <v>669</v>
      </c>
      <c r="DV42" s="108" t="s">
        <v>503</v>
      </c>
      <c r="DW42" s="108" t="s">
        <v>503</v>
      </c>
      <c r="DX42" s="108" t="s">
        <v>503</v>
      </c>
      <c r="DY42" s="108" t="s">
        <v>503</v>
      </c>
      <c r="DZ42" s="108" t="s">
        <v>503</v>
      </c>
      <c r="EA42" s="108" t="s">
        <v>503</v>
      </c>
      <c r="EB42" s="108" t="s">
        <v>503</v>
      </c>
      <c r="EC42" s="108" t="s">
        <v>503</v>
      </c>
      <c r="ED42" s="108" t="s">
        <v>503</v>
      </c>
      <c r="EE42" s="108" t="s">
        <v>503</v>
      </c>
      <c r="EF42" s="108" t="s">
        <v>503</v>
      </c>
      <c r="EG42" s="108" t="s">
        <v>503</v>
      </c>
      <c r="EH42" s="108" t="s">
        <v>503</v>
      </c>
      <c r="EI42" s="108" t="s">
        <v>503</v>
      </c>
      <c r="EJ42" s="108" t="s">
        <v>503</v>
      </c>
      <c r="EK42" s="108" t="s">
        <v>503</v>
      </c>
      <c r="EL42" s="108" t="s">
        <v>503</v>
      </c>
      <c r="EM42" s="108" t="s">
        <v>503</v>
      </c>
      <c r="EN42" s="108" t="s">
        <v>503</v>
      </c>
      <c r="EO42" s="108" t="s">
        <v>503</v>
      </c>
      <c r="EP42" s="108" t="s">
        <v>503</v>
      </c>
      <c r="EQ42" s="108" t="s">
        <v>502</v>
      </c>
      <c r="ER42" s="108" t="s">
        <v>502</v>
      </c>
      <c r="ES42" s="108" t="s">
        <v>502</v>
      </c>
      <c r="ET42" s="108" t="s">
        <v>502</v>
      </c>
      <c r="EU42" s="108" t="s">
        <v>502</v>
      </c>
      <c r="EV42" s="108" t="s">
        <v>502</v>
      </c>
      <c r="EW42" s="108" t="s">
        <v>502</v>
      </c>
      <c r="EX42" s="108" t="s">
        <v>502</v>
      </c>
      <c r="EY42" s="108" t="s">
        <v>502</v>
      </c>
      <c r="EZ42" s="108" t="s">
        <v>502</v>
      </c>
      <c r="FA42" s="108" t="s">
        <v>502</v>
      </c>
      <c r="FB42" s="108" t="s">
        <v>502</v>
      </c>
      <c r="FC42" s="108" t="s">
        <v>502</v>
      </c>
      <c r="FD42" s="108" t="s">
        <v>502</v>
      </c>
      <c r="FE42" s="108" t="s">
        <v>502</v>
      </c>
      <c r="FF42" s="108" t="s">
        <v>503</v>
      </c>
      <c r="FG42" s="108" t="s">
        <v>503</v>
      </c>
      <c r="FH42" s="108" t="s">
        <v>503</v>
      </c>
      <c r="FI42" s="108" t="s">
        <v>503</v>
      </c>
      <c r="FJ42" s="108" t="s">
        <v>503</v>
      </c>
      <c r="FK42" s="108" t="s">
        <v>503</v>
      </c>
      <c r="FL42" s="108" t="s">
        <v>503</v>
      </c>
      <c r="FM42" s="108" t="s">
        <v>503</v>
      </c>
      <c r="FN42" s="108" t="s">
        <v>503</v>
      </c>
      <c r="FO42" s="108" t="s">
        <v>502</v>
      </c>
      <c r="FP42" s="108" t="s">
        <v>502</v>
      </c>
      <c r="FQ42" s="108" t="s">
        <v>502</v>
      </c>
      <c r="FR42" s="108" t="s">
        <v>502</v>
      </c>
      <c r="FS42" s="108" t="s">
        <v>502</v>
      </c>
      <c r="FT42" s="108" t="s">
        <v>502</v>
      </c>
      <c r="FU42" s="108" t="s">
        <v>502</v>
      </c>
      <c r="FV42" s="108" t="s">
        <v>502</v>
      </c>
      <c r="FW42" s="108" t="s">
        <v>502</v>
      </c>
      <c r="FX42" s="108" t="s">
        <v>503</v>
      </c>
      <c r="FY42" s="108" t="s">
        <v>503</v>
      </c>
      <c r="FZ42" s="108" t="s">
        <v>503</v>
      </c>
      <c r="GA42" s="108" t="s">
        <v>503</v>
      </c>
      <c r="GB42" s="108" t="s">
        <v>503</v>
      </c>
      <c r="GC42" s="108" t="s">
        <v>503</v>
      </c>
      <c r="GD42" s="108" t="s">
        <v>503</v>
      </c>
      <c r="GE42" s="108" t="s">
        <v>503</v>
      </c>
      <c r="GF42" s="108" t="s">
        <v>503</v>
      </c>
      <c r="GG42" s="108" t="s">
        <v>669</v>
      </c>
      <c r="GH42" s="108" t="s">
        <v>669</v>
      </c>
      <c r="GI42" s="108" t="s">
        <v>669</v>
      </c>
      <c r="GJ42" s="108" t="s">
        <v>669</v>
      </c>
      <c r="GK42" s="108" t="s">
        <v>669</v>
      </c>
      <c r="GL42" s="108" t="s">
        <v>669</v>
      </c>
      <c r="GM42" s="108" t="s">
        <v>502</v>
      </c>
      <c r="GN42" s="108" t="s">
        <v>502</v>
      </c>
      <c r="GO42" s="108" t="s">
        <v>502</v>
      </c>
      <c r="GP42" s="108" t="s">
        <v>664</v>
      </c>
      <c r="GQ42" s="108" t="s">
        <v>664</v>
      </c>
      <c r="GR42" s="108" t="s">
        <v>664</v>
      </c>
      <c r="GS42" s="108" t="s">
        <v>502</v>
      </c>
      <c r="GT42" s="108" t="s">
        <v>502</v>
      </c>
      <c r="GU42" s="108" t="s">
        <v>502</v>
      </c>
      <c r="GV42" s="108" t="s">
        <v>502</v>
      </c>
      <c r="GW42" s="108" t="s">
        <v>502</v>
      </c>
      <c r="GX42" s="108" t="s">
        <v>502</v>
      </c>
      <c r="GY42" s="108" t="s">
        <v>664</v>
      </c>
      <c r="GZ42" s="108" t="s">
        <v>664</v>
      </c>
      <c r="HA42" s="108" t="s">
        <v>664</v>
      </c>
      <c r="HB42" s="108" t="s">
        <v>664</v>
      </c>
      <c r="HC42" s="108" t="s">
        <v>664</v>
      </c>
      <c r="HD42" s="108" t="s">
        <v>664</v>
      </c>
      <c r="HE42" s="108" t="s">
        <v>664</v>
      </c>
      <c r="HF42" s="108" t="s">
        <v>664</v>
      </c>
      <c r="HG42" s="108" t="s">
        <v>664</v>
      </c>
      <c r="HH42" s="108" t="s">
        <v>664</v>
      </c>
      <c r="HI42" s="108" t="s">
        <v>664</v>
      </c>
      <c r="HJ42" s="108" t="s">
        <v>664</v>
      </c>
      <c r="HK42" s="108" t="s">
        <v>664</v>
      </c>
      <c r="HL42" s="108" t="s">
        <v>664</v>
      </c>
      <c r="HM42" s="108" t="s">
        <v>664</v>
      </c>
      <c r="HN42" s="108" t="s">
        <v>664</v>
      </c>
      <c r="HO42" s="108" t="s">
        <v>664</v>
      </c>
      <c r="HP42" s="108" t="s">
        <v>664</v>
      </c>
      <c r="HQ42" s="108" t="s">
        <v>503</v>
      </c>
      <c r="HR42" s="108" t="s">
        <v>503</v>
      </c>
      <c r="HS42" s="108" t="s">
        <v>503</v>
      </c>
      <c r="HT42" s="108" t="s">
        <v>502</v>
      </c>
      <c r="HU42" s="108" t="s">
        <v>502</v>
      </c>
      <c r="HV42" s="108" t="s">
        <v>502</v>
      </c>
      <c r="HW42" s="56">
        <v>3375000</v>
      </c>
      <c r="HX42" s="71">
        <f>+HW42*19%</f>
        <v>641250</v>
      </c>
      <c r="HY42" s="71">
        <f>+HW42+HX42</f>
        <v>4016250</v>
      </c>
      <c r="HZ42" s="118">
        <v>3300000</v>
      </c>
      <c r="IA42" s="71">
        <f>+HZ42*19%</f>
        <v>627000</v>
      </c>
      <c r="IB42" s="71">
        <f>+HZ42+IA42</f>
        <v>3927000</v>
      </c>
      <c r="IC42" s="118" t="s">
        <v>502</v>
      </c>
      <c r="ID42" s="118" t="s">
        <v>502</v>
      </c>
      <c r="IE42" s="118" t="s">
        <v>502</v>
      </c>
      <c r="IF42" s="118" t="s">
        <v>502</v>
      </c>
      <c r="IG42" s="118" t="s">
        <v>502</v>
      </c>
      <c r="IH42" s="118" t="s">
        <v>502</v>
      </c>
      <c r="II42" s="118" t="s">
        <v>502</v>
      </c>
      <c r="IJ42" s="118" t="s">
        <v>502</v>
      </c>
      <c r="IK42" s="118" t="s">
        <v>502</v>
      </c>
      <c r="IL42" s="118" t="s">
        <v>502</v>
      </c>
      <c r="IM42" s="118" t="s">
        <v>502</v>
      </c>
      <c r="IN42" s="118" t="s">
        <v>502</v>
      </c>
      <c r="IO42" s="120" t="s">
        <v>503</v>
      </c>
      <c r="IP42" s="120" t="s">
        <v>503</v>
      </c>
      <c r="IQ42" s="120" t="s">
        <v>503</v>
      </c>
      <c r="IR42" s="118" t="s">
        <v>669</v>
      </c>
      <c r="IS42" s="118" t="s">
        <v>669</v>
      </c>
      <c r="IT42" s="118" t="s">
        <v>669</v>
      </c>
      <c r="IU42" s="120" t="s">
        <v>503</v>
      </c>
      <c r="IV42" s="120" t="s">
        <v>503</v>
      </c>
      <c r="IW42" s="120" t="s">
        <v>503</v>
      </c>
      <c r="IX42" s="120" t="s">
        <v>503</v>
      </c>
      <c r="IY42" s="120" t="s">
        <v>503</v>
      </c>
      <c r="IZ42" s="120" t="s">
        <v>503</v>
      </c>
      <c r="JA42" s="120" t="s">
        <v>503</v>
      </c>
      <c r="JB42" s="120" t="s">
        <v>503</v>
      </c>
      <c r="JC42" s="120" t="s">
        <v>503</v>
      </c>
      <c r="JD42" s="120" t="s">
        <v>664</v>
      </c>
      <c r="JE42" s="120" t="s">
        <v>664</v>
      </c>
      <c r="JF42" s="120" t="s">
        <v>664</v>
      </c>
      <c r="JG42" s="118" t="s">
        <v>502</v>
      </c>
      <c r="JH42" s="118" t="s">
        <v>502</v>
      </c>
      <c r="JI42" s="118" t="s">
        <v>502</v>
      </c>
      <c r="JJ42" s="118" t="s">
        <v>502</v>
      </c>
      <c r="JK42" s="118" t="s">
        <v>502</v>
      </c>
      <c r="JL42" s="118" t="s">
        <v>502</v>
      </c>
      <c r="JM42" s="118" t="s">
        <v>502</v>
      </c>
      <c r="JN42" s="118" t="s">
        <v>502</v>
      </c>
      <c r="JO42" s="118" t="s">
        <v>502</v>
      </c>
      <c r="JP42" s="110"/>
      <c r="JQ42" s="111">
        <v>0</v>
      </c>
      <c r="JR42" s="112">
        <f t="shared" si="0"/>
        <v>2</v>
      </c>
      <c r="JS42" s="113">
        <f t="shared" si="1"/>
        <v>3971625</v>
      </c>
      <c r="JT42" s="114">
        <f t="shared" si="2"/>
        <v>3971650</v>
      </c>
      <c r="JU42" s="167"/>
    </row>
    <row r="43" spans="1:281" ht="140.25" customHeight="1" x14ac:dyDescent="0.2">
      <c r="A43" s="98">
        <v>140</v>
      </c>
      <c r="B43" s="99">
        <v>140</v>
      </c>
      <c r="C43" s="39" t="s">
        <v>12</v>
      </c>
      <c r="D43" s="100" t="s">
        <v>25</v>
      </c>
      <c r="E43" s="39">
        <v>82150000</v>
      </c>
      <c r="F43" s="101" t="s">
        <v>179</v>
      </c>
      <c r="G43" s="102" t="s">
        <v>56</v>
      </c>
      <c r="H43" s="103" t="s">
        <v>501</v>
      </c>
      <c r="I43" s="108" t="s">
        <v>503</v>
      </c>
      <c r="J43" s="108" t="s">
        <v>503</v>
      </c>
      <c r="K43" s="108" t="s">
        <v>503</v>
      </c>
      <c r="L43" s="118" t="s">
        <v>502</v>
      </c>
      <c r="M43" s="118" t="s">
        <v>502</v>
      </c>
      <c r="N43" s="118" t="s">
        <v>502</v>
      </c>
      <c r="O43" s="108" t="s">
        <v>503</v>
      </c>
      <c r="P43" s="108" t="s">
        <v>503</v>
      </c>
      <c r="Q43" s="108" t="s">
        <v>503</v>
      </c>
      <c r="R43" s="108" t="s">
        <v>503</v>
      </c>
      <c r="S43" s="108" t="s">
        <v>503</v>
      </c>
      <c r="T43" s="108" t="s">
        <v>503</v>
      </c>
      <c r="U43" s="118" t="s">
        <v>502</v>
      </c>
      <c r="V43" s="118" t="s">
        <v>502</v>
      </c>
      <c r="W43" s="118" t="s">
        <v>502</v>
      </c>
      <c r="X43" s="108" t="s">
        <v>503</v>
      </c>
      <c r="Y43" s="108" t="s">
        <v>503</v>
      </c>
      <c r="Z43" s="108" t="s">
        <v>503</v>
      </c>
      <c r="AA43" s="108" t="s">
        <v>503</v>
      </c>
      <c r="AB43" s="108" t="s">
        <v>503</v>
      </c>
      <c r="AC43" s="108" t="s">
        <v>503</v>
      </c>
      <c r="AD43" s="108" t="s">
        <v>503</v>
      </c>
      <c r="AE43" s="108" t="s">
        <v>503</v>
      </c>
      <c r="AF43" s="108" t="s">
        <v>503</v>
      </c>
      <c r="AG43" s="108" t="s">
        <v>503</v>
      </c>
      <c r="AH43" s="108" t="s">
        <v>503</v>
      </c>
      <c r="AI43" s="108" t="s">
        <v>503</v>
      </c>
      <c r="AJ43" s="108" t="s">
        <v>503</v>
      </c>
      <c r="AK43" s="108" t="s">
        <v>503</v>
      </c>
      <c r="AL43" s="108" t="s">
        <v>503</v>
      </c>
      <c r="AM43" s="108" t="s">
        <v>503</v>
      </c>
      <c r="AN43" s="108" t="s">
        <v>503</v>
      </c>
      <c r="AO43" s="108" t="s">
        <v>503</v>
      </c>
      <c r="AP43" s="108" t="s">
        <v>503</v>
      </c>
      <c r="AQ43" s="108" t="s">
        <v>503</v>
      </c>
      <c r="AR43" s="108" t="s">
        <v>503</v>
      </c>
      <c r="AS43" s="118" t="s">
        <v>502</v>
      </c>
      <c r="AT43" s="118" t="s">
        <v>502</v>
      </c>
      <c r="AU43" s="118" t="s">
        <v>502</v>
      </c>
      <c r="AV43" s="108" t="s">
        <v>503</v>
      </c>
      <c r="AW43" s="108" t="s">
        <v>503</v>
      </c>
      <c r="AX43" s="108" t="s">
        <v>503</v>
      </c>
      <c r="AY43" s="108" t="s">
        <v>503</v>
      </c>
      <c r="AZ43" s="108" t="s">
        <v>503</v>
      </c>
      <c r="BA43" s="108" t="s">
        <v>503</v>
      </c>
      <c r="BB43" s="108" t="s">
        <v>503</v>
      </c>
      <c r="BC43" s="108" t="s">
        <v>503</v>
      </c>
      <c r="BD43" s="108" t="s">
        <v>503</v>
      </c>
      <c r="BE43" s="118" t="s">
        <v>502</v>
      </c>
      <c r="BF43" s="118" t="s">
        <v>502</v>
      </c>
      <c r="BG43" s="118" t="s">
        <v>502</v>
      </c>
      <c r="BH43" s="108" t="s">
        <v>503</v>
      </c>
      <c r="BI43" s="108" t="s">
        <v>503</v>
      </c>
      <c r="BJ43" s="108" t="s">
        <v>503</v>
      </c>
      <c r="BK43" s="108" t="s">
        <v>503</v>
      </c>
      <c r="BL43" s="108" t="s">
        <v>503</v>
      </c>
      <c r="BM43" s="108" t="s">
        <v>503</v>
      </c>
      <c r="BN43" s="108" t="s">
        <v>503</v>
      </c>
      <c r="BO43" s="108" t="s">
        <v>503</v>
      </c>
      <c r="BP43" s="108" t="s">
        <v>503</v>
      </c>
      <c r="BQ43" s="108" t="s">
        <v>503</v>
      </c>
      <c r="BR43" s="108" t="s">
        <v>503</v>
      </c>
      <c r="BS43" s="108" t="s">
        <v>503</v>
      </c>
      <c r="BT43" s="108" t="s">
        <v>503</v>
      </c>
      <c r="BU43" s="108" t="s">
        <v>503</v>
      </c>
      <c r="BV43" s="108" t="s">
        <v>503</v>
      </c>
      <c r="BW43" s="108" t="s">
        <v>503</v>
      </c>
      <c r="BX43" s="108" t="s">
        <v>503</v>
      </c>
      <c r="BY43" s="108" t="s">
        <v>503</v>
      </c>
      <c r="BZ43" s="108" t="s">
        <v>503</v>
      </c>
      <c r="CA43" s="108" t="s">
        <v>503</v>
      </c>
      <c r="CB43" s="108" t="s">
        <v>503</v>
      </c>
      <c r="CC43" s="108" t="s">
        <v>503</v>
      </c>
      <c r="CD43" s="108" t="s">
        <v>503</v>
      </c>
      <c r="CE43" s="108" t="s">
        <v>503</v>
      </c>
      <c r="CF43" s="108" t="s">
        <v>503</v>
      </c>
      <c r="CG43" s="108" t="s">
        <v>503</v>
      </c>
      <c r="CH43" s="108" t="s">
        <v>503</v>
      </c>
      <c r="CI43" s="108" t="s">
        <v>503</v>
      </c>
      <c r="CJ43" s="108" t="s">
        <v>503</v>
      </c>
      <c r="CK43" s="108" t="s">
        <v>503</v>
      </c>
      <c r="CL43" s="108" t="s">
        <v>503</v>
      </c>
      <c r="CM43" s="108" t="s">
        <v>503</v>
      </c>
      <c r="CN43" s="108" t="s">
        <v>503</v>
      </c>
      <c r="CO43" s="108" t="s">
        <v>503</v>
      </c>
      <c r="CP43" s="108" t="s">
        <v>503</v>
      </c>
      <c r="CQ43" s="108" t="s">
        <v>503</v>
      </c>
      <c r="CR43" s="108" t="s">
        <v>503</v>
      </c>
      <c r="CS43" s="108" t="s">
        <v>503</v>
      </c>
      <c r="CT43" s="108" t="s">
        <v>503</v>
      </c>
      <c r="CU43" s="108" t="s">
        <v>503</v>
      </c>
      <c r="CV43" s="108" t="s">
        <v>503</v>
      </c>
      <c r="CW43" s="108" t="s">
        <v>503</v>
      </c>
      <c r="CX43" s="108" t="s">
        <v>503</v>
      </c>
      <c r="CY43" s="108" t="s">
        <v>503</v>
      </c>
      <c r="CZ43" s="108" t="s">
        <v>503</v>
      </c>
      <c r="DA43" s="108" t="s">
        <v>503</v>
      </c>
      <c r="DB43" s="108" t="s">
        <v>503</v>
      </c>
      <c r="DC43" s="108" t="s">
        <v>503</v>
      </c>
      <c r="DD43" s="108" t="s">
        <v>503</v>
      </c>
      <c r="DE43" s="108" t="s">
        <v>503</v>
      </c>
      <c r="DF43" s="108" t="s">
        <v>503</v>
      </c>
      <c r="DG43" s="108" t="s">
        <v>503</v>
      </c>
      <c r="DH43" s="108" t="s">
        <v>503</v>
      </c>
      <c r="DI43" s="108" t="s">
        <v>503</v>
      </c>
      <c r="DJ43" s="108" t="s">
        <v>503</v>
      </c>
      <c r="DK43" s="108" t="s">
        <v>503</v>
      </c>
      <c r="DL43" s="108" t="s">
        <v>503</v>
      </c>
      <c r="DM43" s="108" t="s">
        <v>503</v>
      </c>
      <c r="DN43" s="108" t="s">
        <v>503</v>
      </c>
      <c r="DO43" s="108" t="s">
        <v>503</v>
      </c>
      <c r="DP43" s="108" t="s">
        <v>669</v>
      </c>
      <c r="DQ43" s="108" t="s">
        <v>669</v>
      </c>
      <c r="DR43" s="108" t="s">
        <v>669</v>
      </c>
      <c r="DS43" s="108" t="s">
        <v>669</v>
      </c>
      <c r="DT43" s="108" t="s">
        <v>669</v>
      </c>
      <c r="DU43" s="108" t="s">
        <v>669</v>
      </c>
      <c r="DV43" s="108" t="s">
        <v>503</v>
      </c>
      <c r="DW43" s="108" t="s">
        <v>503</v>
      </c>
      <c r="DX43" s="108" t="s">
        <v>503</v>
      </c>
      <c r="DY43" s="108" t="s">
        <v>503</v>
      </c>
      <c r="DZ43" s="108" t="s">
        <v>503</v>
      </c>
      <c r="EA43" s="108" t="s">
        <v>503</v>
      </c>
      <c r="EB43" s="108" t="s">
        <v>503</v>
      </c>
      <c r="EC43" s="108" t="s">
        <v>503</v>
      </c>
      <c r="ED43" s="108" t="s">
        <v>503</v>
      </c>
      <c r="EE43" s="108" t="s">
        <v>503</v>
      </c>
      <c r="EF43" s="108" t="s">
        <v>503</v>
      </c>
      <c r="EG43" s="108" t="s">
        <v>503</v>
      </c>
      <c r="EH43" s="108" t="s">
        <v>503</v>
      </c>
      <c r="EI43" s="108" t="s">
        <v>503</v>
      </c>
      <c r="EJ43" s="108" t="s">
        <v>503</v>
      </c>
      <c r="EK43" s="108" t="s">
        <v>503</v>
      </c>
      <c r="EL43" s="108" t="s">
        <v>503</v>
      </c>
      <c r="EM43" s="108" t="s">
        <v>503</v>
      </c>
      <c r="EN43" s="108" t="s">
        <v>503</v>
      </c>
      <c r="EO43" s="108" t="s">
        <v>503</v>
      </c>
      <c r="EP43" s="108" t="s">
        <v>503</v>
      </c>
      <c r="EQ43" s="108" t="s">
        <v>502</v>
      </c>
      <c r="ER43" s="108" t="s">
        <v>502</v>
      </c>
      <c r="ES43" s="108" t="s">
        <v>502</v>
      </c>
      <c r="ET43" s="108" t="s">
        <v>502</v>
      </c>
      <c r="EU43" s="108" t="s">
        <v>502</v>
      </c>
      <c r="EV43" s="108" t="s">
        <v>502</v>
      </c>
      <c r="EW43" s="108" t="s">
        <v>502</v>
      </c>
      <c r="EX43" s="108" t="s">
        <v>502</v>
      </c>
      <c r="EY43" s="108" t="s">
        <v>502</v>
      </c>
      <c r="EZ43" s="108" t="s">
        <v>502</v>
      </c>
      <c r="FA43" s="108" t="s">
        <v>502</v>
      </c>
      <c r="FB43" s="108" t="s">
        <v>502</v>
      </c>
      <c r="FC43" s="108" t="s">
        <v>502</v>
      </c>
      <c r="FD43" s="108" t="s">
        <v>502</v>
      </c>
      <c r="FE43" s="108" t="s">
        <v>502</v>
      </c>
      <c r="FF43" s="108" t="s">
        <v>503</v>
      </c>
      <c r="FG43" s="108" t="s">
        <v>503</v>
      </c>
      <c r="FH43" s="108" t="s">
        <v>503</v>
      </c>
      <c r="FI43" s="108" t="s">
        <v>503</v>
      </c>
      <c r="FJ43" s="108" t="s">
        <v>503</v>
      </c>
      <c r="FK43" s="108" t="s">
        <v>503</v>
      </c>
      <c r="FL43" s="108" t="s">
        <v>503</v>
      </c>
      <c r="FM43" s="108" t="s">
        <v>503</v>
      </c>
      <c r="FN43" s="108" t="s">
        <v>503</v>
      </c>
      <c r="FO43" s="108" t="s">
        <v>502</v>
      </c>
      <c r="FP43" s="108" t="s">
        <v>502</v>
      </c>
      <c r="FQ43" s="108" t="s">
        <v>502</v>
      </c>
      <c r="FR43" s="108" t="s">
        <v>502</v>
      </c>
      <c r="FS43" s="108" t="s">
        <v>502</v>
      </c>
      <c r="FT43" s="108" t="s">
        <v>502</v>
      </c>
      <c r="FU43" s="108" t="s">
        <v>502</v>
      </c>
      <c r="FV43" s="108" t="s">
        <v>502</v>
      </c>
      <c r="FW43" s="108" t="s">
        <v>502</v>
      </c>
      <c r="FX43" s="108" t="s">
        <v>503</v>
      </c>
      <c r="FY43" s="108" t="s">
        <v>503</v>
      </c>
      <c r="FZ43" s="108" t="s">
        <v>503</v>
      </c>
      <c r="GA43" s="108" t="s">
        <v>503</v>
      </c>
      <c r="GB43" s="108" t="s">
        <v>503</v>
      </c>
      <c r="GC43" s="108" t="s">
        <v>503</v>
      </c>
      <c r="GD43" s="108" t="s">
        <v>503</v>
      </c>
      <c r="GE43" s="108" t="s">
        <v>503</v>
      </c>
      <c r="GF43" s="108" t="s">
        <v>503</v>
      </c>
      <c r="GG43" s="108" t="s">
        <v>669</v>
      </c>
      <c r="GH43" s="108" t="s">
        <v>669</v>
      </c>
      <c r="GI43" s="108" t="s">
        <v>669</v>
      </c>
      <c r="GJ43" s="108" t="s">
        <v>669</v>
      </c>
      <c r="GK43" s="108" t="s">
        <v>669</v>
      </c>
      <c r="GL43" s="108" t="s">
        <v>669</v>
      </c>
      <c r="GM43" s="108" t="s">
        <v>502</v>
      </c>
      <c r="GN43" s="108" t="s">
        <v>502</v>
      </c>
      <c r="GO43" s="108" t="s">
        <v>502</v>
      </c>
      <c r="GP43" s="108" t="s">
        <v>664</v>
      </c>
      <c r="GQ43" s="108" t="s">
        <v>664</v>
      </c>
      <c r="GR43" s="108" t="s">
        <v>664</v>
      </c>
      <c r="GS43" s="108" t="s">
        <v>502</v>
      </c>
      <c r="GT43" s="108" t="s">
        <v>502</v>
      </c>
      <c r="GU43" s="108" t="s">
        <v>502</v>
      </c>
      <c r="GV43" s="108" t="s">
        <v>502</v>
      </c>
      <c r="GW43" s="108" t="s">
        <v>502</v>
      </c>
      <c r="GX43" s="108" t="s">
        <v>502</v>
      </c>
      <c r="GY43" s="108" t="s">
        <v>664</v>
      </c>
      <c r="GZ43" s="108" t="s">
        <v>664</v>
      </c>
      <c r="HA43" s="108" t="s">
        <v>664</v>
      </c>
      <c r="HB43" s="108" t="s">
        <v>664</v>
      </c>
      <c r="HC43" s="108" t="s">
        <v>664</v>
      </c>
      <c r="HD43" s="108" t="s">
        <v>664</v>
      </c>
      <c r="HE43" s="108" t="s">
        <v>664</v>
      </c>
      <c r="HF43" s="108" t="s">
        <v>664</v>
      </c>
      <c r="HG43" s="108" t="s">
        <v>664</v>
      </c>
      <c r="HH43" s="108" t="s">
        <v>664</v>
      </c>
      <c r="HI43" s="108" t="s">
        <v>664</v>
      </c>
      <c r="HJ43" s="108" t="s">
        <v>664</v>
      </c>
      <c r="HK43" s="108" t="s">
        <v>664</v>
      </c>
      <c r="HL43" s="108" t="s">
        <v>664</v>
      </c>
      <c r="HM43" s="108" t="s">
        <v>664</v>
      </c>
      <c r="HN43" s="108" t="s">
        <v>664</v>
      </c>
      <c r="HO43" s="108" t="s">
        <v>664</v>
      </c>
      <c r="HP43" s="108" t="s">
        <v>664</v>
      </c>
      <c r="HQ43" s="108" t="s">
        <v>503</v>
      </c>
      <c r="HR43" s="108" t="s">
        <v>503</v>
      </c>
      <c r="HS43" s="108" t="s">
        <v>503</v>
      </c>
      <c r="HT43" s="108" t="s">
        <v>502</v>
      </c>
      <c r="HU43" s="108" t="s">
        <v>502</v>
      </c>
      <c r="HV43" s="108" t="s">
        <v>502</v>
      </c>
      <c r="HW43" s="56">
        <v>5415000</v>
      </c>
      <c r="HX43" s="71">
        <f>+HW43*19%</f>
        <v>1028850</v>
      </c>
      <c r="HY43" s="71">
        <f>+HW43+HX43</f>
        <v>6443850</v>
      </c>
      <c r="HZ43" s="118">
        <v>5550000</v>
      </c>
      <c r="IA43" s="71">
        <f>+HZ43*19%</f>
        <v>1054500</v>
      </c>
      <c r="IB43" s="71">
        <f>+HZ43+IA43</f>
        <v>6604500</v>
      </c>
      <c r="IC43" s="118" t="s">
        <v>502</v>
      </c>
      <c r="ID43" s="118" t="s">
        <v>502</v>
      </c>
      <c r="IE43" s="118" t="s">
        <v>502</v>
      </c>
      <c r="IF43" s="118" t="s">
        <v>502</v>
      </c>
      <c r="IG43" s="118" t="s">
        <v>502</v>
      </c>
      <c r="IH43" s="118" t="s">
        <v>502</v>
      </c>
      <c r="II43" s="118" t="s">
        <v>502</v>
      </c>
      <c r="IJ43" s="118" t="s">
        <v>502</v>
      </c>
      <c r="IK43" s="118" t="s">
        <v>502</v>
      </c>
      <c r="IL43" s="118" t="s">
        <v>502</v>
      </c>
      <c r="IM43" s="118" t="s">
        <v>502</v>
      </c>
      <c r="IN43" s="118" t="s">
        <v>502</v>
      </c>
      <c r="IO43" s="120" t="s">
        <v>503</v>
      </c>
      <c r="IP43" s="120" t="s">
        <v>503</v>
      </c>
      <c r="IQ43" s="120" t="s">
        <v>503</v>
      </c>
      <c r="IR43" s="118" t="s">
        <v>669</v>
      </c>
      <c r="IS43" s="118" t="s">
        <v>669</v>
      </c>
      <c r="IT43" s="118" t="s">
        <v>669</v>
      </c>
      <c r="IU43" s="120" t="s">
        <v>503</v>
      </c>
      <c r="IV43" s="120" t="s">
        <v>503</v>
      </c>
      <c r="IW43" s="120" t="s">
        <v>503</v>
      </c>
      <c r="IX43" s="120" t="s">
        <v>503</v>
      </c>
      <c r="IY43" s="120" t="s">
        <v>503</v>
      </c>
      <c r="IZ43" s="120" t="s">
        <v>503</v>
      </c>
      <c r="JA43" s="120" t="s">
        <v>503</v>
      </c>
      <c r="JB43" s="120" t="s">
        <v>503</v>
      </c>
      <c r="JC43" s="120" t="s">
        <v>503</v>
      </c>
      <c r="JD43" s="120" t="s">
        <v>664</v>
      </c>
      <c r="JE43" s="120" t="s">
        <v>664</v>
      </c>
      <c r="JF43" s="120" t="s">
        <v>664</v>
      </c>
      <c r="JG43" s="118" t="s">
        <v>502</v>
      </c>
      <c r="JH43" s="118" t="s">
        <v>502</v>
      </c>
      <c r="JI43" s="118" t="s">
        <v>502</v>
      </c>
      <c r="JJ43" s="118" t="s">
        <v>502</v>
      </c>
      <c r="JK43" s="118" t="s">
        <v>502</v>
      </c>
      <c r="JL43" s="118" t="s">
        <v>502</v>
      </c>
      <c r="JM43" s="118" t="s">
        <v>502</v>
      </c>
      <c r="JN43" s="118" t="s">
        <v>502</v>
      </c>
      <c r="JO43" s="118" t="s">
        <v>502</v>
      </c>
      <c r="JP43" s="110"/>
      <c r="JQ43" s="111">
        <v>0</v>
      </c>
      <c r="JR43" s="112">
        <f t="shared" si="0"/>
        <v>2</v>
      </c>
      <c r="JS43" s="113">
        <f t="shared" si="1"/>
        <v>6524175</v>
      </c>
      <c r="JT43" s="114">
        <f t="shared" si="2"/>
        <v>6524200</v>
      </c>
      <c r="JU43" s="167"/>
    </row>
    <row r="44" spans="1:281" ht="101.25" customHeight="1" x14ac:dyDescent="0.2">
      <c r="A44" s="98">
        <v>141</v>
      </c>
      <c r="B44" s="99">
        <v>141</v>
      </c>
      <c r="C44" s="39" t="s">
        <v>12</v>
      </c>
      <c r="D44" s="100" t="s">
        <v>26</v>
      </c>
      <c r="E44" s="39">
        <v>82151700</v>
      </c>
      <c r="F44" s="129" t="s">
        <v>180</v>
      </c>
      <c r="G44" s="102" t="s">
        <v>57</v>
      </c>
      <c r="H44" s="103" t="s">
        <v>501</v>
      </c>
      <c r="I44" s="108" t="s">
        <v>503</v>
      </c>
      <c r="J44" s="108" t="s">
        <v>503</v>
      </c>
      <c r="K44" s="108" t="s">
        <v>503</v>
      </c>
      <c r="L44" s="118" t="s">
        <v>502</v>
      </c>
      <c r="M44" s="118" t="s">
        <v>502</v>
      </c>
      <c r="N44" s="118" t="s">
        <v>502</v>
      </c>
      <c r="O44" s="108" t="s">
        <v>503</v>
      </c>
      <c r="P44" s="108" t="s">
        <v>503</v>
      </c>
      <c r="Q44" s="108" t="s">
        <v>503</v>
      </c>
      <c r="R44" s="108" t="s">
        <v>503</v>
      </c>
      <c r="S44" s="108" t="s">
        <v>503</v>
      </c>
      <c r="T44" s="108" t="s">
        <v>503</v>
      </c>
      <c r="U44" s="118" t="s">
        <v>502</v>
      </c>
      <c r="V44" s="118" t="s">
        <v>502</v>
      </c>
      <c r="W44" s="118" t="s">
        <v>502</v>
      </c>
      <c r="X44" s="108" t="s">
        <v>503</v>
      </c>
      <c r="Y44" s="108" t="s">
        <v>503</v>
      </c>
      <c r="Z44" s="108" t="s">
        <v>503</v>
      </c>
      <c r="AA44" s="108" t="s">
        <v>503</v>
      </c>
      <c r="AB44" s="108" t="s">
        <v>503</v>
      </c>
      <c r="AC44" s="108" t="s">
        <v>503</v>
      </c>
      <c r="AD44" s="108" t="s">
        <v>503</v>
      </c>
      <c r="AE44" s="108" t="s">
        <v>503</v>
      </c>
      <c r="AF44" s="108" t="s">
        <v>503</v>
      </c>
      <c r="AG44" s="108" t="s">
        <v>503</v>
      </c>
      <c r="AH44" s="108" t="s">
        <v>503</v>
      </c>
      <c r="AI44" s="108" t="s">
        <v>503</v>
      </c>
      <c r="AJ44" s="108" t="s">
        <v>503</v>
      </c>
      <c r="AK44" s="108" t="s">
        <v>503</v>
      </c>
      <c r="AL44" s="108" t="s">
        <v>503</v>
      </c>
      <c r="AM44" s="108" t="s">
        <v>503</v>
      </c>
      <c r="AN44" s="108" t="s">
        <v>503</v>
      </c>
      <c r="AO44" s="108" t="s">
        <v>503</v>
      </c>
      <c r="AP44" s="108" t="s">
        <v>503</v>
      </c>
      <c r="AQ44" s="108" t="s">
        <v>503</v>
      </c>
      <c r="AR44" s="108" t="s">
        <v>503</v>
      </c>
      <c r="AS44" s="118" t="s">
        <v>502</v>
      </c>
      <c r="AT44" s="118" t="s">
        <v>502</v>
      </c>
      <c r="AU44" s="118" t="s">
        <v>502</v>
      </c>
      <c r="AV44" s="108" t="s">
        <v>503</v>
      </c>
      <c r="AW44" s="108" t="s">
        <v>503</v>
      </c>
      <c r="AX44" s="108" t="s">
        <v>503</v>
      </c>
      <c r="AY44" s="108" t="s">
        <v>503</v>
      </c>
      <c r="AZ44" s="108" t="s">
        <v>503</v>
      </c>
      <c r="BA44" s="108" t="s">
        <v>503</v>
      </c>
      <c r="BB44" s="108" t="s">
        <v>503</v>
      </c>
      <c r="BC44" s="108" t="s">
        <v>503</v>
      </c>
      <c r="BD44" s="108" t="s">
        <v>503</v>
      </c>
      <c r="BE44" s="118" t="s">
        <v>502</v>
      </c>
      <c r="BF44" s="118" t="s">
        <v>502</v>
      </c>
      <c r="BG44" s="118" t="s">
        <v>502</v>
      </c>
      <c r="BH44" s="108" t="s">
        <v>503</v>
      </c>
      <c r="BI44" s="108" t="s">
        <v>503</v>
      </c>
      <c r="BJ44" s="108" t="s">
        <v>503</v>
      </c>
      <c r="BK44" s="108" t="s">
        <v>503</v>
      </c>
      <c r="BL44" s="108" t="s">
        <v>503</v>
      </c>
      <c r="BM44" s="108" t="s">
        <v>503</v>
      </c>
      <c r="BN44" s="108" t="s">
        <v>503</v>
      </c>
      <c r="BO44" s="108" t="s">
        <v>503</v>
      </c>
      <c r="BP44" s="108" t="s">
        <v>503</v>
      </c>
      <c r="BQ44" s="108" t="s">
        <v>503</v>
      </c>
      <c r="BR44" s="108" t="s">
        <v>503</v>
      </c>
      <c r="BS44" s="108" t="s">
        <v>503</v>
      </c>
      <c r="BT44" s="108" t="s">
        <v>503</v>
      </c>
      <c r="BU44" s="108" t="s">
        <v>503</v>
      </c>
      <c r="BV44" s="108" t="s">
        <v>503</v>
      </c>
      <c r="BW44" s="108" t="s">
        <v>503</v>
      </c>
      <c r="BX44" s="108" t="s">
        <v>503</v>
      </c>
      <c r="BY44" s="108" t="s">
        <v>503</v>
      </c>
      <c r="BZ44" s="108" t="s">
        <v>503</v>
      </c>
      <c r="CA44" s="108" t="s">
        <v>503</v>
      </c>
      <c r="CB44" s="108" t="s">
        <v>503</v>
      </c>
      <c r="CC44" s="108" t="s">
        <v>503</v>
      </c>
      <c r="CD44" s="108" t="s">
        <v>503</v>
      </c>
      <c r="CE44" s="108" t="s">
        <v>503</v>
      </c>
      <c r="CF44" s="108" t="s">
        <v>503</v>
      </c>
      <c r="CG44" s="108" t="s">
        <v>503</v>
      </c>
      <c r="CH44" s="108" t="s">
        <v>503</v>
      </c>
      <c r="CI44" s="108" t="s">
        <v>503</v>
      </c>
      <c r="CJ44" s="108" t="s">
        <v>503</v>
      </c>
      <c r="CK44" s="108" t="s">
        <v>503</v>
      </c>
      <c r="CL44" s="108" t="s">
        <v>503</v>
      </c>
      <c r="CM44" s="108" t="s">
        <v>503</v>
      </c>
      <c r="CN44" s="108" t="s">
        <v>503</v>
      </c>
      <c r="CO44" s="108" t="s">
        <v>503</v>
      </c>
      <c r="CP44" s="108" t="s">
        <v>503</v>
      </c>
      <c r="CQ44" s="108" t="s">
        <v>503</v>
      </c>
      <c r="CR44" s="108" t="s">
        <v>503</v>
      </c>
      <c r="CS44" s="108" t="s">
        <v>503</v>
      </c>
      <c r="CT44" s="108" t="s">
        <v>503</v>
      </c>
      <c r="CU44" s="108" t="s">
        <v>503</v>
      </c>
      <c r="CV44" s="108" t="s">
        <v>503</v>
      </c>
      <c r="CW44" s="108" t="s">
        <v>503</v>
      </c>
      <c r="CX44" s="108" t="s">
        <v>503</v>
      </c>
      <c r="CY44" s="108" t="s">
        <v>503</v>
      </c>
      <c r="CZ44" s="108" t="s">
        <v>503</v>
      </c>
      <c r="DA44" s="108" t="s">
        <v>503</v>
      </c>
      <c r="DB44" s="108" t="s">
        <v>503</v>
      </c>
      <c r="DC44" s="108" t="s">
        <v>503</v>
      </c>
      <c r="DD44" s="108" t="s">
        <v>503</v>
      </c>
      <c r="DE44" s="108" t="s">
        <v>503</v>
      </c>
      <c r="DF44" s="108" t="s">
        <v>503</v>
      </c>
      <c r="DG44" s="108" t="s">
        <v>503</v>
      </c>
      <c r="DH44" s="108" t="s">
        <v>503</v>
      </c>
      <c r="DI44" s="108" t="s">
        <v>503</v>
      </c>
      <c r="DJ44" s="108" t="s">
        <v>503</v>
      </c>
      <c r="DK44" s="108" t="s">
        <v>503</v>
      </c>
      <c r="DL44" s="108" t="s">
        <v>503</v>
      </c>
      <c r="DM44" s="108" t="s">
        <v>503</v>
      </c>
      <c r="DN44" s="108" t="s">
        <v>503</v>
      </c>
      <c r="DO44" s="108" t="s">
        <v>503</v>
      </c>
      <c r="DP44" s="108" t="s">
        <v>669</v>
      </c>
      <c r="DQ44" s="108" t="s">
        <v>669</v>
      </c>
      <c r="DR44" s="108" t="s">
        <v>669</v>
      </c>
      <c r="DS44" s="108" t="s">
        <v>669</v>
      </c>
      <c r="DT44" s="108" t="s">
        <v>669</v>
      </c>
      <c r="DU44" s="108" t="s">
        <v>669</v>
      </c>
      <c r="DV44" s="108" t="s">
        <v>503</v>
      </c>
      <c r="DW44" s="108" t="s">
        <v>503</v>
      </c>
      <c r="DX44" s="108" t="s">
        <v>503</v>
      </c>
      <c r="DY44" s="108" t="s">
        <v>503</v>
      </c>
      <c r="DZ44" s="108" t="s">
        <v>503</v>
      </c>
      <c r="EA44" s="108" t="s">
        <v>503</v>
      </c>
      <c r="EB44" s="108" t="s">
        <v>503</v>
      </c>
      <c r="EC44" s="108" t="s">
        <v>503</v>
      </c>
      <c r="ED44" s="108" t="s">
        <v>503</v>
      </c>
      <c r="EE44" s="108" t="s">
        <v>503</v>
      </c>
      <c r="EF44" s="108" t="s">
        <v>503</v>
      </c>
      <c r="EG44" s="108" t="s">
        <v>503</v>
      </c>
      <c r="EH44" s="108" t="s">
        <v>503</v>
      </c>
      <c r="EI44" s="108" t="s">
        <v>503</v>
      </c>
      <c r="EJ44" s="108" t="s">
        <v>503</v>
      </c>
      <c r="EK44" s="108" t="s">
        <v>503</v>
      </c>
      <c r="EL44" s="108" t="s">
        <v>503</v>
      </c>
      <c r="EM44" s="108" t="s">
        <v>503</v>
      </c>
      <c r="EN44" s="108" t="s">
        <v>503</v>
      </c>
      <c r="EO44" s="108" t="s">
        <v>503</v>
      </c>
      <c r="EP44" s="108" t="s">
        <v>503</v>
      </c>
      <c r="EQ44" s="108" t="s">
        <v>502</v>
      </c>
      <c r="ER44" s="108" t="s">
        <v>502</v>
      </c>
      <c r="ES44" s="108" t="s">
        <v>502</v>
      </c>
      <c r="ET44" s="108" t="s">
        <v>502</v>
      </c>
      <c r="EU44" s="108" t="s">
        <v>502</v>
      </c>
      <c r="EV44" s="108" t="s">
        <v>502</v>
      </c>
      <c r="EW44" s="108" t="s">
        <v>502</v>
      </c>
      <c r="EX44" s="108" t="s">
        <v>502</v>
      </c>
      <c r="EY44" s="108" t="s">
        <v>502</v>
      </c>
      <c r="EZ44" s="71">
        <v>900000</v>
      </c>
      <c r="FA44" s="71">
        <f>+EZ44*19%</f>
        <v>171000</v>
      </c>
      <c r="FB44" s="71">
        <f>+EZ44+FA44</f>
        <v>1071000</v>
      </c>
      <c r="FC44" s="108" t="s">
        <v>502</v>
      </c>
      <c r="FD44" s="108" t="s">
        <v>502</v>
      </c>
      <c r="FE44" s="108" t="s">
        <v>502</v>
      </c>
      <c r="FF44" s="108" t="s">
        <v>503</v>
      </c>
      <c r="FG44" s="108" t="s">
        <v>503</v>
      </c>
      <c r="FH44" s="108" t="s">
        <v>503</v>
      </c>
      <c r="FI44" s="108" t="s">
        <v>503</v>
      </c>
      <c r="FJ44" s="108" t="s">
        <v>503</v>
      </c>
      <c r="FK44" s="108" t="s">
        <v>503</v>
      </c>
      <c r="FL44" s="108" t="s">
        <v>503</v>
      </c>
      <c r="FM44" s="108" t="s">
        <v>503</v>
      </c>
      <c r="FN44" s="108" t="s">
        <v>503</v>
      </c>
      <c r="FO44" s="108" t="s">
        <v>502</v>
      </c>
      <c r="FP44" s="108" t="s">
        <v>502</v>
      </c>
      <c r="FQ44" s="108" t="s">
        <v>502</v>
      </c>
      <c r="FR44" s="108" t="s">
        <v>502</v>
      </c>
      <c r="FS44" s="108" t="s">
        <v>502</v>
      </c>
      <c r="FT44" s="108" t="s">
        <v>502</v>
      </c>
      <c r="FU44" s="108" t="s">
        <v>502</v>
      </c>
      <c r="FV44" s="108" t="s">
        <v>502</v>
      </c>
      <c r="FW44" s="108" t="s">
        <v>502</v>
      </c>
      <c r="FX44" s="108" t="s">
        <v>503</v>
      </c>
      <c r="FY44" s="108" t="s">
        <v>503</v>
      </c>
      <c r="FZ44" s="108" t="s">
        <v>503</v>
      </c>
      <c r="GA44" s="108" t="s">
        <v>503</v>
      </c>
      <c r="GB44" s="108" t="s">
        <v>503</v>
      </c>
      <c r="GC44" s="108" t="s">
        <v>503</v>
      </c>
      <c r="GD44" s="108" t="s">
        <v>503</v>
      </c>
      <c r="GE44" s="108" t="s">
        <v>503</v>
      </c>
      <c r="GF44" s="108" t="s">
        <v>503</v>
      </c>
      <c r="GG44" s="108" t="s">
        <v>669</v>
      </c>
      <c r="GH44" s="108" t="s">
        <v>669</v>
      </c>
      <c r="GI44" s="108" t="s">
        <v>669</v>
      </c>
      <c r="GJ44" s="108" t="s">
        <v>669</v>
      </c>
      <c r="GK44" s="108" t="s">
        <v>669</v>
      </c>
      <c r="GL44" s="108" t="s">
        <v>669</v>
      </c>
      <c r="GM44" s="108" t="s">
        <v>502</v>
      </c>
      <c r="GN44" s="108" t="s">
        <v>502</v>
      </c>
      <c r="GO44" s="108" t="s">
        <v>502</v>
      </c>
      <c r="GP44" s="108" t="s">
        <v>664</v>
      </c>
      <c r="GQ44" s="108" t="s">
        <v>664</v>
      </c>
      <c r="GR44" s="108" t="s">
        <v>664</v>
      </c>
      <c r="GS44" s="108" t="s">
        <v>502</v>
      </c>
      <c r="GT44" s="108" t="s">
        <v>502</v>
      </c>
      <c r="GU44" s="108" t="s">
        <v>502</v>
      </c>
      <c r="GV44" s="108" t="s">
        <v>502</v>
      </c>
      <c r="GW44" s="108" t="s">
        <v>502</v>
      </c>
      <c r="GX44" s="108" t="s">
        <v>502</v>
      </c>
      <c r="GY44" s="108" t="s">
        <v>664</v>
      </c>
      <c r="GZ44" s="108" t="s">
        <v>664</v>
      </c>
      <c r="HA44" s="108" t="s">
        <v>664</v>
      </c>
      <c r="HB44" s="108" t="s">
        <v>664</v>
      </c>
      <c r="HC44" s="108" t="s">
        <v>664</v>
      </c>
      <c r="HD44" s="108" t="s">
        <v>664</v>
      </c>
      <c r="HE44" s="108" t="s">
        <v>664</v>
      </c>
      <c r="HF44" s="108" t="s">
        <v>664</v>
      </c>
      <c r="HG44" s="108" t="s">
        <v>664</v>
      </c>
      <c r="HH44" s="108" t="s">
        <v>664</v>
      </c>
      <c r="HI44" s="108" t="s">
        <v>664</v>
      </c>
      <c r="HJ44" s="108" t="s">
        <v>664</v>
      </c>
      <c r="HK44" s="108" t="s">
        <v>664</v>
      </c>
      <c r="HL44" s="108" t="s">
        <v>664</v>
      </c>
      <c r="HM44" s="108" t="s">
        <v>664</v>
      </c>
      <c r="HN44" s="108" t="s">
        <v>664</v>
      </c>
      <c r="HO44" s="108" t="s">
        <v>664</v>
      </c>
      <c r="HP44" s="108" t="s">
        <v>664</v>
      </c>
      <c r="HQ44" s="108" t="s">
        <v>503</v>
      </c>
      <c r="HR44" s="108" t="s">
        <v>503</v>
      </c>
      <c r="HS44" s="108" t="s">
        <v>503</v>
      </c>
      <c r="HT44" s="118">
        <v>600000</v>
      </c>
      <c r="HU44" s="118">
        <f>+HT44*0%</f>
        <v>0</v>
      </c>
      <c r="HV44" s="118">
        <f>+HT44+HU44</f>
        <v>600000</v>
      </c>
      <c r="HW44" s="108" t="s">
        <v>503</v>
      </c>
      <c r="HX44" s="108" t="s">
        <v>503</v>
      </c>
      <c r="HY44" s="108" t="s">
        <v>503</v>
      </c>
      <c r="HZ44" s="118" t="s">
        <v>502</v>
      </c>
      <c r="IA44" s="118" t="s">
        <v>502</v>
      </c>
      <c r="IB44" s="118" t="s">
        <v>502</v>
      </c>
      <c r="IC44" s="118" t="s">
        <v>502</v>
      </c>
      <c r="ID44" s="118" t="s">
        <v>502</v>
      </c>
      <c r="IE44" s="118" t="s">
        <v>502</v>
      </c>
      <c r="IF44" s="118" t="s">
        <v>502</v>
      </c>
      <c r="IG44" s="118" t="s">
        <v>502</v>
      </c>
      <c r="IH44" s="118" t="s">
        <v>502</v>
      </c>
      <c r="II44" s="118" t="s">
        <v>502</v>
      </c>
      <c r="IJ44" s="118" t="s">
        <v>502</v>
      </c>
      <c r="IK44" s="118" t="s">
        <v>502</v>
      </c>
      <c r="IL44" s="118" t="s">
        <v>502</v>
      </c>
      <c r="IM44" s="118" t="s">
        <v>502</v>
      </c>
      <c r="IN44" s="118" t="s">
        <v>502</v>
      </c>
      <c r="IO44" s="120" t="s">
        <v>503</v>
      </c>
      <c r="IP44" s="120" t="s">
        <v>503</v>
      </c>
      <c r="IQ44" s="120" t="s">
        <v>503</v>
      </c>
      <c r="IR44" s="118" t="s">
        <v>669</v>
      </c>
      <c r="IS44" s="118" t="s">
        <v>669</v>
      </c>
      <c r="IT44" s="118" t="s">
        <v>669</v>
      </c>
      <c r="IU44" s="120" t="s">
        <v>503</v>
      </c>
      <c r="IV44" s="120" t="s">
        <v>503</v>
      </c>
      <c r="IW44" s="120" t="s">
        <v>503</v>
      </c>
      <c r="IX44" s="120" t="s">
        <v>503</v>
      </c>
      <c r="IY44" s="120" t="s">
        <v>503</v>
      </c>
      <c r="IZ44" s="120" t="s">
        <v>503</v>
      </c>
      <c r="JA44" s="113">
        <v>1315146.8600000001</v>
      </c>
      <c r="JB44" s="113">
        <f>+JA44*0%</f>
        <v>0</v>
      </c>
      <c r="JC44" s="113">
        <f>+JA44+JB44</f>
        <v>1315146.8600000001</v>
      </c>
      <c r="JD44" s="120" t="s">
        <v>664</v>
      </c>
      <c r="JE44" s="120" t="s">
        <v>664</v>
      </c>
      <c r="JF44" s="120" t="s">
        <v>664</v>
      </c>
      <c r="JG44" s="118" t="s">
        <v>502</v>
      </c>
      <c r="JH44" s="118" t="s">
        <v>502</v>
      </c>
      <c r="JI44" s="118" t="s">
        <v>502</v>
      </c>
      <c r="JJ44" s="118" t="s">
        <v>502</v>
      </c>
      <c r="JK44" s="118" t="s">
        <v>502</v>
      </c>
      <c r="JL44" s="118" t="s">
        <v>502</v>
      </c>
      <c r="JM44" s="118" t="s">
        <v>502</v>
      </c>
      <c r="JN44" s="118" t="s">
        <v>502</v>
      </c>
      <c r="JO44" s="118" t="s">
        <v>502</v>
      </c>
      <c r="JP44" s="110">
        <v>1100750</v>
      </c>
      <c r="JQ44" s="111">
        <v>1315146.8640800002</v>
      </c>
      <c r="JR44" s="112">
        <f t="shared" si="0"/>
        <v>3</v>
      </c>
      <c r="JS44" s="113">
        <f t="shared" si="1"/>
        <v>995382.28666666674</v>
      </c>
      <c r="JT44" s="114">
        <f t="shared" si="2"/>
        <v>995400</v>
      </c>
      <c r="JU44" s="167"/>
    </row>
    <row r="45" spans="1:281" ht="101.25" customHeight="1" x14ac:dyDescent="0.2">
      <c r="A45" s="98">
        <v>142</v>
      </c>
      <c r="B45" s="99">
        <v>142</v>
      </c>
      <c r="C45" s="39" t="s">
        <v>12</v>
      </c>
      <c r="D45" s="100" t="s">
        <v>27</v>
      </c>
      <c r="E45" s="39">
        <v>52151700</v>
      </c>
      <c r="F45" s="101" t="s">
        <v>181</v>
      </c>
      <c r="G45" s="102" t="s">
        <v>58</v>
      </c>
      <c r="H45" s="103" t="s">
        <v>501</v>
      </c>
      <c r="I45" s="108" t="s">
        <v>503</v>
      </c>
      <c r="J45" s="108" t="s">
        <v>503</v>
      </c>
      <c r="K45" s="108" t="s">
        <v>503</v>
      </c>
      <c r="L45" s="118" t="s">
        <v>502</v>
      </c>
      <c r="M45" s="118" t="s">
        <v>502</v>
      </c>
      <c r="N45" s="118" t="s">
        <v>502</v>
      </c>
      <c r="O45" s="108" t="s">
        <v>503</v>
      </c>
      <c r="P45" s="108" t="s">
        <v>503</v>
      </c>
      <c r="Q45" s="108" t="s">
        <v>503</v>
      </c>
      <c r="R45" s="108" t="s">
        <v>503</v>
      </c>
      <c r="S45" s="108" t="s">
        <v>503</v>
      </c>
      <c r="T45" s="108" t="s">
        <v>503</v>
      </c>
      <c r="U45" s="118" t="s">
        <v>502</v>
      </c>
      <c r="V45" s="118" t="s">
        <v>502</v>
      </c>
      <c r="W45" s="118" t="s">
        <v>502</v>
      </c>
      <c r="X45" s="108" t="s">
        <v>503</v>
      </c>
      <c r="Y45" s="108" t="s">
        <v>503</v>
      </c>
      <c r="Z45" s="108" t="s">
        <v>503</v>
      </c>
      <c r="AA45" s="108" t="s">
        <v>503</v>
      </c>
      <c r="AB45" s="108" t="s">
        <v>503</v>
      </c>
      <c r="AC45" s="108" t="s">
        <v>503</v>
      </c>
      <c r="AD45" s="108" t="s">
        <v>503</v>
      </c>
      <c r="AE45" s="108" t="s">
        <v>503</v>
      </c>
      <c r="AF45" s="108" t="s">
        <v>503</v>
      </c>
      <c r="AG45" s="108" t="s">
        <v>503</v>
      </c>
      <c r="AH45" s="108" t="s">
        <v>503</v>
      </c>
      <c r="AI45" s="108" t="s">
        <v>503</v>
      </c>
      <c r="AJ45" s="108" t="s">
        <v>503</v>
      </c>
      <c r="AK45" s="108" t="s">
        <v>503</v>
      </c>
      <c r="AL45" s="108" t="s">
        <v>503</v>
      </c>
      <c r="AM45" s="108" t="s">
        <v>503</v>
      </c>
      <c r="AN45" s="108" t="s">
        <v>503</v>
      </c>
      <c r="AO45" s="108" t="s">
        <v>503</v>
      </c>
      <c r="AP45" s="108" t="s">
        <v>503</v>
      </c>
      <c r="AQ45" s="108" t="s">
        <v>503</v>
      </c>
      <c r="AR45" s="108" t="s">
        <v>503</v>
      </c>
      <c r="AS45" s="118" t="s">
        <v>502</v>
      </c>
      <c r="AT45" s="118" t="s">
        <v>502</v>
      </c>
      <c r="AU45" s="118" t="s">
        <v>502</v>
      </c>
      <c r="AV45" s="108" t="s">
        <v>503</v>
      </c>
      <c r="AW45" s="108" t="s">
        <v>503</v>
      </c>
      <c r="AX45" s="108" t="s">
        <v>503</v>
      </c>
      <c r="AY45" s="108" t="s">
        <v>503</v>
      </c>
      <c r="AZ45" s="108" t="s">
        <v>503</v>
      </c>
      <c r="BA45" s="108" t="s">
        <v>503</v>
      </c>
      <c r="BB45" s="108" t="s">
        <v>503</v>
      </c>
      <c r="BC45" s="108" t="s">
        <v>503</v>
      </c>
      <c r="BD45" s="108" t="s">
        <v>503</v>
      </c>
      <c r="BE45" s="118" t="s">
        <v>502</v>
      </c>
      <c r="BF45" s="118" t="s">
        <v>502</v>
      </c>
      <c r="BG45" s="118" t="s">
        <v>502</v>
      </c>
      <c r="BH45" s="108" t="s">
        <v>503</v>
      </c>
      <c r="BI45" s="108" t="s">
        <v>503</v>
      </c>
      <c r="BJ45" s="108" t="s">
        <v>503</v>
      </c>
      <c r="BK45" s="108" t="s">
        <v>503</v>
      </c>
      <c r="BL45" s="108" t="s">
        <v>503</v>
      </c>
      <c r="BM45" s="108" t="s">
        <v>503</v>
      </c>
      <c r="BN45" s="108" t="s">
        <v>503</v>
      </c>
      <c r="BO45" s="108" t="s">
        <v>503</v>
      </c>
      <c r="BP45" s="108" t="s">
        <v>503</v>
      </c>
      <c r="BQ45" s="108" t="s">
        <v>503</v>
      </c>
      <c r="BR45" s="108" t="s">
        <v>503</v>
      </c>
      <c r="BS45" s="108" t="s">
        <v>503</v>
      </c>
      <c r="BT45" s="108" t="s">
        <v>503</v>
      </c>
      <c r="BU45" s="108" t="s">
        <v>503</v>
      </c>
      <c r="BV45" s="108" t="s">
        <v>503</v>
      </c>
      <c r="BW45" s="108" t="s">
        <v>503</v>
      </c>
      <c r="BX45" s="108" t="s">
        <v>503</v>
      </c>
      <c r="BY45" s="108" t="s">
        <v>503</v>
      </c>
      <c r="BZ45" s="108" t="s">
        <v>503</v>
      </c>
      <c r="CA45" s="108" t="s">
        <v>503</v>
      </c>
      <c r="CB45" s="108" t="s">
        <v>503</v>
      </c>
      <c r="CC45" s="108" t="s">
        <v>503</v>
      </c>
      <c r="CD45" s="108" t="s">
        <v>503</v>
      </c>
      <c r="CE45" s="108" t="s">
        <v>503</v>
      </c>
      <c r="CF45" s="108" t="s">
        <v>503</v>
      </c>
      <c r="CG45" s="108" t="s">
        <v>503</v>
      </c>
      <c r="CH45" s="108" t="s">
        <v>503</v>
      </c>
      <c r="CI45" s="108" t="s">
        <v>503</v>
      </c>
      <c r="CJ45" s="108" t="s">
        <v>503</v>
      </c>
      <c r="CK45" s="108" t="s">
        <v>503</v>
      </c>
      <c r="CL45" s="108" t="s">
        <v>503</v>
      </c>
      <c r="CM45" s="108" t="s">
        <v>503</v>
      </c>
      <c r="CN45" s="108" t="s">
        <v>503</v>
      </c>
      <c r="CO45" s="108" t="s">
        <v>503</v>
      </c>
      <c r="CP45" s="108" t="s">
        <v>503</v>
      </c>
      <c r="CQ45" s="108" t="s">
        <v>503</v>
      </c>
      <c r="CR45" s="108" t="s">
        <v>503</v>
      </c>
      <c r="CS45" s="108" t="s">
        <v>503</v>
      </c>
      <c r="CT45" s="108" t="s">
        <v>503</v>
      </c>
      <c r="CU45" s="108" t="s">
        <v>503</v>
      </c>
      <c r="CV45" s="108" t="s">
        <v>503</v>
      </c>
      <c r="CW45" s="108" t="s">
        <v>503</v>
      </c>
      <c r="CX45" s="108" t="s">
        <v>503</v>
      </c>
      <c r="CY45" s="108" t="s">
        <v>503</v>
      </c>
      <c r="CZ45" s="108" t="s">
        <v>503</v>
      </c>
      <c r="DA45" s="108" t="s">
        <v>503</v>
      </c>
      <c r="DB45" s="108" t="s">
        <v>503</v>
      </c>
      <c r="DC45" s="108" t="s">
        <v>503</v>
      </c>
      <c r="DD45" s="108" t="s">
        <v>503</v>
      </c>
      <c r="DE45" s="108" t="s">
        <v>503</v>
      </c>
      <c r="DF45" s="108" t="s">
        <v>503</v>
      </c>
      <c r="DG45" s="108" t="s">
        <v>503</v>
      </c>
      <c r="DH45" s="108" t="s">
        <v>503</v>
      </c>
      <c r="DI45" s="108" t="s">
        <v>503</v>
      </c>
      <c r="DJ45" s="108" t="s">
        <v>503</v>
      </c>
      <c r="DK45" s="108" t="s">
        <v>503</v>
      </c>
      <c r="DL45" s="108" t="s">
        <v>503</v>
      </c>
      <c r="DM45" s="108" t="s">
        <v>503</v>
      </c>
      <c r="DN45" s="108" t="s">
        <v>503</v>
      </c>
      <c r="DO45" s="108" t="s">
        <v>503</v>
      </c>
      <c r="DP45" s="108" t="s">
        <v>669</v>
      </c>
      <c r="DQ45" s="108" t="s">
        <v>669</v>
      </c>
      <c r="DR45" s="108" t="s">
        <v>669</v>
      </c>
      <c r="DS45" s="108" t="s">
        <v>669</v>
      </c>
      <c r="DT45" s="108" t="s">
        <v>669</v>
      </c>
      <c r="DU45" s="108" t="s">
        <v>669</v>
      </c>
      <c r="DV45" s="108" t="s">
        <v>503</v>
      </c>
      <c r="DW45" s="108" t="s">
        <v>503</v>
      </c>
      <c r="DX45" s="108" t="s">
        <v>503</v>
      </c>
      <c r="DY45" s="108" t="s">
        <v>503</v>
      </c>
      <c r="DZ45" s="108" t="s">
        <v>503</v>
      </c>
      <c r="EA45" s="108" t="s">
        <v>503</v>
      </c>
      <c r="EB45" s="108" t="s">
        <v>503</v>
      </c>
      <c r="EC45" s="108" t="s">
        <v>503</v>
      </c>
      <c r="ED45" s="108" t="s">
        <v>503</v>
      </c>
      <c r="EE45" s="108" t="s">
        <v>503</v>
      </c>
      <c r="EF45" s="108" t="s">
        <v>503</v>
      </c>
      <c r="EG45" s="108" t="s">
        <v>503</v>
      </c>
      <c r="EH45" s="108" t="s">
        <v>503</v>
      </c>
      <c r="EI45" s="108" t="s">
        <v>503</v>
      </c>
      <c r="EJ45" s="108" t="s">
        <v>503</v>
      </c>
      <c r="EK45" s="108" t="s">
        <v>503</v>
      </c>
      <c r="EL45" s="108" t="s">
        <v>503</v>
      </c>
      <c r="EM45" s="108" t="s">
        <v>503</v>
      </c>
      <c r="EN45" s="108" t="s">
        <v>503</v>
      </c>
      <c r="EO45" s="108" t="s">
        <v>503</v>
      </c>
      <c r="EP45" s="108" t="s">
        <v>503</v>
      </c>
      <c r="EQ45" s="108" t="s">
        <v>502</v>
      </c>
      <c r="ER45" s="108" t="s">
        <v>502</v>
      </c>
      <c r="ES45" s="108" t="s">
        <v>502</v>
      </c>
      <c r="ET45" s="108" t="s">
        <v>502</v>
      </c>
      <c r="EU45" s="108" t="s">
        <v>502</v>
      </c>
      <c r="EV45" s="108" t="s">
        <v>502</v>
      </c>
      <c r="EW45" s="108" t="s">
        <v>502</v>
      </c>
      <c r="EX45" s="108" t="s">
        <v>502</v>
      </c>
      <c r="EY45" s="108" t="s">
        <v>502</v>
      </c>
      <c r="EZ45" s="71">
        <v>2280000</v>
      </c>
      <c r="FA45" s="71">
        <f>+EZ45*19%</f>
        <v>433200</v>
      </c>
      <c r="FB45" s="71">
        <f>+EZ45+FA45</f>
        <v>2713200</v>
      </c>
      <c r="FC45" s="108" t="s">
        <v>502</v>
      </c>
      <c r="FD45" s="108" t="s">
        <v>502</v>
      </c>
      <c r="FE45" s="108" t="s">
        <v>502</v>
      </c>
      <c r="FF45" s="108" t="s">
        <v>503</v>
      </c>
      <c r="FG45" s="108" t="s">
        <v>503</v>
      </c>
      <c r="FH45" s="108" t="s">
        <v>503</v>
      </c>
      <c r="FI45" s="108" t="s">
        <v>503</v>
      </c>
      <c r="FJ45" s="108" t="s">
        <v>503</v>
      </c>
      <c r="FK45" s="108" t="s">
        <v>503</v>
      </c>
      <c r="FL45" s="108" t="s">
        <v>503</v>
      </c>
      <c r="FM45" s="108" t="s">
        <v>503</v>
      </c>
      <c r="FN45" s="108" t="s">
        <v>503</v>
      </c>
      <c r="FO45" s="108" t="s">
        <v>502</v>
      </c>
      <c r="FP45" s="108" t="s">
        <v>502</v>
      </c>
      <c r="FQ45" s="108" t="s">
        <v>502</v>
      </c>
      <c r="FR45" s="108" t="s">
        <v>502</v>
      </c>
      <c r="FS45" s="108" t="s">
        <v>502</v>
      </c>
      <c r="FT45" s="108" t="s">
        <v>502</v>
      </c>
      <c r="FU45" s="108" t="s">
        <v>502</v>
      </c>
      <c r="FV45" s="108" t="s">
        <v>502</v>
      </c>
      <c r="FW45" s="108" t="s">
        <v>502</v>
      </c>
      <c r="FX45" s="108" t="s">
        <v>503</v>
      </c>
      <c r="FY45" s="108" t="s">
        <v>503</v>
      </c>
      <c r="FZ45" s="108" t="s">
        <v>503</v>
      </c>
      <c r="GA45" s="108" t="s">
        <v>503</v>
      </c>
      <c r="GB45" s="108" t="s">
        <v>503</v>
      </c>
      <c r="GC45" s="108" t="s">
        <v>503</v>
      </c>
      <c r="GD45" s="108" t="s">
        <v>503</v>
      </c>
      <c r="GE45" s="108" t="s">
        <v>503</v>
      </c>
      <c r="GF45" s="108" t="s">
        <v>503</v>
      </c>
      <c r="GG45" s="108" t="s">
        <v>669</v>
      </c>
      <c r="GH45" s="108" t="s">
        <v>669</v>
      </c>
      <c r="GI45" s="108" t="s">
        <v>669</v>
      </c>
      <c r="GJ45" s="108" t="s">
        <v>669</v>
      </c>
      <c r="GK45" s="108" t="s">
        <v>669</v>
      </c>
      <c r="GL45" s="108" t="s">
        <v>669</v>
      </c>
      <c r="GM45" s="108" t="s">
        <v>502</v>
      </c>
      <c r="GN45" s="108" t="s">
        <v>502</v>
      </c>
      <c r="GO45" s="108" t="s">
        <v>502</v>
      </c>
      <c r="GP45" s="108" t="s">
        <v>664</v>
      </c>
      <c r="GQ45" s="108" t="s">
        <v>664</v>
      </c>
      <c r="GR45" s="108" t="s">
        <v>664</v>
      </c>
      <c r="GS45" s="108" t="s">
        <v>502</v>
      </c>
      <c r="GT45" s="108" t="s">
        <v>502</v>
      </c>
      <c r="GU45" s="108" t="s">
        <v>502</v>
      </c>
      <c r="GV45" s="108" t="s">
        <v>502</v>
      </c>
      <c r="GW45" s="108" t="s">
        <v>502</v>
      </c>
      <c r="GX45" s="108" t="s">
        <v>502</v>
      </c>
      <c r="GY45" s="108" t="s">
        <v>664</v>
      </c>
      <c r="GZ45" s="108" t="s">
        <v>664</v>
      </c>
      <c r="HA45" s="108" t="s">
        <v>664</v>
      </c>
      <c r="HB45" s="108" t="s">
        <v>664</v>
      </c>
      <c r="HC45" s="108" t="s">
        <v>664</v>
      </c>
      <c r="HD45" s="108" t="s">
        <v>664</v>
      </c>
      <c r="HE45" s="108" t="s">
        <v>664</v>
      </c>
      <c r="HF45" s="108" t="s">
        <v>664</v>
      </c>
      <c r="HG45" s="108" t="s">
        <v>664</v>
      </c>
      <c r="HH45" s="108" t="s">
        <v>664</v>
      </c>
      <c r="HI45" s="108" t="s">
        <v>664</v>
      </c>
      <c r="HJ45" s="108" t="s">
        <v>664</v>
      </c>
      <c r="HK45" s="108" t="s">
        <v>664</v>
      </c>
      <c r="HL45" s="108" t="s">
        <v>664</v>
      </c>
      <c r="HM45" s="108" t="s">
        <v>664</v>
      </c>
      <c r="HN45" s="108" t="s">
        <v>664</v>
      </c>
      <c r="HO45" s="108" t="s">
        <v>664</v>
      </c>
      <c r="HP45" s="108" t="s">
        <v>664</v>
      </c>
      <c r="HQ45" s="108" t="s">
        <v>503</v>
      </c>
      <c r="HR45" s="108" t="s">
        <v>503</v>
      </c>
      <c r="HS45" s="108" t="s">
        <v>503</v>
      </c>
      <c r="HT45" s="108" t="s">
        <v>502</v>
      </c>
      <c r="HU45" s="108" t="s">
        <v>502</v>
      </c>
      <c r="HV45" s="108" t="s">
        <v>502</v>
      </c>
      <c r="HW45" s="118">
        <v>2000000</v>
      </c>
      <c r="HX45" s="118">
        <f>+HW45*19%</f>
        <v>380000</v>
      </c>
      <c r="HY45" s="118">
        <f>+HW45+HX45</f>
        <v>2380000</v>
      </c>
      <c r="HZ45" s="118" t="s">
        <v>502</v>
      </c>
      <c r="IA45" s="118" t="s">
        <v>502</v>
      </c>
      <c r="IB45" s="118" t="s">
        <v>502</v>
      </c>
      <c r="IC45" s="118" t="s">
        <v>502</v>
      </c>
      <c r="ID45" s="118" t="s">
        <v>502</v>
      </c>
      <c r="IE45" s="118" t="s">
        <v>502</v>
      </c>
      <c r="IF45" s="118" t="s">
        <v>502</v>
      </c>
      <c r="IG45" s="118" t="s">
        <v>502</v>
      </c>
      <c r="IH45" s="118" t="s">
        <v>502</v>
      </c>
      <c r="II45" s="118" t="s">
        <v>502</v>
      </c>
      <c r="IJ45" s="118" t="s">
        <v>502</v>
      </c>
      <c r="IK45" s="118" t="s">
        <v>502</v>
      </c>
      <c r="IL45" s="118" t="s">
        <v>502</v>
      </c>
      <c r="IM45" s="118" t="s">
        <v>502</v>
      </c>
      <c r="IN45" s="118" t="s">
        <v>502</v>
      </c>
      <c r="IO45" s="120" t="s">
        <v>503</v>
      </c>
      <c r="IP45" s="120" t="s">
        <v>503</v>
      </c>
      <c r="IQ45" s="120" t="s">
        <v>503</v>
      </c>
      <c r="IR45" s="118" t="s">
        <v>669</v>
      </c>
      <c r="IS45" s="118" t="s">
        <v>669</v>
      </c>
      <c r="IT45" s="118" t="s">
        <v>669</v>
      </c>
      <c r="IU45" s="120" t="s">
        <v>503</v>
      </c>
      <c r="IV45" s="120" t="s">
        <v>503</v>
      </c>
      <c r="IW45" s="120" t="s">
        <v>503</v>
      </c>
      <c r="IX45" s="120" t="s">
        <v>503</v>
      </c>
      <c r="IY45" s="120" t="s">
        <v>503</v>
      </c>
      <c r="IZ45" s="120" t="s">
        <v>503</v>
      </c>
      <c r="JA45" s="120" t="s">
        <v>503</v>
      </c>
      <c r="JB45" s="120" t="s">
        <v>503</v>
      </c>
      <c r="JC45" s="120" t="s">
        <v>503</v>
      </c>
      <c r="JD45" s="120" t="s">
        <v>664</v>
      </c>
      <c r="JE45" s="120" t="s">
        <v>664</v>
      </c>
      <c r="JF45" s="120" t="s">
        <v>664</v>
      </c>
      <c r="JG45" s="118" t="s">
        <v>502</v>
      </c>
      <c r="JH45" s="118" t="s">
        <v>502</v>
      </c>
      <c r="JI45" s="118" t="s">
        <v>502</v>
      </c>
      <c r="JJ45" s="118" t="s">
        <v>502</v>
      </c>
      <c r="JK45" s="118" t="s">
        <v>502</v>
      </c>
      <c r="JL45" s="118" t="s">
        <v>502</v>
      </c>
      <c r="JM45" s="118" t="s">
        <v>502</v>
      </c>
      <c r="JN45" s="118" t="s">
        <v>502</v>
      </c>
      <c r="JO45" s="118" t="s">
        <v>502</v>
      </c>
      <c r="JP45" s="110">
        <v>1904000</v>
      </c>
      <c r="JQ45" s="111">
        <v>2274848.6297599999</v>
      </c>
      <c r="JR45" s="112">
        <f t="shared" si="0"/>
        <v>2</v>
      </c>
      <c r="JS45" s="113">
        <f t="shared" si="1"/>
        <v>2546600</v>
      </c>
      <c r="JT45" s="114">
        <f t="shared" si="2"/>
        <v>2546600</v>
      </c>
      <c r="JU45" s="167"/>
    </row>
    <row r="46" spans="1:281" ht="101.25" customHeight="1" x14ac:dyDescent="0.2">
      <c r="A46" s="98">
        <v>143</v>
      </c>
      <c r="B46" s="99">
        <v>143</v>
      </c>
      <c r="C46" s="39" t="s">
        <v>12</v>
      </c>
      <c r="D46" s="100" t="s">
        <v>28</v>
      </c>
      <c r="E46" s="39">
        <v>80131500</v>
      </c>
      <c r="F46" s="168" t="s">
        <v>681</v>
      </c>
      <c r="G46" s="102" t="s">
        <v>59</v>
      </c>
      <c r="H46" s="103" t="s">
        <v>501</v>
      </c>
      <c r="I46" s="108" t="s">
        <v>503</v>
      </c>
      <c r="J46" s="108" t="s">
        <v>503</v>
      </c>
      <c r="K46" s="108" t="s">
        <v>503</v>
      </c>
      <c r="L46" s="118" t="s">
        <v>502</v>
      </c>
      <c r="M46" s="118" t="s">
        <v>502</v>
      </c>
      <c r="N46" s="118" t="s">
        <v>502</v>
      </c>
      <c r="O46" s="108" t="s">
        <v>503</v>
      </c>
      <c r="P46" s="108" t="s">
        <v>503</v>
      </c>
      <c r="Q46" s="108" t="s">
        <v>503</v>
      </c>
      <c r="R46" s="108" t="s">
        <v>503</v>
      </c>
      <c r="S46" s="108" t="s">
        <v>503</v>
      </c>
      <c r="T46" s="108" t="s">
        <v>503</v>
      </c>
      <c r="U46" s="118" t="s">
        <v>502</v>
      </c>
      <c r="V46" s="118" t="s">
        <v>502</v>
      </c>
      <c r="W46" s="118" t="s">
        <v>502</v>
      </c>
      <c r="X46" s="108" t="s">
        <v>503</v>
      </c>
      <c r="Y46" s="108" t="s">
        <v>503</v>
      </c>
      <c r="Z46" s="108" t="s">
        <v>503</v>
      </c>
      <c r="AA46" s="108" t="s">
        <v>503</v>
      </c>
      <c r="AB46" s="108" t="s">
        <v>503</v>
      </c>
      <c r="AC46" s="108" t="s">
        <v>503</v>
      </c>
      <c r="AD46" s="108" t="s">
        <v>503</v>
      </c>
      <c r="AE46" s="108" t="s">
        <v>503</v>
      </c>
      <c r="AF46" s="108" t="s">
        <v>503</v>
      </c>
      <c r="AG46" s="108" t="s">
        <v>503</v>
      </c>
      <c r="AH46" s="108" t="s">
        <v>503</v>
      </c>
      <c r="AI46" s="108" t="s">
        <v>503</v>
      </c>
      <c r="AJ46" s="108" t="s">
        <v>503</v>
      </c>
      <c r="AK46" s="108" t="s">
        <v>503</v>
      </c>
      <c r="AL46" s="108" t="s">
        <v>503</v>
      </c>
      <c r="AM46" s="108" t="s">
        <v>503</v>
      </c>
      <c r="AN46" s="108" t="s">
        <v>503</v>
      </c>
      <c r="AO46" s="108" t="s">
        <v>503</v>
      </c>
      <c r="AP46" s="108" t="s">
        <v>503</v>
      </c>
      <c r="AQ46" s="108" t="s">
        <v>503</v>
      </c>
      <c r="AR46" s="108" t="s">
        <v>503</v>
      </c>
      <c r="AS46" s="108" t="s">
        <v>503</v>
      </c>
      <c r="AT46" s="108" t="s">
        <v>503</v>
      </c>
      <c r="AU46" s="108" t="s">
        <v>503</v>
      </c>
      <c r="AV46" s="108" t="s">
        <v>503</v>
      </c>
      <c r="AW46" s="108" t="s">
        <v>503</v>
      </c>
      <c r="AX46" s="108" t="s">
        <v>503</v>
      </c>
      <c r="AY46" s="108" t="s">
        <v>503</v>
      </c>
      <c r="AZ46" s="108" t="s">
        <v>503</v>
      </c>
      <c r="BA46" s="108" t="s">
        <v>503</v>
      </c>
      <c r="BB46" s="108" t="s">
        <v>503</v>
      </c>
      <c r="BC46" s="108" t="s">
        <v>503</v>
      </c>
      <c r="BD46" s="108" t="s">
        <v>503</v>
      </c>
      <c r="BE46" s="118" t="s">
        <v>502</v>
      </c>
      <c r="BF46" s="118" t="s">
        <v>502</v>
      </c>
      <c r="BG46" s="118" t="s">
        <v>502</v>
      </c>
      <c r="BH46" s="108" t="s">
        <v>503</v>
      </c>
      <c r="BI46" s="108" t="s">
        <v>503</v>
      </c>
      <c r="BJ46" s="108" t="s">
        <v>503</v>
      </c>
      <c r="BK46" s="108" t="s">
        <v>503</v>
      </c>
      <c r="BL46" s="108" t="s">
        <v>503</v>
      </c>
      <c r="BM46" s="108" t="s">
        <v>503</v>
      </c>
      <c r="BN46" s="108" t="s">
        <v>503</v>
      </c>
      <c r="BO46" s="108" t="s">
        <v>503</v>
      </c>
      <c r="BP46" s="108" t="s">
        <v>503</v>
      </c>
      <c r="BQ46" s="108" t="s">
        <v>503</v>
      </c>
      <c r="BR46" s="108" t="s">
        <v>503</v>
      </c>
      <c r="BS46" s="108" t="s">
        <v>503</v>
      </c>
      <c r="BT46" s="108" t="s">
        <v>503</v>
      </c>
      <c r="BU46" s="108" t="s">
        <v>503</v>
      </c>
      <c r="BV46" s="108" t="s">
        <v>503</v>
      </c>
      <c r="BW46" s="108" t="s">
        <v>503</v>
      </c>
      <c r="BX46" s="108" t="s">
        <v>503</v>
      </c>
      <c r="BY46" s="108" t="s">
        <v>503</v>
      </c>
      <c r="BZ46" s="108" t="s">
        <v>503</v>
      </c>
      <c r="CA46" s="108" t="s">
        <v>503</v>
      </c>
      <c r="CB46" s="108" t="s">
        <v>503</v>
      </c>
      <c r="CC46" s="108" t="s">
        <v>503</v>
      </c>
      <c r="CD46" s="108" t="s">
        <v>503</v>
      </c>
      <c r="CE46" s="108" t="s">
        <v>503</v>
      </c>
      <c r="CF46" s="108" t="s">
        <v>503</v>
      </c>
      <c r="CG46" s="108" t="s">
        <v>503</v>
      </c>
      <c r="CH46" s="108" t="s">
        <v>503</v>
      </c>
      <c r="CI46" s="108" t="s">
        <v>503</v>
      </c>
      <c r="CJ46" s="108" t="s">
        <v>503</v>
      </c>
      <c r="CK46" s="108" t="s">
        <v>503</v>
      </c>
      <c r="CL46" s="108" t="s">
        <v>503</v>
      </c>
      <c r="CM46" s="108" t="s">
        <v>503</v>
      </c>
      <c r="CN46" s="108" t="s">
        <v>503</v>
      </c>
      <c r="CO46" s="108" t="s">
        <v>503</v>
      </c>
      <c r="CP46" s="108" t="s">
        <v>503</v>
      </c>
      <c r="CQ46" s="108" t="s">
        <v>503</v>
      </c>
      <c r="CR46" s="108" t="s">
        <v>503</v>
      </c>
      <c r="CS46" s="108" t="s">
        <v>503</v>
      </c>
      <c r="CT46" s="108" t="s">
        <v>503</v>
      </c>
      <c r="CU46" s="108" t="s">
        <v>503</v>
      </c>
      <c r="CV46" s="108" t="s">
        <v>503</v>
      </c>
      <c r="CW46" s="108" t="s">
        <v>503</v>
      </c>
      <c r="CX46" s="108" t="s">
        <v>503</v>
      </c>
      <c r="CY46" s="108" t="s">
        <v>503</v>
      </c>
      <c r="CZ46" s="108" t="s">
        <v>503</v>
      </c>
      <c r="DA46" s="108" t="s">
        <v>503</v>
      </c>
      <c r="DB46" s="108" t="s">
        <v>503</v>
      </c>
      <c r="DC46" s="108" t="s">
        <v>503</v>
      </c>
      <c r="DD46" s="108" t="s">
        <v>503</v>
      </c>
      <c r="DE46" s="108" t="s">
        <v>503</v>
      </c>
      <c r="DF46" s="108" t="s">
        <v>503</v>
      </c>
      <c r="DG46" s="108" t="s">
        <v>503</v>
      </c>
      <c r="DH46" s="108" t="s">
        <v>503</v>
      </c>
      <c r="DI46" s="108" t="s">
        <v>503</v>
      </c>
      <c r="DJ46" s="108" t="s">
        <v>503</v>
      </c>
      <c r="DK46" s="108" t="s">
        <v>503</v>
      </c>
      <c r="DL46" s="108" t="s">
        <v>503</v>
      </c>
      <c r="DM46" s="108" t="s">
        <v>503</v>
      </c>
      <c r="DN46" s="108" t="s">
        <v>503</v>
      </c>
      <c r="DO46" s="108" t="s">
        <v>503</v>
      </c>
      <c r="DP46" s="108" t="s">
        <v>669</v>
      </c>
      <c r="DQ46" s="108" t="s">
        <v>669</v>
      </c>
      <c r="DR46" s="108" t="s">
        <v>669</v>
      </c>
      <c r="DS46" s="108" t="s">
        <v>669</v>
      </c>
      <c r="DT46" s="108" t="s">
        <v>669</v>
      </c>
      <c r="DU46" s="108" t="s">
        <v>669</v>
      </c>
      <c r="DV46" s="108" t="s">
        <v>503</v>
      </c>
      <c r="DW46" s="108" t="s">
        <v>503</v>
      </c>
      <c r="DX46" s="108" t="s">
        <v>503</v>
      </c>
      <c r="DY46" s="108" t="s">
        <v>503</v>
      </c>
      <c r="DZ46" s="108" t="s">
        <v>503</v>
      </c>
      <c r="EA46" s="108" t="s">
        <v>503</v>
      </c>
      <c r="EB46" s="108" t="s">
        <v>503</v>
      </c>
      <c r="EC46" s="108" t="s">
        <v>503</v>
      </c>
      <c r="ED46" s="108" t="s">
        <v>503</v>
      </c>
      <c r="EE46" s="108" t="s">
        <v>503</v>
      </c>
      <c r="EF46" s="108" t="s">
        <v>503</v>
      </c>
      <c r="EG46" s="108" t="s">
        <v>503</v>
      </c>
      <c r="EH46" s="108" t="s">
        <v>503</v>
      </c>
      <c r="EI46" s="108" t="s">
        <v>503</v>
      </c>
      <c r="EJ46" s="108" t="s">
        <v>503</v>
      </c>
      <c r="EK46" s="108" t="s">
        <v>503</v>
      </c>
      <c r="EL46" s="108" t="s">
        <v>503</v>
      </c>
      <c r="EM46" s="108" t="s">
        <v>503</v>
      </c>
      <c r="EN46" s="108" t="s">
        <v>503</v>
      </c>
      <c r="EO46" s="108" t="s">
        <v>503</v>
      </c>
      <c r="EP46" s="108" t="s">
        <v>503</v>
      </c>
      <c r="EQ46" s="108" t="s">
        <v>503</v>
      </c>
      <c r="ER46" s="108" t="s">
        <v>503</v>
      </c>
      <c r="ES46" s="108" t="s">
        <v>503</v>
      </c>
      <c r="ET46" s="118">
        <f>1000+1500+60000+30000+30000</f>
        <v>122500</v>
      </c>
      <c r="EU46" s="118">
        <f>+ET46*0%</f>
        <v>0</v>
      </c>
      <c r="EV46" s="118">
        <f>+ET46+EU46</f>
        <v>122500</v>
      </c>
      <c r="EW46" s="108" t="s">
        <v>502</v>
      </c>
      <c r="EX46" s="108" t="s">
        <v>502</v>
      </c>
      <c r="EY46" s="108" t="s">
        <v>502</v>
      </c>
      <c r="EZ46" s="108" t="s">
        <v>502</v>
      </c>
      <c r="FA46" s="108" t="s">
        <v>502</v>
      </c>
      <c r="FB46" s="108" t="s">
        <v>502</v>
      </c>
      <c r="FC46" s="108" t="s">
        <v>502</v>
      </c>
      <c r="FD46" s="108" t="s">
        <v>502</v>
      </c>
      <c r="FE46" s="108" t="s">
        <v>502</v>
      </c>
      <c r="FF46" s="108" t="s">
        <v>503</v>
      </c>
      <c r="FG46" s="108" t="s">
        <v>503</v>
      </c>
      <c r="FH46" s="108" t="s">
        <v>503</v>
      </c>
      <c r="FI46" s="108" t="s">
        <v>503</v>
      </c>
      <c r="FJ46" s="108" t="s">
        <v>503</v>
      </c>
      <c r="FK46" s="108" t="s">
        <v>503</v>
      </c>
      <c r="FL46" s="108" t="s">
        <v>503</v>
      </c>
      <c r="FM46" s="108" t="s">
        <v>503</v>
      </c>
      <c r="FN46" s="108" t="s">
        <v>503</v>
      </c>
      <c r="FO46" s="108" t="s">
        <v>502</v>
      </c>
      <c r="FP46" s="108" t="s">
        <v>502</v>
      </c>
      <c r="FQ46" s="108" t="s">
        <v>502</v>
      </c>
      <c r="FR46" s="108" t="s">
        <v>502</v>
      </c>
      <c r="FS46" s="108" t="s">
        <v>502</v>
      </c>
      <c r="FT46" s="108" t="s">
        <v>502</v>
      </c>
      <c r="FU46" s="108" t="s">
        <v>502</v>
      </c>
      <c r="FV46" s="108" t="s">
        <v>502</v>
      </c>
      <c r="FW46" s="108" t="s">
        <v>502</v>
      </c>
      <c r="FX46" s="108" t="s">
        <v>503</v>
      </c>
      <c r="FY46" s="108" t="s">
        <v>503</v>
      </c>
      <c r="FZ46" s="108" t="s">
        <v>503</v>
      </c>
      <c r="GA46" s="108" t="s">
        <v>503</v>
      </c>
      <c r="GB46" s="108" t="s">
        <v>503</v>
      </c>
      <c r="GC46" s="108" t="s">
        <v>503</v>
      </c>
      <c r="GD46" s="108" t="s">
        <v>503</v>
      </c>
      <c r="GE46" s="108" t="s">
        <v>503</v>
      </c>
      <c r="GF46" s="108" t="s">
        <v>503</v>
      </c>
      <c r="GG46" s="47">
        <f>27000+1000+1500+40000+25000</f>
        <v>94500</v>
      </c>
      <c r="GH46" s="47">
        <f>+GG46*0%</f>
        <v>0</v>
      </c>
      <c r="GI46" s="47">
        <f>+GG46+GH46</f>
        <v>94500</v>
      </c>
      <c r="GJ46" s="108" t="s">
        <v>669</v>
      </c>
      <c r="GK46" s="108" t="s">
        <v>669</v>
      </c>
      <c r="GL46" s="108" t="s">
        <v>669</v>
      </c>
      <c r="GM46" s="108" t="s">
        <v>502</v>
      </c>
      <c r="GN46" s="108" t="s">
        <v>502</v>
      </c>
      <c r="GO46" s="108" t="s">
        <v>502</v>
      </c>
      <c r="GP46" s="108" t="s">
        <v>664</v>
      </c>
      <c r="GQ46" s="108" t="s">
        <v>664</v>
      </c>
      <c r="GR46" s="108" t="s">
        <v>664</v>
      </c>
      <c r="GS46" s="108" t="s">
        <v>502</v>
      </c>
      <c r="GT46" s="108" t="s">
        <v>502</v>
      </c>
      <c r="GU46" s="108" t="s">
        <v>502</v>
      </c>
      <c r="GV46" s="71">
        <f>25000+1000+3000+35000+25000</f>
        <v>89000</v>
      </c>
      <c r="GW46" s="71">
        <f>+GV46*0%</f>
        <v>0</v>
      </c>
      <c r="GX46" s="71">
        <f>+GV46+GW46</f>
        <v>89000</v>
      </c>
      <c r="GY46" s="108" t="s">
        <v>664</v>
      </c>
      <c r="GZ46" s="108" t="s">
        <v>664</v>
      </c>
      <c r="HA46" s="108" t="s">
        <v>664</v>
      </c>
      <c r="HB46" s="108" t="s">
        <v>664</v>
      </c>
      <c r="HC46" s="108" t="s">
        <v>664</v>
      </c>
      <c r="HD46" s="108" t="s">
        <v>664</v>
      </c>
      <c r="HE46" s="108" t="s">
        <v>664</v>
      </c>
      <c r="HF46" s="108" t="s">
        <v>664</v>
      </c>
      <c r="HG46" s="108" t="s">
        <v>664</v>
      </c>
      <c r="HH46" s="108" t="s">
        <v>664</v>
      </c>
      <c r="HI46" s="108" t="s">
        <v>664</v>
      </c>
      <c r="HJ46" s="108" t="s">
        <v>664</v>
      </c>
      <c r="HK46" s="108" t="s">
        <v>664</v>
      </c>
      <c r="HL46" s="108" t="s">
        <v>664</v>
      </c>
      <c r="HM46" s="108" t="s">
        <v>664</v>
      </c>
      <c r="HN46" s="108" t="s">
        <v>664</v>
      </c>
      <c r="HO46" s="108" t="s">
        <v>664</v>
      </c>
      <c r="HP46" s="108" t="s">
        <v>664</v>
      </c>
      <c r="HQ46" s="108" t="s">
        <v>503</v>
      </c>
      <c r="HR46" s="108" t="s">
        <v>503</v>
      </c>
      <c r="HS46" s="108" t="s">
        <v>503</v>
      </c>
      <c r="HT46" s="108" t="s">
        <v>502</v>
      </c>
      <c r="HU46" s="108" t="s">
        <v>502</v>
      </c>
      <c r="HV46" s="108" t="s">
        <v>502</v>
      </c>
      <c r="HW46" s="108" t="s">
        <v>502</v>
      </c>
      <c r="HX46" s="108" t="s">
        <v>502</v>
      </c>
      <c r="HY46" s="108" t="s">
        <v>502</v>
      </c>
      <c r="HZ46" s="118" t="s">
        <v>502</v>
      </c>
      <c r="IA46" s="118" t="s">
        <v>502</v>
      </c>
      <c r="IB46" s="118" t="s">
        <v>502</v>
      </c>
      <c r="IC46" s="118" t="s">
        <v>502</v>
      </c>
      <c r="ID46" s="118" t="s">
        <v>502</v>
      </c>
      <c r="IE46" s="118" t="s">
        <v>502</v>
      </c>
      <c r="IF46" s="118" t="s">
        <v>502</v>
      </c>
      <c r="IG46" s="118" t="s">
        <v>502</v>
      </c>
      <c r="IH46" s="118" t="s">
        <v>502</v>
      </c>
      <c r="II46" s="118" t="s">
        <v>502</v>
      </c>
      <c r="IJ46" s="118" t="s">
        <v>502</v>
      </c>
      <c r="IK46" s="118" t="s">
        <v>502</v>
      </c>
      <c r="IL46" s="118" t="s">
        <v>502</v>
      </c>
      <c r="IM46" s="118" t="s">
        <v>502</v>
      </c>
      <c r="IN46" s="118" t="s">
        <v>502</v>
      </c>
      <c r="IO46" s="120" t="s">
        <v>503</v>
      </c>
      <c r="IP46" s="120" t="s">
        <v>503</v>
      </c>
      <c r="IQ46" s="120" t="s">
        <v>503</v>
      </c>
      <c r="IR46" s="118" t="s">
        <v>669</v>
      </c>
      <c r="IS46" s="118" t="s">
        <v>669</v>
      </c>
      <c r="IT46" s="118" t="s">
        <v>669</v>
      </c>
      <c r="IU46" s="120" t="s">
        <v>503</v>
      </c>
      <c r="IV46" s="120" t="s">
        <v>503</v>
      </c>
      <c r="IW46" s="120" t="s">
        <v>503</v>
      </c>
      <c r="IX46" s="120" t="s">
        <v>503</v>
      </c>
      <c r="IY46" s="120" t="s">
        <v>503</v>
      </c>
      <c r="IZ46" s="120" t="s">
        <v>503</v>
      </c>
      <c r="JA46" s="120" t="s">
        <v>503</v>
      </c>
      <c r="JB46" s="120" t="s">
        <v>503</v>
      </c>
      <c r="JC46" s="120" t="s">
        <v>503</v>
      </c>
      <c r="JD46" s="120" t="s">
        <v>664</v>
      </c>
      <c r="JE46" s="120" t="s">
        <v>664</v>
      </c>
      <c r="JF46" s="120" t="s">
        <v>664</v>
      </c>
      <c r="JG46" s="118" t="s">
        <v>502</v>
      </c>
      <c r="JH46" s="118" t="s">
        <v>502</v>
      </c>
      <c r="JI46" s="118" t="s">
        <v>502</v>
      </c>
      <c r="JJ46" s="118" t="s">
        <v>502</v>
      </c>
      <c r="JK46" s="118" t="s">
        <v>502</v>
      </c>
      <c r="JL46" s="118" t="s">
        <v>502</v>
      </c>
      <c r="JM46" s="118" t="s">
        <v>502</v>
      </c>
      <c r="JN46" s="118" t="s">
        <v>502</v>
      </c>
      <c r="JO46" s="118" t="s">
        <v>502</v>
      </c>
      <c r="JP46" s="110">
        <v>169000</v>
      </c>
      <c r="JQ46" s="111">
        <v>201916.71136000002</v>
      </c>
      <c r="JR46" s="112">
        <f t="shared" si="0"/>
        <v>3</v>
      </c>
      <c r="JS46" s="113">
        <f t="shared" si="1"/>
        <v>102000</v>
      </c>
      <c r="JT46" s="114">
        <f t="shared" si="2"/>
        <v>102000</v>
      </c>
      <c r="JU46" s="167"/>
    </row>
    <row r="47" spans="1:281" ht="129.75" customHeight="1" x14ac:dyDescent="0.2">
      <c r="A47" s="98">
        <v>144</v>
      </c>
      <c r="B47" s="99">
        <v>144</v>
      </c>
      <c r="C47" s="39" t="s">
        <v>12</v>
      </c>
      <c r="D47" s="169" t="s">
        <v>29</v>
      </c>
      <c r="E47" s="170">
        <v>80141600</v>
      </c>
      <c r="F47" s="101" t="s">
        <v>183</v>
      </c>
      <c r="G47" s="102" t="s">
        <v>51</v>
      </c>
      <c r="H47" s="103" t="s">
        <v>501</v>
      </c>
      <c r="I47" s="108" t="s">
        <v>503</v>
      </c>
      <c r="J47" s="108" t="s">
        <v>503</v>
      </c>
      <c r="K47" s="108" t="s">
        <v>503</v>
      </c>
      <c r="L47" s="118" t="s">
        <v>502</v>
      </c>
      <c r="M47" s="118" t="s">
        <v>502</v>
      </c>
      <c r="N47" s="118" t="s">
        <v>502</v>
      </c>
      <c r="O47" s="108" t="s">
        <v>503</v>
      </c>
      <c r="P47" s="108" t="s">
        <v>503</v>
      </c>
      <c r="Q47" s="108" t="s">
        <v>503</v>
      </c>
      <c r="R47" s="108" t="s">
        <v>503</v>
      </c>
      <c r="S47" s="108" t="s">
        <v>503</v>
      </c>
      <c r="T47" s="108" t="s">
        <v>503</v>
      </c>
      <c r="U47" s="118" t="s">
        <v>502</v>
      </c>
      <c r="V47" s="118" t="s">
        <v>502</v>
      </c>
      <c r="W47" s="118" t="s">
        <v>502</v>
      </c>
      <c r="X47" s="108" t="s">
        <v>503</v>
      </c>
      <c r="Y47" s="108" t="s">
        <v>503</v>
      </c>
      <c r="Z47" s="108" t="s">
        <v>503</v>
      </c>
      <c r="AA47" s="108" t="s">
        <v>503</v>
      </c>
      <c r="AB47" s="108" t="s">
        <v>503</v>
      </c>
      <c r="AC47" s="108" t="s">
        <v>503</v>
      </c>
      <c r="AD47" s="108" t="s">
        <v>503</v>
      </c>
      <c r="AE47" s="108" t="s">
        <v>503</v>
      </c>
      <c r="AF47" s="108" t="s">
        <v>503</v>
      </c>
      <c r="AG47" s="108" t="s">
        <v>503</v>
      </c>
      <c r="AH47" s="108" t="s">
        <v>503</v>
      </c>
      <c r="AI47" s="108" t="s">
        <v>503</v>
      </c>
      <c r="AJ47" s="108" t="s">
        <v>503</v>
      </c>
      <c r="AK47" s="108" t="s">
        <v>503</v>
      </c>
      <c r="AL47" s="108" t="s">
        <v>503</v>
      </c>
      <c r="AM47" s="108" t="s">
        <v>503</v>
      </c>
      <c r="AN47" s="108" t="s">
        <v>503</v>
      </c>
      <c r="AO47" s="108" t="s">
        <v>503</v>
      </c>
      <c r="AP47" s="108" t="s">
        <v>503</v>
      </c>
      <c r="AQ47" s="108" t="s">
        <v>503</v>
      </c>
      <c r="AR47" s="108" t="s">
        <v>503</v>
      </c>
      <c r="AS47" s="118">
        <v>12000000</v>
      </c>
      <c r="AT47" s="119">
        <f>+AS47*19%</f>
        <v>2280000</v>
      </c>
      <c r="AU47" s="118">
        <f t="shared" ref="AU47:AU54" si="22">+AS47+AT47</f>
        <v>14280000</v>
      </c>
      <c r="AV47" s="108" t="s">
        <v>503</v>
      </c>
      <c r="AW47" s="108" t="s">
        <v>503</v>
      </c>
      <c r="AX47" s="108" t="s">
        <v>503</v>
      </c>
      <c r="AY47" s="108" t="s">
        <v>503</v>
      </c>
      <c r="AZ47" s="108" t="s">
        <v>503</v>
      </c>
      <c r="BA47" s="108" t="s">
        <v>503</v>
      </c>
      <c r="BB47" s="108" t="s">
        <v>503</v>
      </c>
      <c r="BC47" s="108" t="s">
        <v>503</v>
      </c>
      <c r="BD47" s="108" t="s">
        <v>503</v>
      </c>
      <c r="BE47" s="108" t="s">
        <v>503</v>
      </c>
      <c r="BF47" s="108" t="s">
        <v>503</v>
      </c>
      <c r="BG47" s="108" t="s">
        <v>503</v>
      </c>
      <c r="BH47" s="108" t="s">
        <v>503</v>
      </c>
      <c r="BI47" s="108" t="s">
        <v>503</v>
      </c>
      <c r="BJ47" s="108" t="s">
        <v>503</v>
      </c>
      <c r="BK47" s="108" t="s">
        <v>503</v>
      </c>
      <c r="BL47" s="108" t="s">
        <v>503</v>
      </c>
      <c r="BM47" s="108" t="s">
        <v>503</v>
      </c>
      <c r="BN47" s="108" t="s">
        <v>503</v>
      </c>
      <c r="BO47" s="108" t="s">
        <v>503</v>
      </c>
      <c r="BP47" s="108" t="s">
        <v>503</v>
      </c>
      <c r="BQ47" s="108" t="s">
        <v>503</v>
      </c>
      <c r="BR47" s="108" t="s">
        <v>503</v>
      </c>
      <c r="BS47" s="108" t="s">
        <v>503</v>
      </c>
      <c r="BT47" s="108" t="s">
        <v>503</v>
      </c>
      <c r="BU47" s="108" t="s">
        <v>503</v>
      </c>
      <c r="BV47" s="108" t="s">
        <v>503</v>
      </c>
      <c r="BW47" s="108" t="s">
        <v>503</v>
      </c>
      <c r="BX47" s="108" t="s">
        <v>503</v>
      </c>
      <c r="BY47" s="108" t="s">
        <v>503</v>
      </c>
      <c r="BZ47" s="108" t="s">
        <v>503</v>
      </c>
      <c r="CA47" s="108" t="s">
        <v>503</v>
      </c>
      <c r="CB47" s="108" t="s">
        <v>503</v>
      </c>
      <c r="CC47" s="108" t="s">
        <v>503</v>
      </c>
      <c r="CD47" s="108" t="s">
        <v>503</v>
      </c>
      <c r="CE47" s="108" t="s">
        <v>503</v>
      </c>
      <c r="CF47" s="108" t="s">
        <v>503</v>
      </c>
      <c r="CG47" s="108" t="s">
        <v>503</v>
      </c>
      <c r="CH47" s="108" t="s">
        <v>503</v>
      </c>
      <c r="CI47" s="108" t="s">
        <v>503</v>
      </c>
      <c r="CJ47" s="108" t="s">
        <v>503</v>
      </c>
      <c r="CK47" s="108" t="s">
        <v>503</v>
      </c>
      <c r="CL47" s="108" t="s">
        <v>503</v>
      </c>
      <c r="CM47" s="108" t="s">
        <v>503</v>
      </c>
      <c r="CN47" s="108" t="s">
        <v>503</v>
      </c>
      <c r="CO47" s="108" t="s">
        <v>503</v>
      </c>
      <c r="CP47" s="108" t="s">
        <v>503</v>
      </c>
      <c r="CQ47" s="108" t="s">
        <v>503</v>
      </c>
      <c r="CR47" s="108" t="s">
        <v>503</v>
      </c>
      <c r="CS47" s="108" t="s">
        <v>503</v>
      </c>
      <c r="CT47" s="108" t="s">
        <v>503</v>
      </c>
      <c r="CU47" s="108" t="s">
        <v>503</v>
      </c>
      <c r="CV47" s="108" t="s">
        <v>503</v>
      </c>
      <c r="CW47" s="108" t="s">
        <v>503</v>
      </c>
      <c r="CX47" s="108" t="s">
        <v>503</v>
      </c>
      <c r="CY47" s="108" t="s">
        <v>503</v>
      </c>
      <c r="CZ47" s="108" t="s">
        <v>503</v>
      </c>
      <c r="DA47" s="108" t="s">
        <v>503</v>
      </c>
      <c r="DB47" s="108" t="s">
        <v>503</v>
      </c>
      <c r="DC47" s="108" t="s">
        <v>503</v>
      </c>
      <c r="DD47" s="108" t="s">
        <v>503</v>
      </c>
      <c r="DE47" s="108" t="s">
        <v>503</v>
      </c>
      <c r="DF47" s="108" t="s">
        <v>503</v>
      </c>
      <c r="DG47" s="108" t="s">
        <v>503</v>
      </c>
      <c r="DH47" s="108" t="s">
        <v>503</v>
      </c>
      <c r="DI47" s="108" t="s">
        <v>503</v>
      </c>
      <c r="DJ47" s="108" t="s">
        <v>503</v>
      </c>
      <c r="DK47" s="108" t="s">
        <v>503</v>
      </c>
      <c r="DL47" s="108" t="s">
        <v>503</v>
      </c>
      <c r="DM47" s="108" t="s">
        <v>503</v>
      </c>
      <c r="DN47" s="108" t="s">
        <v>503</v>
      </c>
      <c r="DO47" s="108" t="s">
        <v>503</v>
      </c>
      <c r="DP47" s="108" t="s">
        <v>669</v>
      </c>
      <c r="DQ47" s="108" t="s">
        <v>669</v>
      </c>
      <c r="DR47" s="108" t="s">
        <v>669</v>
      </c>
      <c r="DS47" s="108" t="s">
        <v>669</v>
      </c>
      <c r="DT47" s="108" t="s">
        <v>669</v>
      </c>
      <c r="DU47" s="108" t="s">
        <v>669</v>
      </c>
      <c r="DV47" s="108" t="s">
        <v>503</v>
      </c>
      <c r="DW47" s="108" t="s">
        <v>503</v>
      </c>
      <c r="DX47" s="108" t="s">
        <v>503</v>
      </c>
      <c r="DY47" s="108" t="s">
        <v>503</v>
      </c>
      <c r="DZ47" s="108" t="s">
        <v>503</v>
      </c>
      <c r="EA47" s="108" t="s">
        <v>503</v>
      </c>
      <c r="EB47" s="108" t="s">
        <v>503</v>
      </c>
      <c r="EC47" s="108" t="s">
        <v>503</v>
      </c>
      <c r="ED47" s="108" t="s">
        <v>503</v>
      </c>
      <c r="EE47" s="108" t="s">
        <v>503</v>
      </c>
      <c r="EF47" s="108" t="s">
        <v>503</v>
      </c>
      <c r="EG47" s="108" t="s">
        <v>503</v>
      </c>
      <c r="EH47" s="108" t="s">
        <v>503</v>
      </c>
      <c r="EI47" s="108" t="s">
        <v>503</v>
      </c>
      <c r="EJ47" s="108" t="s">
        <v>503</v>
      </c>
      <c r="EK47" s="108" t="s">
        <v>503</v>
      </c>
      <c r="EL47" s="108" t="s">
        <v>503</v>
      </c>
      <c r="EM47" s="108" t="s">
        <v>503</v>
      </c>
      <c r="EN47" s="108" t="s">
        <v>503</v>
      </c>
      <c r="EO47" s="108" t="s">
        <v>503</v>
      </c>
      <c r="EP47" s="108" t="s">
        <v>503</v>
      </c>
      <c r="EQ47" s="108" t="s">
        <v>502</v>
      </c>
      <c r="ER47" s="108" t="s">
        <v>502</v>
      </c>
      <c r="ES47" s="108" t="s">
        <v>502</v>
      </c>
      <c r="ET47" s="108" t="s">
        <v>502</v>
      </c>
      <c r="EU47" s="108" t="s">
        <v>502</v>
      </c>
      <c r="EV47" s="108" t="s">
        <v>502</v>
      </c>
      <c r="EW47" s="108" t="s">
        <v>502</v>
      </c>
      <c r="EX47" s="108" t="s">
        <v>502</v>
      </c>
      <c r="EY47" s="108" t="s">
        <v>502</v>
      </c>
      <c r="EZ47" s="71">
        <v>7600000</v>
      </c>
      <c r="FA47" s="71">
        <f>+EZ47*19%</f>
        <v>1444000</v>
      </c>
      <c r="FB47" s="71">
        <f>+EZ47+FA47</f>
        <v>9044000</v>
      </c>
      <c r="FC47" s="108" t="s">
        <v>502</v>
      </c>
      <c r="FD47" s="108" t="s">
        <v>502</v>
      </c>
      <c r="FE47" s="108" t="s">
        <v>502</v>
      </c>
      <c r="FF47" s="108" t="s">
        <v>503</v>
      </c>
      <c r="FG47" s="108" t="s">
        <v>503</v>
      </c>
      <c r="FH47" s="108" t="s">
        <v>503</v>
      </c>
      <c r="FI47" s="108" t="s">
        <v>503</v>
      </c>
      <c r="FJ47" s="108" t="s">
        <v>503</v>
      </c>
      <c r="FK47" s="108" t="s">
        <v>503</v>
      </c>
      <c r="FL47" s="108" t="s">
        <v>503</v>
      </c>
      <c r="FM47" s="108" t="s">
        <v>503</v>
      </c>
      <c r="FN47" s="108" t="s">
        <v>503</v>
      </c>
      <c r="FO47" s="108" t="s">
        <v>502</v>
      </c>
      <c r="FP47" s="108" t="s">
        <v>502</v>
      </c>
      <c r="FQ47" s="108" t="s">
        <v>502</v>
      </c>
      <c r="FR47" s="108" t="s">
        <v>502</v>
      </c>
      <c r="FS47" s="108" t="s">
        <v>502</v>
      </c>
      <c r="FT47" s="108" t="s">
        <v>502</v>
      </c>
      <c r="FU47" s="108" t="s">
        <v>502</v>
      </c>
      <c r="FV47" s="108" t="s">
        <v>502</v>
      </c>
      <c r="FW47" s="108" t="s">
        <v>502</v>
      </c>
      <c r="FX47" s="108" t="s">
        <v>503</v>
      </c>
      <c r="FY47" s="108" t="s">
        <v>503</v>
      </c>
      <c r="FZ47" s="108" t="s">
        <v>503</v>
      </c>
      <c r="GA47" s="108" t="s">
        <v>503</v>
      </c>
      <c r="GB47" s="108" t="s">
        <v>503</v>
      </c>
      <c r="GC47" s="108" t="s">
        <v>503</v>
      </c>
      <c r="GD47" s="108" t="s">
        <v>503</v>
      </c>
      <c r="GE47" s="108" t="s">
        <v>503</v>
      </c>
      <c r="GF47" s="108" t="s">
        <v>503</v>
      </c>
      <c r="GG47" s="108" t="s">
        <v>669</v>
      </c>
      <c r="GH47" s="108" t="s">
        <v>669</v>
      </c>
      <c r="GI47" s="108" t="s">
        <v>669</v>
      </c>
      <c r="GJ47" s="108" t="s">
        <v>669</v>
      </c>
      <c r="GK47" s="108" t="s">
        <v>669</v>
      </c>
      <c r="GL47" s="108" t="s">
        <v>669</v>
      </c>
      <c r="GM47" s="108" t="s">
        <v>502</v>
      </c>
      <c r="GN47" s="108" t="s">
        <v>502</v>
      </c>
      <c r="GO47" s="108" t="s">
        <v>502</v>
      </c>
      <c r="GP47" s="108" t="s">
        <v>664</v>
      </c>
      <c r="GQ47" s="108" t="s">
        <v>664</v>
      </c>
      <c r="GR47" s="108" t="s">
        <v>664</v>
      </c>
      <c r="GS47" s="47">
        <f>12000000/1.19</f>
        <v>10084033.613445379</v>
      </c>
      <c r="GT47" s="47">
        <f>+GS47*19%</f>
        <v>1915966.3865546221</v>
      </c>
      <c r="GU47" s="69">
        <f>+GS47+GT47</f>
        <v>12000000</v>
      </c>
      <c r="GV47" s="108" t="s">
        <v>502</v>
      </c>
      <c r="GW47" s="108" t="s">
        <v>502</v>
      </c>
      <c r="GX47" s="108" t="s">
        <v>502</v>
      </c>
      <c r="GY47" s="108" t="s">
        <v>664</v>
      </c>
      <c r="GZ47" s="108" t="s">
        <v>664</v>
      </c>
      <c r="HA47" s="108" t="s">
        <v>664</v>
      </c>
      <c r="HB47" s="108" t="s">
        <v>664</v>
      </c>
      <c r="HC47" s="108" t="s">
        <v>664</v>
      </c>
      <c r="HD47" s="108" t="s">
        <v>664</v>
      </c>
      <c r="HE47" s="108" t="s">
        <v>664</v>
      </c>
      <c r="HF47" s="108" t="s">
        <v>664</v>
      </c>
      <c r="HG47" s="108" t="s">
        <v>664</v>
      </c>
      <c r="HH47" s="108" t="s">
        <v>664</v>
      </c>
      <c r="HI47" s="108" t="s">
        <v>664</v>
      </c>
      <c r="HJ47" s="108" t="s">
        <v>664</v>
      </c>
      <c r="HK47" s="108" t="s">
        <v>664</v>
      </c>
      <c r="HL47" s="108" t="s">
        <v>664</v>
      </c>
      <c r="HM47" s="108" t="s">
        <v>664</v>
      </c>
      <c r="HN47" s="108" t="s">
        <v>664</v>
      </c>
      <c r="HO47" s="108" t="s">
        <v>664</v>
      </c>
      <c r="HP47" s="108" t="s">
        <v>664</v>
      </c>
      <c r="HQ47" s="108" t="s">
        <v>503</v>
      </c>
      <c r="HR47" s="108" t="s">
        <v>503</v>
      </c>
      <c r="HS47" s="108" t="s">
        <v>503</v>
      </c>
      <c r="HT47" s="108" t="s">
        <v>502</v>
      </c>
      <c r="HU47" s="108" t="s">
        <v>502</v>
      </c>
      <c r="HV47" s="108" t="s">
        <v>502</v>
      </c>
      <c r="HW47" s="108" t="s">
        <v>503</v>
      </c>
      <c r="HX47" s="108" t="s">
        <v>503</v>
      </c>
      <c r="HY47" s="108" t="s">
        <v>503</v>
      </c>
      <c r="HZ47" s="118" t="s">
        <v>502</v>
      </c>
      <c r="IA47" s="118" t="s">
        <v>502</v>
      </c>
      <c r="IB47" s="118" t="s">
        <v>502</v>
      </c>
      <c r="IC47" s="118" t="s">
        <v>502</v>
      </c>
      <c r="ID47" s="118" t="s">
        <v>502</v>
      </c>
      <c r="IE47" s="118" t="s">
        <v>502</v>
      </c>
      <c r="IF47" s="118" t="s">
        <v>502</v>
      </c>
      <c r="IG47" s="118" t="s">
        <v>502</v>
      </c>
      <c r="IH47" s="118" t="s">
        <v>502</v>
      </c>
      <c r="II47" s="118" t="s">
        <v>502</v>
      </c>
      <c r="IJ47" s="118" t="s">
        <v>502</v>
      </c>
      <c r="IK47" s="118" t="s">
        <v>502</v>
      </c>
      <c r="IL47" s="118" t="s">
        <v>502</v>
      </c>
      <c r="IM47" s="118" t="s">
        <v>502</v>
      </c>
      <c r="IN47" s="118" t="s">
        <v>502</v>
      </c>
      <c r="IO47" s="120" t="s">
        <v>503</v>
      </c>
      <c r="IP47" s="120" t="s">
        <v>503</v>
      </c>
      <c r="IQ47" s="120" t="s">
        <v>503</v>
      </c>
      <c r="IR47" s="118" t="s">
        <v>669</v>
      </c>
      <c r="IS47" s="118" t="s">
        <v>669</v>
      </c>
      <c r="IT47" s="118" t="s">
        <v>669</v>
      </c>
      <c r="IU47" s="120" t="s">
        <v>503</v>
      </c>
      <c r="IV47" s="120" t="s">
        <v>503</v>
      </c>
      <c r="IW47" s="120" t="s">
        <v>503</v>
      </c>
      <c r="IX47" s="120" t="s">
        <v>503</v>
      </c>
      <c r="IY47" s="120" t="s">
        <v>503</v>
      </c>
      <c r="IZ47" s="120" t="s">
        <v>503</v>
      </c>
      <c r="JA47" s="120" t="s">
        <v>503</v>
      </c>
      <c r="JB47" s="120" t="s">
        <v>503</v>
      </c>
      <c r="JC47" s="120" t="s">
        <v>503</v>
      </c>
      <c r="JD47" s="120" t="s">
        <v>664</v>
      </c>
      <c r="JE47" s="120" t="s">
        <v>664</v>
      </c>
      <c r="JF47" s="120" t="s">
        <v>664</v>
      </c>
      <c r="JG47" s="118" t="s">
        <v>502</v>
      </c>
      <c r="JH47" s="118" t="s">
        <v>502</v>
      </c>
      <c r="JI47" s="118" t="s">
        <v>502</v>
      </c>
      <c r="JJ47" s="118" t="s">
        <v>502</v>
      </c>
      <c r="JK47" s="118" t="s">
        <v>502</v>
      </c>
      <c r="JL47" s="118" t="s">
        <v>502</v>
      </c>
      <c r="JM47" s="118" t="s">
        <v>502</v>
      </c>
      <c r="JN47" s="118" t="s">
        <v>502</v>
      </c>
      <c r="JO47" s="118" t="s">
        <v>502</v>
      </c>
      <c r="JP47" s="110">
        <v>6553550</v>
      </c>
      <c r="JQ47" s="111">
        <v>7830007.4777119998</v>
      </c>
      <c r="JR47" s="112">
        <f t="shared" si="0"/>
        <v>3</v>
      </c>
      <c r="JS47" s="113">
        <f t="shared" si="1"/>
        <v>11774666.666666666</v>
      </c>
      <c r="JT47" s="114">
        <f t="shared" si="2"/>
        <v>11774700</v>
      </c>
      <c r="JU47" s="167"/>
    </row>
    <row r="48" spans="1:281" ht="101.25" customHeight="1" x14ac:dyDescent="0.2">
      <c r="A48" s="98">
        <v>145</v>
      </c>
      <c r="B48" s="99">
        <v>145</v>
      </c>
      <c r="C48" s="39" t="s">
        <v>12</v>
      </c>
      <c r="D48" s="139" t="s">
        <v>121</v>
      </c>
      <c r="E48" s="170">
        <v>80141600</v>
      </c>
      <c r="F48" s="168" t="s">
        <v>211</v>
      </c>
      <c r="G48" s="102" t="s">
        <v>86</v>
      </c>
      <c r="H48" s="103" t="s">
        <v>501</v>
      </c>
      <c r="I48" s="108" t="s">
        <v>503</v>
      </c>
      <c r="J48" s="108" t="s">
        <v>503</v>
      </c>
      <c r="K48" s="108" t="s">
        <v>503</v>
      </c>
      <c r="L48" s="118" t="s">
        <v>502</v>
      </c>
      <c r="M48" s="118" t="s">
        <v>502</v>
      </c>
      <c r="N48" s="118" t="s">
        <v>502</v>
      </c>
      <c r="O48" s="108" t="s">
        <v>503</v>
      </c>
      <c r="P48" s="108" t="s">
        <v>503</v>
      </c>
      <c r="Q48" s="108" t="s">
        <v>503</v>
      </c>
      <c r="R48" s="108" t="s">
        <v>503</v>
      </c>
      <c r="S48" s="108" t="s">
        <v>503</v>
      </c>
      <c r="T48" s="108" t="s">
        <v>503</v>
      </c>
      <c r="U48" s="118" t="s">
        <v>502</v>
      </c>
      <c r="V48" s="118" t="s">
        <v>502</v>
      </c>
      <c r="W48" s="118" t="s">
        <v>502</v>
      </c>
      <c r="X48" s="108" t="s">
        <v>503</v>
      </c>
      <c r="Y48" s="108" t="s">
        <v>503</v>
      </c>
      <c r="Z48" s="108" t="s">
        <v>503</v>
      </c>
      <c r="AA48" s="108" t="s">
        <v>503</v>
      </c>
      <c r="AB48" s="108" t="s">
        <v>503</v>
      </c>
      <c r="AC48" s="108" t="s">
        <v>503</v>
      </c>
      <c r="AD48" s="108" t="s">
        <v>503</v>
      </c>
      <c r="AE48" s="108" t="s">
        <v>503</v>
      </c>
      <c r="AF48" s="108" t="s">
        <v>503</v>
      </c>
      <c r="AG48" s="108" t="s">
        <v>503</v>
      </c>
      <c r="AH48" s="108" t="s">
        <v>503</v>
      </c>
      <c r="AI48" s="108" t="s">
        <v>503</v>
      </c>
      <c r="AJ48" s="108" t="s">
        <v>503</v>
      </c>
      <c r="AK48" s="108" t="s">
        <v>503</v>
      </c>
      <c r="AL48" s="108" t="s">
        <v>503</v>
      </c>
      <c r="AM48" s="108" t="s">
        <v>503</v>
      </c>
      <c r="AN48" s="108" t="s">
        <v>503</v>
      </c>
      <c r="AO48" s="108" t="s">
        <v>503</v>
      </c>
      <c r="AP48" s="108" t="s">
        <v>503</v>
      </c>
      <c r="AQ48" s="108" t="s">
        <v>503</v>
      </c>
      <c r="AR48" s="108" t="s">
        <v>503</v>
      </c>
      <c r="AS48" s="108" t="s">
        <v>503</v>
      </c>
      <c r="AT48" s="108" t="s">
        <v>503</v>
      </c>
      <c r="AU48" s="108" t="s">
        <v>503</v>
      </c>
      <c r="AV48" s="108" t="s">
        <v>503</v>
      </c>
      <c r="AW48" s="108" t="s">
        <v>503</v>
      </c>
      <c r="AX48" s="108" t="s">
        <v>503</v>
      </c>
      <c r="AY48" s="108" t="s">
        <v>503</v>
      </c>
      <c r="AZ48" s="108" t="s">
        <v>503</v>
      </c>
      <c r="BA48" s="108" t="s">
        <v>503</v>
      </c>
      <c r="BB48" s="108" t="s">
        <v>503</v>
      </c>
      <c r="BC48" s="108" t="s">
        <v>503</v>
      </c>
      <c r="BD48" s="108" t="s">
        <v>503</v>
      </c>
      <c r="BE48" s="108" t="s">
        <v>503</v>
      </c>
      <c r="BF48" s="108" t="s">
        <v>503</v>
      </c>
      <c r="BG48" s="108" t="s">
        <v>503</v>
      </c>
      <c r="BH48" s="108" t="s">
        <v>503</v>
      </c>
      <c r="BI48" s="108" t="s">
        <v>503</v>
      </c>
      <c r="BJ48" s="108" t="s">
        <v>503</v>
      </c>
      <c r="BK48" s="108" t="s">
        <v>503</v>
      </c>
      <c r="BL48" s="108" t="s">
        <v>503</v>
      </c>
      <c r="BM48" s="108" t="s">
        <v>503</v>
      </c>
      <c r="BN48" s="108" t="s">
        <v>503</v>
      </c>
      <c r="BO48" s="108" t="s">
        <v>503</v>
      </c>
      <c r="BP48" s="108" t="s">
        <v>503</v>
      </c>
      <c r="BQ48" s="108" t="s">
        <v>503</v>
      </c>
      <c r="BR48" s="108" t="s">
        <v>503</v>
      </c>
      <c r="BS48" s="108" t="s">
        <v>503</v>
      </c>
      <c r="BT48" s="108" t="s">
        <v>503</v>
      </c>
      <c r="BU48" s="108" t="s">
        <v>503</v>
      </c>
      <c r="BV48" s="108" t="s">
        <v>503</v>
      </c>
      <c r="BW48" s="108" t="s">
        <v>503</v>
      </c>
      <c r="BX48" s="108" t="s">
        <v>503</v>
      </c>
      <c r="BY48" s="108" t="s">
        <v>503</v>
      </c>
      <c r="BZ48" s="108" t="s">
        <v>503</v>
      </c>
      <c r="CA48" s="108" t="s">
        <v>503</v>
      </c>
      <c r="CB48" s="108" t="s">
        <v>503</v>
      </c>
      <c r="CC48" s="108" t="s">
        <v>503</v>
      </c>
      <c r="CD48" s="108" t="s">
        <v>503</v>
      </c>
      <c r="CE48" s="108" t="s">
        <v>503</v>
      </c>
      <c r="CF48" s="108" t="s">
        <v>503</v>
      </c>
      <c r="CG48" s="108" t="s">
        <v>503</v>
      </c>
      <c r="CH48" s="108" t="s">
        <v>503</v>
      </c>
      <c r="CI48" s="108" t="s">
        <v>503</v>
      </c>
      <c r="CJ48" s="108" t="s">
        <v>503</v>
      </c>
      <c r="CK48" s="108" t="s">
        <v>503</v>
      </c>
      <c r="CL48" s="108" t="s">
        <v>503</v>
      </c>
      <c r="CM48" s="108" t="s">
        <v>503</v>
      </c>
      <c r="CN48" s="108" t="s">
        <v>503</v>
      </c>
      <c r="CO48" s="108" t="s">
        <v>503</v>
      </c>
      <c r="CP48" s="108" t="s">
        <v>503</v>
      </c>
      <c r="CQ48" s="108" t="s">
        <v>503</v>
      </c>
      <c r="CR48" s="108" t="s">
        <v>503</v>
      </c>
      <c r="CS48" s="108" t="s">
        <v>503</v>
      </c>
      <c r="CT48" s="108" t="s">
        <v>503</v>
      </c>
      <c r="CU48" s="108" t="s">
        <v>503</v>
      </c>
      <c r="CV48" s="108" t="s">
        <v>503</v>
      </c>
      <c r="CW48" s="108" t="s">
        <v>503</v>
      </c>
      <c r="CX48" s="108" t="s">
        <v>503</v>
      </c>
      <c r="CY48" s="108" t="s">
        <v>503</v>
      </c>
      <c r="CZ48" s="108" t="s">
        <v>503</v>
      </c>
      <c r="DA48" s="108" t="s">
        <v>503</v>
      </c>
      <c r="DB48" s="108" t="s">
        <v>503</v>
      </c>
      <c r="DC48" s="108" t="s">
        <v>503</v>
      </c>
      <c r="DD48" s="108" t="s">
        <v>503</v>
      </c>
      <c r="DE48" s="108" t="s">
        <v>503</v>
      </c>
      <c r="DF48" s="108" t="s">
        <v>503</v>
      </c>
      <c r="DG48" s="108" t="s">
        <v>503</v>
      </c>
      <c r="DH48" s="108" t="s">
        <v>503</v>
      </c>
      <c r="DI48" s="108" t="s">
        <v>503</v>
      </c>
      <c r="DJ48" s="108" t="s">
        <v>503</v>
      </c>
      <c r="DK48" s="108" t="s">
        <v>503</v>
      </c>
      <c r="DL48" s="108" t="s">
        <v>503</v>
      </c>
      <c r="DM48" s="108" t="s">
        <v>503</v>
      </c>
      <c r="DN48" s="108" t="s">
        <v>503</v>
      </c>
      <c r="DO48" s="108" t="s">
        <v>503</v>
      </c>
      <c r="DP48" s="108" t="s">
        <v>669</v>
      </c>
      <c r="DQ48" s="108" t="s">
        <v>669</v>
      </c>
      <c r="DR48" s="108" t="s">
        <v>669</v>
      </c>
      <c r="DS48" s="108" t="s">
        <v>669</v>
      </c>
      <c r="DT48" s="108" t="s">
        <v>669</v>
      </c>
      <c r="DU48" s="108" t="s">
        <v>669</v>
      </c>
      <c r="DV48" s="108" t="s">
        <v>503</v>
      </c>
      <c r="DW48" s="108" t="s">
        <v>503</v>
      </c>
      <c r="DX48" s="108" t="s">
        <v>503</v>
      </c>
      <c r="DY48" s="108" t="s">
        <v>503</v>
      </c>
      <c r="DZ48" s="108" t="s">
        <v>503</v>
      </c>
      <c r="EA48" s="108" t="s">
        <v>503</v>
      </c>
      <c r="EB48" s="108" t="s">
        <v>503</v>
      </c>
      <c r="EC48" s="108" t="s">
        <v>503</v>
      </c>
      <c r="ED48" s="108" t="s">
        <v>503</v>
      </c>
      <c r="EE48" s="108" t="s">
        <v>503</v>
      </c>
      <c r="EF48" s="108" t="s">
        <v>503</v>
      </c>
      <c r="EG48" s="108" t="s">
        <v>503</v>
      </c>
      <c r="EH48" s="108" t="s">
        <v>503</v>
      </c>
      <c r="EI48" s="108" t="s">
        <v>503</v>
      </c>
      <c r="EJ48" s="108" t="s">
        <v>503</v>
      </c>
      <c r="EK48" s="108" t="s">
        <v>503</v>
      </c>
      <c r="EL48" s="108" t="s">
        <v>503</v>
      </c>
      <c r="EM48" s="108" t="s">
        <v>503</v>
      </c>
      <c r="EN48" s="108" t="s">
        <v>503</v>
      </c>
      <c r="EO48" s="108" t="s">
        <v>503</v>
      </c>
      <c r="EP48" s="108" t="s">
        <v>503</v>
      </c>
      <c r="EQ48" s="108" t="s">
        <v>502</v>
      </c>
      <c r="ER48" s="108" t="s">
        <v>502</v>
      </c>
      <c r="ES48" s="108" t="s">
        <v>502</v>
      </c>
      <c r="ET48" s="108" t="s">
        <v>502</v>
      </c>
      <c r="EU48" s="108" t="s">
        <v>502</v>
      </c>
      <c r="EV48" s="108" t="s">
        <v>502</v>
      </c>
      <c r="EW48" s="108" t="s">
        <v>502</v>
      </c>
      <c r="EX48" s="108" t="s">
        <v>502</v>
      </c>
      <c r="EY48" s="108" t="s">
        <v>502</v>
      </c>
      <c r="EZ48" s="108" t="s">
        <v>503</v>
      </c>
      <c r="FA48" s="108" t="s">
        <v>503</v>
      </c>
      <c r="FB48" s="108" t="s">
        <v>503</v>
      </c>
      <c r="FC48" s="108" t="s">
        <v>502</v>
      </c>
      <c r="FD48" s="108" t="s">
        <v>502</v>
      </c>
      <c r="FE48" s="108" t="s">
        <v>502</v>
      </c>
      <c r="FF48" s="108" t="s">
        <v>503</v>
      </c>
      <c r="FG48" s="108" t="s">
        <v>503</v>
      </c>
      <c r="FH48" s="108" t="s">
        <v>503</v>
      </c>
      <c r="FI48" s="108" t="s">
        <v>503</v>
      </c>
      <c r="FJ48" s="108" t="s">
        <v>503</v>
      </c>
      <c r="FK48" s="108" t="s">
        <v>503</v>
      </c>
      <c r="FL48" s="108" t="s">
        <v>503</v>
      </c>
      <c r="FM48" s="108" t="s">
        <v>503</v>
      </c>
      <c r="FN48" s="108" t="s">
        <v>503</v>
      </c>
      <c r="FO48" s="108" t="s">
        <v>502</v>
      </c>
      <c r="FP48" s="108" t="s">
        <v>502</v>
      </c>
      <c r="FQ48" s="108" t="s">
        <v>502</v>
      </c>
      <c r="FR48" s="108" t="s">
        <v>502</v>
      </c>
      <c r="FS48" s="108" t="s">
        <v>502</v>
      </c>
      <c r="FT48" s="108" t="s">
        <v>502</v>
      </c>
      <c r="FU48" s="108" t="s">
        <v>502</v>
      </c>
      <c r="FV48" s="108" t="s">
        <v>502</v>
      </c>
      <c r="FW48" s="108" t="s">
        <v>502</v>
      </c>
      <c r="FX48" s="108" t="s">
        <v>503</v>
      </c>
      <c r="FY48" s="108" t="s">
        <v>503</v>
      </c>
      <c r="FZ48" s="108" t="s">
        <v>503</v>
      </c>
      <c r="GA48" s="108" t="s">
        <v>503</v>
      </c>
      <c r="GB48" s="108" t="s">
        <v>503</v>
      </c>
      <c r="GC48" s="108" t="s">
        <v>503</v>
      </c>
      <c r="GD48" s="108" t="s">
        <v>503</v>
      </c>
      <c r="GE48" s="108" t="s">
        <v>503</v>
      </c>
      <c r="GF48" s="108" t="s">
        <v>503</v>
      </c>
      <c r="GG48" s="108" t="s">
        <v>669</v>
      </c>
      <c r="GH48" s="108" t="s">
        <v>669</v>
      </c>
      <c r="GI48" s="108" t="s">
        <v>669</v>
      </c>
      <c r="GJ48" s="108" t="s">
        <v>669</v>
      </c>
      <c r="GK48" s="108" t="s">
        <v>669</v>
      </c>
      <c r="GL48" s="108" t="s">
        <v>669</v>
      </c>
      <c r="GM48" s="108" t="s">
        <v>502</v>
      </c>
      <c r="GN48" s="108" t="s">
        <v>502</v>
      </c>
      <c r="GO48" s="108" t="s">
        <v>502</v>
      </c>
      <c r="GP48" s="108" t="s">
        <v>664</v>
      </c>
      <c r="GQ48" s="108" t="s">
        <v>664</v>
      </c>
      <c r="GR48" s="108" t="s">
        <v>664</v>
      </c>
      <c r="GS48" s="47">
        <v>67227</v>
      </c>
      <c r="GT48" s="47">
        <f>+GS48*19%</f>
        <v>12773.130000000001</v>
      </c>
      <c r="GU48" s="69">
        <f>+GS48+GT48</f>
        <v>80000.13</v>
      </c>
      <c r="GV48" s="108" t="s">
        <v>502</v>
      </c>
      <c r="GW48" s="108" t="s">
        <v>502</v>
      </c>
      <c r="GX48" s="108" t="s">
        <v>502</v>
      </c>
      <c r="GY48" s="108" t="s">
        <v>664</v>
      </c>
      <c r="GZ48" s="108" t="s">
        <v>664</v>
      </c>
      <c r="HA48" s="108" t="s">
        <v>664</v>
      </c>
      <c r="HB48" s="108" t="s">
        <v>664</v>
      </c>
      <c r="HC48" s="108" t="s">
        <v>664</v>
      </c>
      <c r="HD48" s="108" t="s">
        <v>664</v>
      </c>
      <c r="HE48" s="108" t="s">
        <v>664</v>
      </c>
      <c r="HF48" s="108" t="s">
        <v>664</v>
      </c>
      <c r="HG48" s="108" t="s">
        <v>664</v>
      </c>
      <c r="HH48" s="108" t="s">
        <v>664</v>
      </c>
      <c r="HI48" s="108" t="s">
        <v>664</v>
      </c>
      <c r="HJ48" s="108" t="s">
        <v>664</v>
      </c>
      <c r="HK48" s="108" t="s">
        <v>664</v>
      </c>
      <c r="HL48" s="108" t="s">
        <v>664</v>
      </c>
      <c r="HM48" s="108" t="s">
        <v>664</v>
      </c>
      <c r="HN48" s="108" t="s">
        <v>664</v>
      </c>
      <c r="HO48" s="108" t="s">
        <v>664</v>
      </c>
      <c r="HP48" s="108" t="s">
        <v>664</v>
      </c>
      <c r="HQ48" s="108" t="s">
        <v>503</v>
      </c>
      <c r="HR48" s="108" t="s">
        <v>503</v>
      </c>
      <c r="HS48" s="108" t="s">
        <v>503</v>
      </c>
      <c r="HT48" s="108" t="s">
        <v>502</v>
      </c>
      <c r="HU48" s="108" t="s">
        <v>502</v>
      </c>
      <c r="HV48" s="108" t="s">
        <v>502</v>
      </c>
      <c r="HW48" s="118" t="s">
        <v>502</v>
      </c>
      <c r="HX48" s="118" t="s">
        <v>502</v>
      </c>
      <c r="HY48" s="118" t="s">
        <v>502</v>
      </c>
      <c r="HZ48" s="118" t="s">
        <v>502</v>
      </c>
      <c r="IA48" s="118" t="s">
        <v>502</v>
      </c>
      <c r="IB48" s="118" t="s">
        <v>502</v>
      </c>
      <c r="IC48" s="118" t="s">
        <v>502</v>
      </c>
      <c r="ID48" s="118" t="s">
        <v>502</v>
      </c>
      <c r="IE48" s="118" t="s">
        <v>502</v>
      </c>
      <c r="IF48" s="118" t="s">
        <v>502</v>
      </c>
      <c r="IG48" s="118" t="s">
        <v>502</v>
      </c>
      <c r="IH48" s="118" t="s">
        <v>502</v>
      </c>
      <c r="II48" s="118" t="s">
        <v>502</v>
      </c>
      <c r="IJ48" s="118" t="s">
        <v>502</v>
      </c>
      <c r="IK48" s="118" t="s">
        <v>502</v>
      </c>
      <c r="IL48" s="118" t="s">
        <v>502</v>
      </c>
      <c r="IM48" s="118" t="s">
        <v>502</v>
      </c>
      <c r="IN48" s="118" t="s">
        <v>502</v>
      </c>
      <c r="IO48" s="120" t="s">
        <v>503</v>
      </c>
      <c r="IP48" s="120" t="s">
        <v>503</v>
      </c>
      <c r="IQ48" s="120" t="s">
        <v>503</v>
      </c>
      <c r="IR48" s="118" t="s">
        <v>669</v>
      </c>
      <c r="IS48" s="118" t="s">
        <v>669</v>
      </c>
      <c r="IT48" s="118" t="s">
        <v>669</v>
      </c>
      <c r="IU48" s="120" t="s">
        <v>503</v>
      </c>
      <c r="IV48" s="120" t="s">
        <v>503</v>
      </c>
      <c r="IW48" s="120" t="s">
        <v>503</v>
      </c>
      <c r="IX48" s="120" t="s">
        <v>503</v>
      </c>
      <c r="IY48" s="120" t="s">
        <v>503</v>
      </c>
      <c r="IZ48" s="120" t="s">
        <v>503</v>
      </c>
      <c r="JA48" s="120" t="s">
        <v>503</v>
      </c>
      <c r="JB48" s="120" t="s">
        <v>503</v>
      </c>
      <c r="JC48" s="120" t="s">
        <v>503</v>
      </c>
      <c r="JD48" s="120" t="s">
        <v>664</v>
      </c>
      <c r="JE48" s="120" t="s">
        <v>664</v>
      </c>
      <c r="JF48" s="120" t="s">
        <v>664</v>
      </c>
      <c r="JG48" s="118" t="s">
        <v>502</v>
      </c>
      <c r="JH48" s="118" t="s">
        <v>502</v>
      </c>
      <c r="JI48" s="118" t="s">
        <v>502</v>
      </c>
      <c r="JJ48" s="118" t="s">
        <v>502</v>
      </c>
      <c r="JK48" s="118" t="s">
        <v>502</v>
      </c>
      <c r="JL48" s="118" t="s">
        <v>502</v>
      </c>
      <c r="JM48" s="118" t="s">
        <v>502</v>
      </c>
      <c r="JN48" s="118" t="s">
        <v>502</v>
      </c>
      <c r="JO48" s="118" t="s">
        <v>502</v>
      </c>
      <c r="JP48" s="110">
        <v>127650</v>
      </c>
      <c r="JQ48" s="111">
        <v>152512.829616</v>
      </c>
      <c r="JR48" s="112">
        <f t="shared" si="0"/>
        <v>1</v>
      </c>
      <c r="JS48" s="113">
        <f t="shared" si="1"/>
        <v>80000.13</v>
      </c>
      <c r="JT48" s="114">
        <f t="shared" si="2"/>
        <v>80050</v>
      </c>
      <c r="JU48" s="167"/>
    </row>
    <row r="49" spans="1:281" ht="101.25" customHeight="1" x14ac:dyDescent="0.2">
      <c r="A49" s="98">
        <v>146</v>
      </c>
      <c r="B49" s="99">
        <v>146</v>
      </c>
      <c r="C49" s="39" t="s">
        <v>12</v>
      </c>
      <c r="D49" s="139" t="s">
        <v>123</v>
      </c>
      <c r="E49" s="170">
        <v>80141600</v>
      </c>
      <c r="F49" s="168" t="s">
        <v>212</v>
      </c>
      <c r="G49" s="102" t="s">
        <v>86</v>
      </c>
      <c r="H49" s="103" t="s">
        <v>501</v>
      </c>
      <c r="I49" s="108" t="s">
        <v>503</v>
      </c>
      <c r="J49" s="108" t="s">
        <v>503</v>
      </c>
      <c r="K49" s="108" t="s">
        <v>503</v>
      </c>
      <c r="L49" s="118" t="s">
        <v>502</v>
      </c>
      <c r="M49" s="118" t="s">
        <v>502</v>
      </c>
      <c r="N49" s="118" t="s">
        <v>502</v>
      </c>
      <c r="O49" s="108" t="s">
        <v>503</v>
      </c>
      <c r="P49" s="108" t="s">
        <v>503</v>
      </c>
      <c r="Q49" s="108" t="s">
        <v>503</v>
      </c>
      <c r="R49" s="108" t="s">
        <v>503</v>
      </c>
      <c r="S49" s="108" t="s">
        <v>503</v>
      </c>
      <c r="T49" s="108" t="s">
        <v>503</v>
      </c>
      <c r="U49" s="118" t="s">
        <v>502</v>
      </c>
      <c r="V49" s="118" t="s">
        <v>502</v>
      </c>
      <c r="W49" s="118" t="s">
        <v>502</v>
      </c>
      <c r="X49" s="108" t="s">
        <v>503</v>
      </c>
      <c r="Y49" s="108" t="s">
        <v>503</v>
      </c>
      <c r="Z49" s="108" t="s">
        <v>503</v>
      </c>
      <c r="AA49" s="108" t="s">
        <v>503</v>
      </c>
      <c r="AB49" s="108" t="s">
        <v>503</v>
      </c>
      <c r="AC49" s="108" t="s">
        <v>503</v>
      </c>
      <c r="AD49" s="108" t="s">
        <v>503</v>
      </c>
      <c r="AE49" s="108" t="s">
        <v>503</v>
      </c>
      <c r="AF49" s="108" t="s">
        <v>503</v>
      </c>
      <c r="AG49" s="108" t="s">
        <v>503</v>
      </c>
      <c r="AH49" s="108" t="s">
        <v>503</v>
      </c>
      <c r="AI49" s="108" t="s">
        <v>503</v>
      </c>
      <c r="AJ49" s="108" t="s">
        <v>503</v>
      </c>
      <c r="AK49" s="108" t="s">
        <v>503</v>
      </c>
      <c r="AL49" s="108" t="s">
        <v>503</v>
      </c>
      <c r="AM49" s="108" t="s">
        <v>503</v>
      </c>
      <c r="AN49" s="108" t="s">
        <v>503</v>
      </c>
      <c r="AO49" s="108" t="s">
        <v>503</v>
      </c>
      <c r="AP49" s="108" t="s">
        <v>503</v>
      </c>
      <c r="AQ49" s="108" t="s">
        <v>503</v>
      </c>
      <c r="AR49" s="108" t="s">
        <v>503</v>
      </c>
      <c r="AS49" s="108" t="s">
        <v>503</v>
      </c>
      <c r="AT49" s="108" t="s">
        <v>503</v>
      </c>
      <c r="AU49" s="108" t="s">
        <v>503</v>
      </c>
      <c r="AV49" s="108" t="s">
        <v>503</v>
      </c>
      <c r="AW49" s="108" t="s">
        <v>503</v>
      </c>
      <c r="AX49" s="108" t="s">
        <v>503</v>
      </c>
      <c r="AY49" s="108" t="s">
        <v>503</v>
      </c>
      <c r="AZ49" s="108" t="s">
        <v>503</v>
      </c>
      <c r="BA49" s="108" t="s">
        <v>503</v>
      </c>
      <c r="BB49" s="108" t="s">
        <v>503</v>
      </c>
      <c r="BC49" s="108" t="s">
        <v>503</v>
      </c>
      <c r="BD49" s="108" t="s">
        <v>503</v>
      </c>
      <c r="BE49" s="108" t="s">
        <v>503</v>
      </c>
      <c r="BF49" s="108" t="s">
        <v>503</v>
      </c>
      <c r="BG49" s="108" t="s">
        <v>503</v>
      </c>
      <c r="BH49" s="108" t="s">
        <v>503</v>
      </c>
      <c r="BI49" s="108" t="s">
        <v>503</v>
      </c>
      <c r="BJ49" s="108" t="s">
        <v>503</v>
      </c>
      <c r="BK49" s="108" t="s">
        <v>503</v>
      </c>
      <c r="BL49" s="108" t="s">
        <v>503</v>
      </c>
      <c r="BM49" s="108" t="s">
        <v>503</v>
      </c>
      <c r="BN49" s="108" t="s">
        <v>503</v>
      </c>
      <c r="BO49" s="108" t="s">
        <v>503</v>
      </c>
      <c r="BP49" s="108" t="s">
        <v>503</v>
      </c>
      <c r="BQ49" s="108" t="s">
        <v>503</v>
      </c>
      <c r="BR49" s="108" t="s">
        <v>503</v>
      </c>
      <c r="BS49" s="108" t="s">
        <v>503</v>
      </c>
      <c r="BT49" s="108" t="s">
        <v>503</v>
      </c>
      <c r="BU49" s="108" t="s">
        <v>503</v>
      </c>
      <c r="BV49" s="108" t="s">
        <v>503</v>
      </c>
      <c r="BW49" s="108" t="s">
        <v>503</v>
      </c>
      <c r="BX49" s="108" t="s">
        <v>503</v>
      </c>
      <c r="BY49" s="108" t="s">
        <v>503</v>
      </c>
      <c r="BZ49" s="108" t="s">
        <v>503</v>
      </c>
      <c r="CA49" s="108" t="s">
        <v>503</v>
      </c>
      <c r="CB49" s="108" t="s">
        <v>503</v>
      </c>
      <c r="CC49" s="108" t="s">
        <v>503</v>
      </c>
      <c r="CD49" s="108" t="s">
        <v>503</v>
      </c>
      <c r="CE49" s="108" t="s">
        <v>503</v>
      </c>
      <c r="CF49" s="108" t="s">
        <v>503</v>
      </c>
      <c r="CG49" s="108" t="s">
        <v>503</v>
      </c>
      <c r="CH49" s="108" t="s">
        <v>503</v>
      </c>
      <c r="CI49" s="108" t="s">
        <v>503</v>
      </c>
      <c r="CJ49" s="108" t="s">
        <v>503</v>
      </c>
      <c r="CK49" s="108" t="s">
        <v>503</v>
      </c>
      <c r="CL49" s="108" t="s">
        <v>503</v>
      </c>
      <c r="CM49" s="108" t="s">
        <v>503</v>
      </c>
      <c r="CN49" s="108" t="s">
        <v>503</v>
      </c>
      <c r="CO49" s="108" t="s">
        <v>503</v>
      </c>
      <c r="CP49" s="108" t="s">
        <v>503</v>
      </c>
      <c r="CQ49" s="108" t="s">
        <v>503</v>
      </c>
      <c r="CR49" s="108" t="s">
        <v>503</v>
      </c>
      <c r="CS49" s="108" t="s">
        <v>503</v>
      </c>
      <c r="CT49" s="108" t="s">
        <v>503</v>
      </c>
      <c r="CU49" s="108" t="s">
        <v>503</v>
      </c>
      <c r="CV49" s="108" t="s">
        <v>503</v>
      </c>
      <c r="CW49" s="108" t="s">
        <v>503</v>
      </c>
      <c r="CX49" s="108" t="s">
        <v>503</v>
      </c>
      <c r="CY49" s="108" t="s">
        <v>503</v>
      </c>
      <c r="CZ49" s="108" t="s">
        <v>503</v>
      </c>
      <c r="DA49" s="108" t="s">
        <v>503</v>
      </c>
      <c r="DB49" s="108" t="s">
        <v>503</v>
      </c>
      <c r="DC49" s="108" t="s">
        <v>503</v>
      </c>
      <c r="DD49" s="108" t="s">
        <v>503</v>
      </c>
      <c r="DE49" s="108" t="s">
        <v>503</v>
      </c>
      <c r="DF49" s="108" t="s">
        <v>503</v>
      </c>
      <c r="DG49" s="108" t="s">
        <v>503</v>
      </c>
      <c r="DH49" s="108" t="s">
        <v>503</v>
      </c>
      <c r="DI49" s="108" t="s">
        <v>503</v>
      </c>
      <c r="DJ49" s="108" t="s">
        <v>503</v>
      </c>
      <c r="DK49" s="108" t="s">
        <v>503</v>
      </c>
      <c r="DL49" s="108" t="s">
        <v>503</v>
      </c>
      <c r="DM49" s="108" t="s">
        <v>503</v>
      </c>
      <c r="DN49" s="108" t="s">
        <v>503</v>
      </c>
      <c r="DO49" s="108" t="s">
        <v>503</v>
      </c>
      <c r="DP49" s="108" t="s">
        <v>669</v>
      </c>
      <c r="DQ49" s="108" t="s">
        <v>669</v>
      </c>
      <c r="DR49" s="108" t="s">
        <v>669</v>
      </c>
      <c r="DS49" s="108" t="s">
        <v>669</v>
      </c>
      <c r="DT49" s="108" t="s">
        <v>669</v>
      </c>
      <c r="DU49" s="108" t="s">
        <v>669</v>
      </c>
      <c r="DV49" s="108" t="s">
        <v>503</v>
      </c>
      <c r="DW49" s="108" t="s">
        <v>503</v>
      </c>
      <c r="DX49" s="108" t="s">
        <v>503</v>
      </c>
      <c r="DY49" s="108" t="s">
        <v>503</v>
      </c>
      <c r="DZ49" s="108" t="s">
        <v>503</v>
      </c>
      <c r="EA49" s="108" t="s">
        <v>503</v>
      </c>
      <c r="EB49" s="108" t="s">
        <v>503</v>
      </c>
      <c r="EC49" s="108" t="s">
        <v>503</v>
      </c>
      <c r="ED49" s="108" t="s">
        <v>503</v>
      </c>
      <c r="EE49" s="108" t="s">
        <v>503</v>
      </c>
      <c r="EF49" s="108" t="s">
        <v>503</v>
      </c>
      <c r="EG49" s="108" t="s">
        <v>503</v>
      </c>
      <c r="EH49" s="108" t="s">
        <v>503</v>
      </c>
      <c r="EI49" s="108" t="s">
        <v>503</v>
      </c>
      <c r="EJ49" s="108" t="s">
        <v>503</v>
      </c>
      <c r="EK49" s="108" t="s">
        <v>503</v>
      </c>
      <c r="EL49" s="108" t="s">
        <v>503</v>
      </c>
      <c r="EM49" s="108" t="s">
        <v>503</v>
      </c>
      <c r="EN49" s="108" t="s">
        <v>503</v>
      </c>
      <c r="EO49" s="108" t="s">
        <v>503</v>
      </c>
      <c r="EP49" s="108" t="s">
        <v>503</v>
      </c>
      <c r="EQ49" s="108" t="s">
        <v>502</v>
      </c>
      <c r="ER49" s="108" t="s">
        <v>502</v>
      </c>
      <c r="ES49" s="108" t="s">
        <v>502</v>
      </c>
      <c r="ET49" s="108" t="s">
        <v>502</v>
      </c>
      <c r="EU49" s="108" t="s">
        <v>502</v>
      </c>
      <c r="EV49" s="108" t="s">
        <v>502</v>
      </c>
      <c r="EW49" s="108" t="s">
        <v>502</v>
      </c>
      <c r="EX49" s="108" t="s">
        <v>502</v>
      </c>
      <c r="EY49" s="108" t="s">
        <v>502</v>
      </c>
      <c r="EZ49" s="108" t="s">
        <v>503</v>
      </c>
      <c r="FA49" s="108" t="s">
        <v>503</v>
      </c>
      <c r="FB49" s="108" t="s">
        <v>503</v>
      </c>
      <c r="FC49" s="108" t="s">
        <v>502</v>
      </c>
      <c r="FD49" s="108" t="s">
        <v>502</v>
      </c>
      <c r="FE49" s="108" t="s">
        <v>502</v>
      </c>
      <c r="FF49" s="108" t="s">
        <v>503</v>
      </c>
      <c r="FG49" s="108" t="s">
        <v>503</v>
      </c>
      <c r="FH49" s="108" t="s">
        <v>503</v>
      </c>
      <c r="FI49" s="108" t="s">
        <v>503</v>
      </c>
      <c r="FJ49" s="108" t="s">
        <v>503</v>
      </c>
      <c r="FK49" s="108" t="s">
        <v>503</v>
      </c>
      <c r="FL49" s="108" t="s">
        <v>503</v>
      </c>
      <c r="FM49" s="108" t="s">
        <v>503</v>
      </c>
      <c r="FN49" s="108" t="s">
        <v>503</v>
      </c>
      <c r="FO49" s="108" t="s">
        <v>502</v>
      </c>
      <c r="FP49" s="108" t="s">
        <v>502</v>
      </c>
      <c r="FQ49" s="108" t="s">
        <v>502</v>
      </c>
      <c r="FR49" s="108" t="s">
        <v>502</v>
      </c>
      <c r="FS49" s="108" t="s">
        <v>502</v>
      </c>
      <c r="FT49" s="108" t="s">
        <v>502</v>
      </c>
      <c r="FU49" s="108" t="s">
        <v>502</v>
      </c>
      <c r="FV49" s="108" t="s">
        <v>502</v>
      </c>
      <c r="FW49" s="108" t="s">
        <v>502</v>
      </c>
      <c r="FX49" s="108" t="s">
        <v>503</v>
      </c>
      <c r="FY49" s="108" t="s">
        <v>503</v>
      </c>
      <c r="FZ49" s="108" t="s">
        <v>503</v>
      </c>
      <c r="GA49" s="108" t="s">
        <v>503</v>
      </c>
      <c r="GB49" s="108" t="s">
        <v>503</v>
      </c>
      <c r="GC49" s="108" t="s">
        <v>503</v>
      </c>
      <c r="GD49" s="108" t="s">
        <v>503</v>
      </c>
      <c r="GE49" s="108" t="s">
        <v>503</v>
      </c>
      <c r="GF49" s="108" t="s">
        <v>503</v>
      </c>
      <c r="GG49" s="108" t="s">
        <v>669</v>
      </c>
      <c r="GH49" s="108" t="s">
        <v>669</v>
      </c>
      <c r="GI49" s="108" t="s">
        <v>669</v>
      </c>
      <c r="GJ49" s="108" t="s">
        <v>502</v>
      </c>
      <c r="GK49" s="108" t="s">
        <v>669</v>
      </c>
      <c r="GL49" s="108" t="s">
        <v>669</v>
      </c>
      <c r="GM49" s="108" t="s">
        <v>502</v>
      </c>
      <c r="GN49" s="108" t="s">
        <v>502</v>
      </c>
      <c r="GO49" s="108" t="s">
        <v>502</v>
      </c>
      <c r="GP49" s="108" t="s">
        <v>664</v>
      </c>
      <c r="GQ49" s="108" t="s">
        <v>664</v>
      </c>
      <c r="GR49" s="108" t="s">
        <v>664</v>
      </c>
      <c r="GS49" s="47">
        <v>67227</v>
      </c>
      <c r="GT49" s="47">
        <f>+GS49*19%</f>
        <v>12773.130000000001</v>
      </c>
      <c r="GU49" s="69">
        <f>+GS49+GT49</f>
        <v>80000.13</v>
      </c>
      <c r="GV49" s="108" t="s">
        <v>502</v>
      </c>
      <c r="GW49" s="108" t="s">
        <v>502</v>
      </c>
      <c r="GX49" s="108" t="s">
        <v>502</v>
      </c>
      <c r="GY49" s="108" t="s">
        <v>664</v>
      </c>
      <c r="GZ49" s="108" t="s">
        <v>664</v>
      </c>
      <c r="HA49" s="108" t="s">
        <v>664</v>
      </c>
      <c r="HB49" s="108" t="s">
        <v>664</v>
      </c>
      <c r="HC49" s="108" t="s">
        <v>664</v>
      </c>
      <c r="HD49" s="108" t="s">
        <v>664</v>
      </c>
      <c r="HE49" s="108" t="s">
        <v>664</v>
      </c>
      <c r="HF49" s="108" t="s">
        <v>664</v>
      </c>
      <c r="HG49" s="108" t="s">
        <v>664</v>
      </c>
      <c r="HH49" s="108" t="s">
        <v>664</v>
      </c>
      <c r="HI49" s="108" t="s">
        <v>664</v>
      </c>
      <c r="HJ49" s="108" t="s">
        <v>664</v>
      </c>
      <c r="HK49" s="108" t="s">
        <v>664</v>
      </c>
      <c r="HL49" s="108" t="s">
        <v>664</v>
      </c>
      <c r="HM49" s="108" t="s">
        <v>664</v>
      </c>
      <c r="HN49" s="108" t="s">
        <v>664</v>
      </c>
      <c r="HO49" s="108" t="s">
        <v>664</v>
      </c>
      <c r="HP49" s="108" t="s">
        <v>664</v>
      </c>
      <c r="HQ49" s="108" t="s">
        <v>503</v>
      </c>
      <c r="HR49" s="108" t="s">
        <v>503</v>
      </c>
      <c r="HS49" s="108" t="s">
        <v>503</v>
      </c>
      <c r="HT49" s="108" t="s">
        <v>502</v>
      </c>
      <c r="HU49" s="108" t="s">
        <v>502</v>
      </c>
      <c r="HV49" s="108" t="s">
        <v>502</v>
      </c>
      <c r="HW49" s="71">
        <v>150000</v>
      </c>
      <c r="HX49" s="71">
        <f>+HW49*19%</f>
        <v>28500</v>
      </c>
      <c r="HY49" s="71">
        <f>+HW49+HX49</f>
        <v>178500</v>
      </c>
      <c r="HZ49" s="118" t="s">
        <v>502</v>
      </c>
      <c r="IA49" s="118" t="s">
        <v>502</v>
      </c>
      <c r="IB49" s="118" t="s">
        <v>502</v>
      </c>
      <c r="IC49" s="118" t="s">
        <v>502</v>
      </c>
      <c r="ID49" s="118" t="s">
        <v>502</v>
      </c>
      <c r="IE49" s="118" t="s">
        <v>502</v>
      </c>
      <c r="IF49" s="118" t="s">
        <v>502</v>
      </c>
      <c r="IG49" s="118" t="s">
        <v>502</v>
      </c>
      <c r="IH49" s="118" t="s">
        <v>502</v>
      </c>
      <c r="II49" s="118" t="s">
        <v>502</v>
      </c>
      <c r="IJ49" s="118" t="s">
        <v>502</v>
      </c>
      <c r="IK49" s="118" t="s">
        <v>502</v>
      </c>
      <c r="IL49" s="118" t="s">
        <v>502</v>
      </c>
      <c r="IM49" s="118" t="s">
        <v>502</v>
      </c>
      <c r="IN49" s="118" t="s">
        <v>502</v>
      </c>
      <c r="IO49" s="120" t="s">
        <v>503</v>
      </c>
      <c r="IP49" s="120" t="s">
        <v>503</v>
      </c>
      <c r="IQ49" s="120" t="s">
        <v>503</v>
      </c>
      <c r="IR49" s="118" t="s">
        <v>669</v>
      </c>
      <c r="IS49" s="118" t="s">
        <v>669</v>
      </c>
      <c r="IT49" s="118" t="s">
        <v>669</v>
      </c>
      <c r="IU49" s="120" t="s">
        <v>503</v>
      </c>
      <c r="IV49" s="120" t="s">
        <v>503</v>
      </c>
      <c r="IW49" s="120" t="s">
        <v>503</v>
      </c>
      <c r="IX49" s="120" t="s">
        <v>503</v>
      </c>
      <c r="IY49" s="120" t="s">
        <v>503</v>
      </c>
      <c r="IZ49" s="120" t="s">
        <v>503</v>
      </c>
      <c r="JA49" s="120" t="s">
        <v>503</v>
      </c>
      <c r="JB49" s="120" t="s">
        <v>503</v>
      </c>
      <c r="JC49" s="120" t="s">
        <v>503</v>
      </c>
      <c r="JD49" s="120" t="s">
        <v>664</v>
      </c>
      <c r="JE49" s="120" t="s">
        <v>664</v>
      </c>
      <c r="JF49" s="120" t="s">
        <v>664</v>
      </c>
      <c r="JG49" s="118" t="s">
        <v>502</v>
      </c>
      <c r="JH49" s="118" t="s">
        <v>502</v>
      </c>
      <c r="JI49" s="118" t="s">
        <v>502</v>
      </c>
      <c r="JJ49" s="118" t="s">
        <v>502</v>
      </c>
      <c r="JK49" s="118" t="s">
        <v>502</v>
      </c>
      <c r="JL49" s="118" t="s">
        <v>502</v>
      </c>
      <c r="JM49" s="118" t="s">
        <v>502</v>
      </c>
      <c r="JN49" s="118" t="s">
        <v>502</v>
      </c>
      <c r="JO49" s="118" t="s">
        <v>502</v>
      </c>
      <c r="JP49" s="110">
        <v>115100</v>
      </c>
      <c r="JQ49" s="111">
        <v>137518.42294400002</v>
      </c>
      <c r="JR49" s="112">
        <f t="shared" si="0"/>
        <v>2</v>
      </c>
      <c r="JS49" s="113">
        <f t="shared" si="1"/>
        <v>129250.065</v>
      </c>
      <c r="JT49" s="114">
        <f t="shared" si="2"/>
        <v>129300</v>
      </c>
      <c r="JU49" s="167"/>
    </row>
    <row r="50" spans="1:281" ht="101.25" customHeight="1" x14ac:dyDescent="0.2">
      <c r="A50" s="98">
        <v>147</v>
      </c>
      <c r="B50" s="99">
        <v>147</v>
      </c>
      <c r="C50" s="39" t="s">
        <v>12</v>
      </c>
      <c r="D50" s="139" t="s">
        <v>30</v>
      </c>
      <c r="E50" s="170">
        <v>80141600</v>
      </c>
      <c r="F50" s="135" t="s">
        <v>184</v>
      </c>
      <c r="G50" s="102" t="s">
        <v>51</v>
      </c>
      <c r="H50" s="103" t="s">
        <v>501</v>
      </c>
      <c r="I50" s="108" t="s">
        <v>503</v>
      </c>
      <c r="J50" s="108" t="s">
        <v>503</v>
      </c>
      <c r="K50" s="108" t="s">
        <v>503</v>
      </c>
      <c r="L50" s="118">
        <v>95930</v>
      </c>
      <c r="M50" s="171">
        <f>+L50*19%</f>
        <v>18226.7</v>
      </c>
      <c r="N50" s="118">
        <f>+L50+M50</f>
        <v>114156.7</v>
      </c>
      <c r="O50" s="108" t="s">
        <v>503</v>
      </c>
      <c r="P50" s="108" t="s">
        <v>503</v>
      </c>
      <c r="Q50" s="108" t="s">
        <v>503</v>
      </c>
      <c r="R50" s="108" t="s">
        <v>503</v>
      </c>
      <c r="S50" s="108" t="s">
        <v>503</v>
      </c>
      <c r="T50" s="108" t="s">
        <v>503</v>
      </c>
      <c r="U50" s="118" t="s">
        <v>502</v>
      </c>
      <c r="V50" s="118" t="s">
        <v>502</v>
      </c>
      <c r="W50" s="118" t="s">
        <v>502</v>
      </c>
      <c r="X50" s="108" t="s">
        <v>503</v>
      </c>
      <c r="Y50" s="108" t="s">
        <v>503</v>
      </c>
      <c r="Z50" s="108" t="s">
        <v>503</v>
      </c>
      <c r="AA50" s="108" t="s">
        <v>503</v>
      </c>
      <c r="AB50" s="108" t="s">
        <v>503</v>
      </c>
      <c r="AC50" s="108" t="s">
        <v>503</v>
      </c>
      <c r="AD50" s="108" t="s">
        <v>503</v>
      </c>
      <c r="AE50" s="108" t="s">
        <v>503</v>
      </c>
      <c r="AF50" s="108" t="s">
        <v>503</v>
      </c>
      <c r="AG50" s="108" t="s">
        <v>503</v>
      </c>
      <c r="AH50" s="108" t="s">
        <v>503</v>
      </c>
      <c r="AI50" s="108" t="s">
        <v>503</v>
      </c>
      <c r="AJ50" s="108" t="s">
        <v>503</v>
      </c>
      <c r="AK50" s="108" t="s">
        <v>503</v>
      </c>
      <c r="AL50" s="108" t="s">
        <v>503</v>
      </c>
      <c r="AM50" s="108" t="s">
        <v>503</v>
      </c>
      <c r="AN50" s="108" t="s">
        <v>503</v>
      </c>
      <c r="AO50" s="108" t="s">
        <v>503</v>
      </c>
      <c r="AP50" s="108" t="s">
        <v>503</v>
      </c>
      <c r="AQ50" s="108" t="s">
        <v>503</v>
      </c>
      <c r="AR50" s="108" t="s">
        <v>503</v>
      </c>
      <c r="AS50" s="118" t="s">
        <v>502</v>
      </c>
      <c r="AT50" s="118" t="s">
        <v>502</v>
      </c>
      <c r="AU50" s="118" t="s">
        <v>502</v>
      </c>
      <c r="AV50" s="108" t="s">
        <v>503</v>
      </c>
      <c r="AW50" s="108" t="s">
        <v>503</v>
      </c>
      <c r="AX50" s="108" t="s">
        <v>503</v>
      </c>
      <c r="AY50" s="108" t="s">
        <v>503</v>
      </c>
      <c r="AZ50" s="108" t="s">
        <v>503</v>
      </c>
      <c r="BA50" s="108" t="s">
        <v>503</v>
      </c>
      <c r="BB50" s="108" t="s">
        <v>503</v>
      </c>
      <c r="BC50" s="108" t="s">
        <v>503</v>
      </c>
      <c r="BD50" s="108" t="s">
        <v>503</v>
      </c>
      <c r="BE50" s="118" t="s">
        <v>502</v>
      </c>
      <c r="BF50" s="118" t="s">
        <v>502</v>
      </c>
      <c r="BG50" s="118" t="s">
        <v>502</v>
      </c>
      <c r="BH50" s="108" t="s">
        <v>503</v>
      </c>
      <c r="BI50" s="108" t="s">
        <v>503</v>
      </c>
      <c r="BJ50" s="108" t="s">
        <v>503</v>
      </c>
      <c r="BK50" s="108" t="s">
        <v>503</v>
      </c>
      <c r="BL50" s="108" t="s">
        <v>503</v>
      </c>
      <c r="BM50" s="108" t="s">
        <v>503</v>
      </c>
      <c r="BN50" s="108" t="s">
        <v>503</v>
      </c>
      <c r="BO50" s="108" t="s">
        <v>503</v>
      </c>
      <c r="BP50" s="108" t="s">
        <v>503</v>
      </c>
      <c r="BQ50" s="108" t="s">
        <v>503</v>
      </c>
      <c r="BR50" s="108" t="s">
        <v>503</v>
      </c>
      <c r="BS50" s="108" t="s">
        <v>503</v>
      </c>
      <c r="BT50" s="108" t="s">
        <v>503</v>
      </c>
      <c r="BU50" s="108" t="s">
        <v>503</v>
      </c>
      <c r="BV50" s="108" t="s">
        <v>503</v>
      </c>
      <c r="BW50" s="108" t="s">
        <v>503</v>
      </c>
      <c r="BX50" s="108" t="s">
        <v>503</v>
      </c>
      <c r="BY50" s="108" t="s">
        <v>503</v>
      </c>
      <c r="BZ50" s="108" t="s">
        <v>503</v>
      </c>
      <c r="CA50" s="108" t="s">
        <v>503</v>
      </c>
      <c r="CB50" s="108" t="s">
        <v>503</v>
      </c>
      <c r="CC50" s="108" t="s">
        <v>503</v>
      </c>
      <c r="CD50" s="108" t="s">
        <v>503</v>
      </c>
      <c r="CE50" s="108" t="s">
        <v>503</v>
      </c>
      <c r="CF50" s="108" t="s">
        <v>503</v>
      </c>
      <c r="CG50" s="108" t="s">
        <v>503</v>
      </c>
      <c r="CH50" s="108" t="s">
        <v>503</v>
      </c>
      <c r="CI50" s="108" t="s">
        <v>503</v>
      </c>
      <c r="CJ50" s="108" t="s">
        <v>503</v>
      </c>
      <c r="CK50" s="108" t="s">
        <v>503</v>
      </c>
      <c r="CL50" s="108" t="s">
        <v>503</v>
      </c>
      <c r="CM50" s="108" t="s">
        <v>503</v>
      </c>
      <c r="CN50" s="108" t="s">
        <v>503</v>
      </c>
      <c r="CO50" s="108" t="s">
        <v>503</v>
      </c>
      <c r="CP50" s="108" t="s">
        <v>503</v>
      </c>
      <c r="CQ50" s="108" t="s">
        <v>503</v>
      </c>
      <c r="CR50" s="108" t="s">
        <v>503</v>
      </c>
      <c r="CS50" s="108" t="s">
        <v>503</v>
      </c>
      <c r="CT50" s="108" t="s">
        <v>503</v>
      </c>
      <c r="CU50" s="108" t="s">
        <v>503</v>
      </c>
      <c r="CV50" s="108" t="s">
        <v>503</v>
      </c>
      <c r="CW50" s="108" t="s">
        <v>503</v>
      </c>
      <c r="CX50" s="108" t="s">
        <v>503</v>
      </c>
      <c r="CY50" s="108" t="s">
        <v>503</v>
      </c>
      <c r="CZ50" s="108" t="s">
        <v>503</v>
      </c>
      <c r="DA50" s="108" t="s">
        <v>503</v>
      </c>
      <c r="DB50" s="108" t="s">
        <v>503</v>
      </c>
      <c r="DC50" s="108" t="s">
        <v>503</v>
      </c>
      <c r="DD50" s="108" t="s">
        <v>503</v>
      </c>
      <c r="DE50" s="108" t="s">
        <v>503</v>
      </c>
      <c r="DF50" s="108" t="s">
        <v>503</v>
      </c>
      <c r="DG50" s="108" t="s">
        <v>503</v>
      </c>
      <c r="DH50" s="108" t="s">
        <v>503</v>
      </c>
      <c r="DI50" s="108" t="s">
        <v>503</v>
      </c>
      <c r="DJ50" s="108" t="s">
        <v>503</v>
      </c>
      <c r="DK50" s="108" t="s">
        <v>503</v>
      </c>
      <c r="DL50" s="108" t="s">
        <v>503</v>
      </c>
      <c r="DM50" s="108" t="s">
        <v>503</v>
      </c>
      <c r="DN50" s="108" t="s">
        <v>503</v>
      </c>
      <c r="DO50" s="108" t="s">
        <v>503</v>
      </c>
      <c r="DP50" s="108" t="s">
        <v>669</v>
      </c>
      <c r="DQ50" s="108" t="s">
        <v>669</v>
      </c>
      <c r="DR50" s="108" t="s">
        <v>669</v>
      </c>
      <c r="DS50" s="108" t="s">
        <v>669</v>
      </c>
      <c r="DT50" s="108" t="s">
        <v>669</v>
      </c>
      <c r="DU50" s="108" t="s">
        <v>669</v>
      </c>
      <c r="DV50" s="108" t="s">
        <v>503</v>
      </c>
      <c r="DW50" s="108" t="s">
        <v>503</v>
      </c>
      <c r="DX50" s="108" t="s">
        <v>503</v>
      </c>
      <c r="DY50" s="108" t="s">
        <v>503</v>
      </c>
      <c r="DZ50" s="108" t="s">
        <v>503</v>
      </c>
      <c r="EA50" s="108" t="s">
        <v>503</v>
      </c>
      <c r="EB50" s="108" t="s">
        <v>503</v>
      </c>
      <c r="EC50" s="108" t="s">
        <v>503</v>
      </c>
      <c r="ED50" s="108" t="s">
        <v>503</v>
      </c>
      <c r="EE50" s="108" t="s">
        <v>503</v>
      </c>
      <c r="EF50" s="108" t="s">
        <v>503</v>
      </c>
      <c r="EG50" s="108" t="s">
        <v>503</v>
      </c>
      <c r="EH50" s="108" t="s">
        <v>503</v>
      </c>
      <c r="EI50" s="108" t="s">
        <v>503</v>
      </c>
      <c r="EJ50" s="108" t="s">
        <v>503</v>
      </c>
      <c r="EK50" s="108" t="s">
        <v>503</v>
      </c>
      <c r="EL50" s="108" t="s">
        <v>503</v>
      </c>
      <c r="EM50" s="108" t="s">
        <v>503</v>
      </c>
      <c r="EN50" s="108" t="s">
        <v>503</v>
      </c>
      <c r="EO50" s="108" t="s">
        <v>503</v>
      </c>
      <c r="EP50" s="108" t="s">
        <v>503</v>
      </c>
      <c r="EQ50" s="108" t="s">
        <v>502</v>
      </c>
      <c r="ER50" s="108" t="s">
        <v>502</v>
      </c>
      <c r="ES50" s="108" t="s">
        <v>502</v>
      </c>
      <c r="ET50" s="108" t="s">
        <v>502</v>
      </c>
      <c r="EU50" s="108" t="s">
        <v>502</v>
      </c>
      <c r="EV50" s="108" t="s">
        <v>502</v>
      </c>
      <c r="EW50" s="108" t="s">
        <v>502</v>
      </c>
      <c r="EX50" s="108" t="s">
        <v>502</v>
      </c>
      <c r="EY50" s="108" t="s">
        <v>502</v>
      </c>
      <c r="EZ50" s="71">
        <v>130000</v>
      </c>
      <c r="FA50" s="71">
        <f>+EZ50*19%</f>
        <v>24700</v>
      </c>
      <c r="FB50" s="71">
        <f>+EZ50+FA50</f>
        <v>154700</v>
      </c>
      <c r="FC50" s="108" t="s">
        <v>502</v>
      </c>
      <c r="FD50" s="108" t="s">
        <v>502</v>
      </c>
      <c r="FE50" s="108" t="s">
        <v>502</v>
      </c>
      <c r="FF50" s="108" t="s">
        <v>503</v>
      </c>
      <c r="FG50" s="108" t="s">
        <v>503</v>
      </c>
      <c r="FH50" s="108" t="s">
        <v>503</v>
      </c>
      <c r="FI50" s="108" t="s">
        <v>503</v>
      </c>
      <c r="FJ50" s="108" t="s">
        <v>503</v>
      </c>
      <c r="FK50" s="108" t="s">
        <v>503</v>
      </c>
      <c r="FL50" s="108" t="s">
        <v>503</v>
      </c>
      <c r="FM50" s="108" t="s">
        <v>503</v>
      </c>
      <c r="FN50" s="108" t="s">
        <v>503</v>
      </c>
      <c r="FO50" s="108" t="s">
        <v>502</v>
      </c>
      <c r="FP50" s="108" t="s">
        <v>502</v>
      </c>
      <c r="FQ50" s="108" t="s">
        <v>502</v>
      </c>
      <c r="FR50" s="108" t="s">
        <v>502</v>
      </c>
      <c r="FS50" s="108" t="s">
        <v>502</v>
      </c>
      <c r="FT50" s="108" t="s">
        <v>502</v>
      </c>
      <c r="FU50" s="108" t="s">
        <v>502</v>
      </c>
      <c r="FV50" s="108" t="s">
        <v>502</v>
      </c>
      <c r="FW50" s="108" t="s">
        <v>502</v>
      </c>
      <c r="FX50" s="108" t="s">
        <v>503</v>
      </c>
      <c r="FY50" s="108" t="s">
        <v>503</v>
      </c>
      <c r="FZ50" s="108" t="s">
        <v>503</v>
      </c>
      <c r="GA50" s="108" t="s">
        <v>503</v>
      </c>
      <c r="GB50" s="108" t="s">
        <v>503</v>
      </c>
      <c r="GC50" s="108" t="s">
        <v>503</v>
      </c>
      <c r="GD50" s="108" t="s">
        <v>503</v>
      </c>
      <c r="GE50" s="108" t="s">
        <v>503</v>
      </c>
      <c r="GF50" s="108" t="s">
        <v>503</v>
      </c>
      <c r="GG50" s="108" t="s">
        <v>669</v>
      </c>
      <c r="GH50" s="108" t="s">
        <v>669</v>
      </c>
      <c r="GI50" s="108" t="s">
        <v>669</v>
      </c>
      <c r="GJ50" s="108" t="s">
        <v>669</v>
      </c>
      <c r="GK50" s="108" t="s">
        <v>669</v>
      </c>
      <c r="GL50" s="108" t="s">
        <v>669</v>
      </c>
      <c r="GM50" s="108" t="s">
        <v>502</v>
      </c>
      <c r="GN50" s="108" t="s">
        <v>502</v>
      </c>
      <c r="GO50" s="108" t="s">
        <v>502</v>
      </c>
      <c r="GP50" s="108" t="s">
        <v>664</v>
      </c>
      <c r="GQ50" s="108" t="s">
        <v>664</v>
      </c>
      <c r="GR50" s="108" t="s">
        <v>664</v>
      </c>
      <c r="GS50" s="108" t="s">
        <v>503</v>
      </c>
      <c r="GT50" s="108" t="s">
        <v>503</v>
      </c>
      <c r="GU50" s="108" t="s">
        <v>503</v>
      </c>
      <c r="GV50" s="108" t="s">
        <v>502</v>
      </c>
      <c r="GW50" s="108" t="s">
        <v>502</v>
      </c>
      <c r="GX50" s="108" t="s">
        <v>502</v>
      </c>
      <c r="GY50" s="108" t="s">
        <v>664</v>
      </c>
      <c r="GZ50" s="108" t="s">
        <v>664</v>
      </c>
      <c r="HA50" s="108" t="s">
        <v>664</v>
      </c>
      <c r="HB50" s="108" t="s">
        <v>664</v>
      </c>
      <c r="HC50" s="108" t="s">
        <v>664</v>
      </c>
      <c r="HD50" s="108" t="s">
        <v>664</v>
      </c>
      <c r="HE50" s="108" t="s">
        <v>664</v>
      </c>
      <c r="HF50" s="108" t="s">
        <v>664</v>
      </c>
      <c r="HG50" s="108" t="s">
        <v>664</v>
      </c>
      <c r="HH50" s="108" t="s">
        <v>664</v>
      </c>
      <c r="HI50" s="108" t="s">
        <v>664</v>
      </c>
      <c r="HJ50" s="108" t="s">
        <v>664</v>
      </c>
      <c r="HK50" s="108" t="s">
        <v>664</v>
      </c>
      <c r="HL50" s="108" t="s">
        <v>664</v>
      </c>
      <c r="HM50" s="108" t="s">
        <v>664</v>
      </c>
      <c r="HN50" s="108" t="s">
        <v>664</v>
      </c>
      <c r="HO50" s="108" t="s">
        <v>664</v>
      </c>
      <c r="HP50" s="108" t="s">
        <v>664</v>
      </c>
      <c r="HQ50" s="108" t="s">
        <v>503</v>
      </c>
      <c r="HR50" s="108" t="s">
        <v>503</v>
      </c>
      <c r="HS50" s="108" t="s">
        <v>503</v>
      </c>
      <c r="HT50" s="108" t="s">
        <v>502</v>
      </c>
      <c r="HU50" s="108" t="s">
        <v>502</v>
      </c>
      <c r="HV50" s="108" t="s">
        <v>502</v>
      </c>
      <c r="HW50" s="108" t="s">
        <v>502</v>
      </c>
      <c r="HX50" s="108" t="s">
        <v>502</v>
      </c>
      <c r="HY50" s="108" t="s">
        <v>502</v>
      </c>
      <c r="HZ50" s="118" t="s">
        <v>502</v>
      </c>
      <c r="IA50" s="118" t="s">
        <v>502</v>
      </c>
      <c r="IB50" s="118" t="s">
        <v>502</v>
      </c>
      <c r="IC50" s="118" t="s">
        <v>502</v>
      </c>
      <c r="ID50" s="118" t="s">
        <v>502</v>
      </c>
      <c r="IE50" s="118" t="s">
        <v>502</v>
      </c>
      <c r="IF50" s="118" t="s">
        <v>502</v>
      </c>
      <c r="IG50" s="118" t="s">
        <v>502</v>
      </c>
      <c r="IH50" s="118" t="s">
        <v>502</v>
      </c>
      <c r="II50" s="118" t="s">
        <v>502</v>
      </c>
      <c r="IJ50" s="118" t="s">
        <v>502</v>
      </c>
      <c r="IK50" s="118" t="s">
        <v>502</v>
      </c>
      <c r="IL50" s="118" t="s">
        <v>502</v>
      </c>
      <c r="IM50" s="118" t="s">
        <v>502</v>
      </c>
      <c r="IN50" s="118" t="s">
        <v>502</v>
      </c>
      <c r="IO50" s="120" t="s">
        <v>503</v>
      </c>
      <c r="IP50" s="120" t="s">
        <v>503</v>
      </c>
      <c r="IQ50" s="120" t="s">
        <v>503</v>
      </c>
      <c r="IR50" s="118" t="s">
        <v>669</v>
      </c>
      <c r="IS50" s="118" t="s">
        <v>669</v>
      </c>
      <c r="IT50" s="118" t="s">
        <v>669</v>
      </c>
      <c r="IU50" s="120" t="s">
        <v>503</v>
      </c>
      <c r="IV50" s="120" t="s">
        <v>503</v>
      </c>
      <c r="IW50" s="120" t="s">
        <v>503</v>
      </c>
      <c r="IX50" s="120" t="s">
        <v>503</v>
      </c>
      <c r="IY50" s="120" t="s">
        <v>503</v>
      </c>
      <c r="IZ50" s="120" t="s">
        <v>503</v>
      </c>
      <c r="JA50" s="120" t="s">
        <v>503</v>
      </c>
      <c r="JB50" s="120" t="s">
        <v>503</v>
      </c>
      <c r="JC50" s="120" t="s">
        <v>503</v>
      </c>
      <c r="JD50" s="120" t="s">
        <v>664</v>
      </c>
      <c r="JE50" s="120" t="s">
        <v>664</v>
      </c>
      <c r="JF50" s="120" t="s">
        <v>664</v>
      </c>
      <c r="JG50" s="118" t="s">
        <v>502</v>
      </c>
      <c r="JH50" s="118" t="s">
        <v>502</v>
      </c>
      <c r="JI50" s="118" t="s">
        <v>502</v>
      </c>
      <c r="JJ50" s="118" t="s">
        <v>502</v>
      </c>
      <c r="JK50" s="118" t="s">
        <v>502</v>
      </c>
      <c r="JL50" s="118" t="s">
        <v>502</v>
      </c>
      <c r="JM50" s="118" t="s">
        <v>502</v>
      </c>
      <c r="JN50" s="118" t="s">
        <v>502</v>
      </c>
      <c r="JO50" s="118" t="s">
        <v>502</v>
      </c>
      <c r="JP50" s="110">
        <v>125800</v>
      </c>
      <c r="JQ50" s="111">
        <v>150302.49875199998</v>
      </c>
      <c r="JR50" s="112">
        <f t="shared" si="0"/>
        <v>2</v>
      </c>
      <c r="JS50" s="113">
        <f t="shared" si="1"/>
        <v>134428.35</v>
      </c>
      <c r="JT50" s="114">
        <f t="shared" si="2"/>
        <v>134450</v>
      </c>
      <c r="JU50" s="167"/>
    </row>
    <row r="51" spans="1:281" ht="101.25" customHeight="1" x14ac:dyDescent="0.2">
      <c r="A51" s="98">
        <v>149</v>
      </c>
      <c r="B51" s="99">
        <v>149</v>
      </c>
      <c r="C51" s="39" t="s">
        <v>12</v>
      </c>
      <c r="D51" s="139" t="s">
        <v>125</v>
      </c>
      <c r="E51" s="172">
        <v>95131700</v>
      </c>
      <c r="F51" s="168" t="s">
        <v>213</v>
      </c>
      <c r="G51" s="102" t="s">
        <v>86</v>
      </c>
      <c r="H51" s="103" t="s">
        <v>501</v>
      </c>
      <c r="I51" s="108" t="s">
        <v>503</v>
      </c>
      <c r="J51" s="108" t="s">
        <v>503</v>
      </c>
      <c r="K51" s="108" t="s">
        <v>503</v>
      </c>
      <c r="L51" s="118" t="s">
        <v>502</v>
      </c>
      <c r="M51" s="118" t="s">
        <v>502</v>
      </c>
      <c r="N51" s="118" t="s">
        <v>502</v>
      </c>
      <c r="O51" s="108" t="s">
        <v>503</v>
      </c>
      <c r="P51" s="108" t="s">
        <v>503</v>
      </c>
      <c r="Q51" s="108" t="s">
        <v>503</v>
      </c>
      <c r="R51" s="108" t="s">
        <v>503</v>
      </c>
      <c r="S51" s="108" t="s">
        <v>503</v>
      </c>
      <c r="T51" s="108" t="s">
        <v>503</v>
      </c>
      <c r="U51" s="118" t="s">
        <v>502</v>
      </c>
      <c r="V51" s="118" t="s">
        <v>502</v>
      </c>
      <c r="W51" s="118" t="s">
        <v>502</v>
      </c>
      <c r="X51" s="108" t="s">
        <v>503</v>
      </c>
      <c r="Y51" s="108" t="s">
        <v>503</v>
      </c>
      <c r="Z51" s="108" t="s">
        <v>503</v>
      </c>
      <c r="AA51" s="108" t="s">
        <v>503</v>
      </c>
      <c r="AB51" s="108" t="s">
        <v>503</v>
      </c>
      <c r="AC51" s="108" t="s">
        <v>503</v>
      </c>
      <c r="AD51" s="108" t="s">
        <v>503</v>
      </c>
      <c r="AE51" s="108" t="s">
        <v>503</v>
      </c>
      <c r="AF51" s="108" t="s">
        <v>503</v>
      </c>
      <c r="AG51" s="108" t="s">
        <v>503</v>
      </c>
      <c r="AH51" s="108" t="s">
        <v>503</v>
      </c>
      <c r="AI51" s="108" t="s">
        <v>503</v>
      </c>
      <c r="AJ51" s="108" t="s">
        <v>503</v>
      </c>
      <c r="AK51" s="108" t="s">
        <v>503</v>
      </c>
      <c r="AL51" s="108" t="s">
        <v>503</v>
      </c>
      <c r="AM51" s="108" t="s">
        <v>503</v>
      </c>
      <c r="AN51" s="108" t="s">
        <v>503</v>
      </c>
      <c r="AO51" s="108" t="s">
        <v>503</v>
      </c>
      <c r="AP51" s="108" t="s">
        <v>503</v>
      </c>
      <c r="AQ51" s="108" t="s">
        <v>503</v>
      </c>
      <c r="AR51" s="108" t="s">
        <v>503</v>
      </c>
      <c r="AS51" s="71">
        <v>1600000</v>
      </c>
      <c r="AT51" s="117">
        <f>+AS51*19%</f>
        <v>304000</v>
      </c>
      <c r="AU51" s="71">
        <f t="shared" si="22"/>
        <v>1904000</v>
      </c>
      <c r="AV51" s="108" t="s">
        <v>503</v>
      </c>
      <c r="AW51" s="108" t="s">
        <v>503</v>
      </c>
      <c r="AX51" s="108" t="s">
        <v>503</v>
      </c>
      <c r="AY51" s="108" t="s">
        <v>503</v>
      </c>
      <c r="AZ51" s="108" t="s">
        <v>503</v>
      </c>
      <c r="BA51" s="108" t="s">
        <v>503</v>
      </c>
      <c r="BB51" s="108" t="s">
        <v>503</v>
      </c>
      <c r="BC51" s="108" t="s">
        <v>503</v>
      </c>
      <c r="BD51" s="108" t="s">
        <v>503</v>
      </c>
      <c r="BE51" s="108" t="s">
        <v>503</v>
      </c>
      <c r="BF51" s="108" t="s">
        <v>503</v>
      </c>
      <c r="BG51" s="108" t="s">
        <v>503</v>
      </c>
      <c r="BH51" s="108" t="s">
        <v>503</v>
      </c>
      <c r="BI51" s="108" t="s">
        <v>503</v>
      </c>
      <c r="BJ51" s="108" t="s">
        <v>503</v>
      </c>
      <c r="BK51" s="108" t="s">
        <v>503</v>
      </c>
      <c r="BL51" s="108" t="s">
        <v>503</v>
      </c>
      <c r="BM51" s="108" t="s">
        <v>503</v>
      </c>
      <c r="BN51" s="108" t="s">
        <v>503</v>
      </c>
      <c r="BO51" s="108" t="s">
        <v>503</v>
      </c>
      <c r="BP51" s="108" t="s">
        <v>503</v>
      </c>
      <c r="BQ51" s="108" t="s">
        <v>503</v>
      </c>
      <c r="BR51" s="108" t="s">
        <v>503</v>
      </c>
      <c r="BS51" s="108" t="s">
        <v>503</v>
      </c>
      <c r="BT51" s="108" t="s">
        <v>503</v>
      </c>
      <c r="BU51" s="108" t="s">
        <v>503</v>
      </c>
      <c r="BV51" s="108" t="s">
        <v>503</v>
      </c>
      <c r="BW51" s="108" t="s">
        <v>503</v>
      </c>
      <c r="BX51" s="108" t="s">
        <v>503</v>
      </c>
      <c r="BY51" s="108" t="s">
        <v>503</v>
      </c>
      <c r="BZ51" s="108" t="s">
        <v>503</v>
      </c>
      <c r="CA51" s="108" t="s">
        <v>503</v>
      </c>
      <c r="CB51" s="108" t="s">
        <v>503</v>
      </c>
      <c r="CC51" s="108" t="s">
        <v>503</v>
      </c>
      <c r="CD51" s="108" t="s">
        <v>503</v>
      </c>
      <c r="CE51" s="108" t="s">
        <v>503</v>
      </c>
      <c r="CF51" s="108" t="s">
        <v>503</v>
      </c>
      <c r="CG51" s="108" t="s">
        <v>503</v>
      </c>
      <c r="CH51" s="108" t="s">
        <v>503</v>
      </c>
      <c r="CI51" s="108" t="s">
        <v>503</v>
      </c>
      <c r="CJ51" s="108" t="s">
        <v>503</v>
      </c>
      <c r="CK51" s="108" t="s">
        <v>503</v>
      </c>
      <c r="CL51" s="108" t="s">
        <v>503</v>
      </c>
      <c r="CM51" s="108" t="s">
        <v>503</v>
      </c>
      <c r="CN51" s="108" t="s">
        <v>503</v>
      </c>
      <c r="CO51" s="108" t="s">
        <v>503</v>
      </c>
      <c r="CP51" s="108" t="s">
        <v>503</v>
      </c>
      <c r="CQ51" s="108" t="s">
        <v>503</v>
      </c>
      <c r="CR51" s="108" t="s">
        <v>503</v>
      </c>
      <c r="CS51" s="108" t="s">
        <v>503</v>
      </c>
      <c r="CT51" s="108" t="s">
        <v>503</v>
      </c>
      <c r="CU51" s="108" t="s">
        <v>503</v>
      </c>
      <c r="CV51" s="108" t="s">
        <v>503</v>
      </c>
      <c r="CW51" s="108" t="s">
        <v>503</v>
      </c>
      <c r="CX51" s="108" t="s">
        <v>503</v>
      </c>
      <c r="CY51" s="108" t="s">
        <v>503</v>
      </c>
      <c r="CZ51" s="108" t="s">
        <v>503</v>
      </c>
      <c r="DA51" s="108" t="s">
        <v>503</v>
      </c>
      <c r="DB51" s="108" t="s">
        <v>503</v>
      </c>
      <c r="DC51" s="108" t="s">
        <v>503</v>
      </c>
      <c r="DD51" s="108" t="s">
        <v>503</v>
      </c>
      <c r="DE51" s="108" t="s">
        <v>503</v>
      </c>
      <c r="DF51" s="108" t="s">
        <v>503</v>
      </c>
      <c r="DG51" s="108" t="s">
        <v>503</v>
      </c>
      <c r="DH51" s="108" t="s">
        <v>503</v>
      </c>
      <c r="DI51" s="108" t="s">
        <v>503</v>
      </c>
      <c r="DJ51" s="108" t="s">
        <v>503</v>
      </c>
      <c r="DK51" s="108" t="s">
        <v>503</v>
      </c>
      <c r="DL51" s="108" t="s">
        <v>503</v>
      </c>
      <c r="DM51" s="108" t="s">
        <v>503</v>
      </c>
      <c r="DN51" s="108" t="s">
        <v>503</v>
      </c>
      <c r="DO51" s="108" t="s">
        <v>503</v>
      </c>
      <c r="DP51" s="108" t="s">
        <v>669</v>
      </c>
      <c r="DQ51" s="108" t="s">
        <v>669</v>
      </c>
      <c r="DR51" s="108" t="s">
        <v>669</v>
      </c>
      <c r="DS51" s="108" t="s">
        <v>669</v>
      </c>
      <c r="DT51" s="108" t="s">
        <v>669</v>
      </c>
      <c r="DU51" s="108" t="s">
        <v>669</v>
      </c>
      <c r="DV51" s="108" t="s">
        <v>503</v>
      </c>
      <c r="DW51" s="108" t="s">
        <v>503</v>
      </c>
      <c r="DX51" s="108" t="s">
        <v>503</v>
      </c>
      <c r="DY51" s="108" t="s">
        <v>503</v>
      </c>
      <c r="DZ51" s="108" t="s">
        <v>503</v>
      </c>
      <c r="EA51" s="108" t="s">
        <v>503</v>
      </c>
      <c r="EB51" s="108" t="s">
        <v>503</v>
      </c>
      <c r="EC51" s="108" t="s">
        <v>503</v>
      </c>
      <c r="ED51" s="108" t="s">
        <v>503</v>
      </c>
      <c r="EE51" s="108" t="s">
        <v>503</v>
      </c>
      <c r="EF51" s="108" t="s">
        <v>503</v>
      </c>
      <c r="EG51" s="108" t="s">
        <v>503</v>
      </c>
      <c r="EH51" s="108" t="s">
        <v>503</v>
      </c>
      <c r="EI51" s="108" t="s">
        <v>503</v>
      </c>
      <c r="EJ51" s="108" t="s">
        <v>503</v>
      </c>
      <c r="EK51" s="108" t="s">
        <v>503</v>
      </c>
      <c r="EL51" s="108" t="s">
        <v>503</v>
      </c>
      <c r="EM51" s="108" t="s">
        <v>503</v>
      </c>
      <c r="EN51" s="108" t="s">
        <v>503</v>
      </c>
      <c r="EO51" s="108" t="s">
        <v>503</v>
      </c>
      <c r="EP51" s="108" t="s">
        <v>503</v>
      </c>
      <c r="EQ51" s="108" t="s">
        <v>502</v>
      </c>
      <c r="ER51" s="108" t="s">
        <v>502</v>
      </c>
      <c r="ES51" s="108" t="s">
        <v>502</v>
      </c>
      <c r="ET51" s="108" t="s">
        <v>502</v>
      </c>
      <c r="EU51" s="108" t="s">
        <v>502</v>
      </c>
      <c r="EV51" s="108" t="s">
        <v>502</v>
      </c>
      <c r="EW51" s="108" t="s">
        <v>502</v>
      </c>
      <c r="EX51" s="108" t="s">
        <v>502</v>
      </c>
      <c r="EY51" s="108" t="s">
        <v>502</v>
      </c>
      <c r="EZ51" s="71">
        <v>1750000</v>
      </c>
      <c r="FA51" s="71">
        <f>+EZ51*19%</f>
        <v>332500</v>
      </c>
      <c r="FB51" s="71">
        <f>+EZ51+FA51</f>
        <v>2082500</v>
      </c>
      <c r="FC51" s="108" t="s">
        <v>502</v>
      </c>
      <c r="FD51" s="108" t="s">
        <v>502</v>
      </c>
      <c r="FE51" s="108" t="s">
        <v>502</v>
      </c>
      <c r="FF51" s="108" t="s">
        <v>503</v>
      </c>
      <c r="FG51" s="108" t="s">
        <v>503</v>
      </c>
      <c r="FH51" s="108" t="s">
        <v>503</v>
      </c>
      <c r="FI51" s="108" t="s">
        <v>503</v>
      </c>
      <c r="FJ51" s="108" t="s">
        <v>503</v>
      </c>
      <c r="FK51" s="108" t="s">
        <v>503</v>
      </c>
      <c r="FL51" s="108" t="s">
        <v>503</v>
      </c>
      <c r="FM51" s="108" t="s">
        <v>503</v>
      </c>
      <c r="FN51" s="108" t="s">
        <v>503</v>
      </c>
      <c r="FO51" s="108" t="s">
        <v>502</v>
      </c>
      <c r="FP51" s="108" t="s">
        <v>502</v>
      </c>
      <c r="FQ51" s="108" t="s">
        <v>502</v>
      </c>
      <c r="FR51" s="108" t="s">
        <v>502</v>
      </c>
      <c r="FS51" s="108" t="s">
        <v>502</v>
      </c>
      <c r="FT51" s="108" t="s">
        <v>502</v>
      </c>
      <c r="FU51" s="108" t="s">
        <v>502</v>
      </c>
      <c r="FV51" s="108" t="s">
        <v>502</v>
      </c>
      <c r="FW51" s="108" t="s">
        <v>502</v>
      </c>
      <c r="FX51" s="108" t="s">
        <v>503</v>
      </c>
      <c r="FY51" s="108" t="s">
        <v>503</v>
      </c>
      <c r="FZ51" s="108" t="s">
        <v>503</v>
      </c>
      <c r="GA51" s="108" t="s">
        <v>503</v>
      </c>
      <c r="GB51" s="108" t="s">
        <v>503</v>
      </c>
      <c r="GC51" s="108" t="s">
        <v>503</v>
      </c>
      <c r="GD51" s="108" t="s">
        <v>503</v>
      </c>
      <c r="GE51" s="108" t="s">
        <v>503</v>
      </c>
      <c r="GF51" s="108" t="s">
        <v>503</v>
      </c>
      <c r="GG51" s="108" t="s">
        <v>669</v>
      </c>
      <c r="GH51" s="108" t="s">
        <v>669</v>
      </c>
      <c r="GI51" s="108" t="s">
        <v>669</v>
      </c>
      <c r="GJ51" s="108" t="s">
        <v>669</v>
      </c>
      <c r="GK51" s="108" t="s">
        <v>669</v>
      </c>
      <c r="GL51" s="108" t="s">
        <v>669</v>
      </c>
      <c r="GM51" s="108" t="s">
        <v>502</v>
      </c>
      <c r="GN51" s="108" t="s">
        <v>502</v>
      </c>
      <c r="GO51" s="108" t="s">
        <v>502</v>
      </c>
      <c r="GP51" s="108" t="s">
        <v>664</v>
      </c>
      <c r="GQ51" s="108" t="s">
        <v>664</v>
      </c>
      <c r="GR51" s="108" t="s">
        <v>664</v>
      </c>
      <c r="GS51" s="47">
        <f>1600000/1.19</f>
        <v>1344537.8151260505</v>
      </c>
      <c r="GT51" s="47">
        <f t="shared" ref="GT51:GT79" si="23">+GS51*19%</f>
        <v>255462.18487394959</v>
      </c>
      <c r="GU51" s="69">
        <f t="shared" ref="GU51:GU79" si="24">+GS51+GT51</f>
        <v>1600000</v>
      </c>
      <c r="GV51" s="108" t="s">
        <v>502</v>
      </c>
      <c r="GW51" s="108" t="s">
        <v>502</v>
      </c>
      <c r="GX51" s="108" t="s">
        <v>502</v>
      </c>
      <c r="GY51" s="108" t="s">
        <v>664</v>
      </c>
      <c r="GZ51" s="108" t="s">
        <v>664</v>
      </c>
      <c r="HA51" s="108" t="s">
        <v>664</v>
      </c>
      <c r="HB51" s="108" t="s">
        <v>664</v>
      </c>
      <c r="HC51" s="108" t="s">
        <v>664</v>
      </c>
      <c r="HD51" s="108" t="s">
        <v>664</v>
      </c>
      <c r="HE51" s="108" t="s">
        <v>664</v>
      </c>
      <c r="HF51" s="108" t="s">
        <v>664</v>
      </c>
      <c r="HG51" s="108" t="s">
        <v>664</v>
      </c>
      <c r="HH51" s="108" t="s">
        <v>664</v>
      </c>
      <c r="HI51" s="108" t="s">
        <v>664</v>
      </c>
      <c r="HJ51" s="108" t="s">
        <v>664</v>
      </c>
      <c r="HK51" s="108" t="s">
        <v>664</v>
      </c>
      <c r="HL51" s="108" t="s">
        <v>664</v>
      </c>
      <c r="HM51" s="108" t="s">
        <v>664</v>
      </c>
      <c r="HN51" s="108" t="s">
        <v>664</v>
      </c>
      <c r="HO51" s="108" t="s">
        <v>664</v>
      </c>
      <c r="HP51" s="108" t="s">
        <v>664</v>
      </c>
      <c r="HQ51" s="108" t="s">
        <v>503</v>
      </c>
      <c r="HR51" s="108" t="s">
        <v>503</v>
      </c>
      <c r="HS51" s="108" t="s">
        <v>503</v>
      </c>
      <c r="HT51" s="108" t="s">
        <v>502</v>
      </c>
      <c r="HU51" s="108" t="s">
        <v>502</v>
      </c>
      <c r="HV51" s="108" t="s">
        <v>502</v>
      </c>
      <c r="HW51" s="108" t="s">
        <v>503</v>
      </c>
      <c r="HX51" s="108" t="s">
        <v>503</v>
      </c>
      <c r="HY51" s="108" t="s">
        <v>503</v>
      </c>
      <c r="HZ51" s="118" t="s">
        <v>502</v>
      </c>
      <c r="IA51" s="118" t="s">
        <v>502</v>
      </c>
      <c r="IB51" s="118" t="s">
        <v>502</v>
      </c>
      <c r="IC51" s="118" t="s">
        <v>502</v>
      </c>
      <c r="ID51" s="118" t="s">
        <v>502</v>
      </c>
      <c r="IE51" s="118" t="s">
        <v>502</v>
      </c>
      <c r="IF51" s="118" t="s">
        <v>502</v>
      </c>
      <c r="IG51" s="118" t="s">
        <v>502</v>
      </c>
      <c r="IH51" s="118" t="s">
        <v>502</v>
      </c>
      <c r="II51" s="118" t="s">
        <v>502</v>
      </c>
      <c r="IJ51" s="118" t="s">
        <v>502</v>
      </c>
      <c r="IK51" s="118" t="s">
        <v>502</v>
      </c>
      <c r="IL51" s="118" t="s">
        <v>502</v>
      </c>
      <c r="IM51" s="118" t="s">
        <v>502</v>
      </c>
      <c r="IN51" s="118" t="s">
        <v>502</v>
      </c>
      <c r="IO51" s="120" t="s">
        <v>503</v>
      </c>
      <c r="IP51" s="120" t="s">
        <v>503</v>
      </c>
      <c r="IQ51" s="120" t="s">
        <v>503</v>
      </c>
      <c r="IR51" s="118" t="s">
        <v>669</v>
      </c>
      <c r="IS51" s="118" t="s">
        <v>669</v>
      </c>
      <c r="IT51" s="118" t="s">
        <v>669</v>
      </c>
      <c r="IU51" s="120" t="s">
        <v>503</v>
      </c>
      <c r="IV51" s="120" t="s">
        <v>503</v>
      </c>
      <c r="IW51" s="120" t="s">
        <v>503</v>
      </c>
      <c r="IX51" s="120" t="s">
        <v>503</v>
      </c>
      <c r="IY51" s="120" t="s">
        <v>503</v>
      </c>
      <c r="IZ51" s="120" t="s">
        <v>503</v>
      </c>
      <c r="JA51" s="120" t="s">
        <v>503</v>
      </c>
      <c r="JB51" s="120" t="s">
        <v>503</v>
      </c>
      <c r="JC51" s="120" t="s">
        <v>503</v>
      </c>
      <c r="JD51" s="120" t="s">
        <v>664</v>
      </c>
      <c r="JE51" s="120" t="s">
        <v>664</v>
      </c>
      <c r="JF51" s="120" t="s">
        <v>664</v>
      </c>
      <c r="JG51" s="118" t="s">
        <v>502</v>
      </c>
      <c r="JH51" s="118" t="s">
        <v>502</v>
      </c>
      <c r="JI51" s="118" t="s">
        <v>502</v>
      </c>
      <c r="JJ51" s="118" t="s">
        <v>502</v>
      </c>
      <c r="JK51" s="118" t="s">
        <v>502</v>
      </c>
      <c r="JL51" s="118" t="s">
        <v>502</v>
      </c>
      <c r="JM51" s="118" t="s">
        <v>502</v>
      </c>
      <c r="JN51" s="118" t="s">
        <v>502</v>
      </c>
      <c r="JO51" s="118" t="s">
        <v>502</v>
      </c>
      <c r="JP51" s="110">
        <v>1756250</v>
      </c>
      <c r="JQ51" s="111">
        <v>2098320.8539999998</v>
      </c>
      <c r="JR51" s="112">
        <f t="shared" si="0"/>
        <v>3</v>
      </c>
      <c r="JS51" s="113">
        <f t="shared" si="1"/>
        <v>1862166.6666666667</v>
      </c>
      <c r="JT51" s="114">
        <f t="shared" si="2"/>
        <v>1862200</v>
      </c>
      <c r="JU51" s="167"/>
    </row>
    <row r="52" spans="1:281" ht="101.25" customHeight="1" x14ac:dyDescent="0.2">
      <c r="A52" s="98">
        <v>150</v>
      </c>
      <c r="B52" s="99">
        <v>150</v>
      </c>
      <c r="C52" s="39" t="s">
        <v>12</v>
      </c>
      <c r="D52" s="139" t="s">
        <v>203</v>
      </c>
      <c r="E52" s="172">
        <v>95131700</v>
      </c>
      <c r="F52" s="168" t="s">
        <v>214</v>
      </c>
      <c r="G52" s="102" t="s">
        <v>86</v>
      </c>
      <c r="H52" s="103" t="s">
        <v>501</v>
      </c>
      <c r="I52" s="108" t="s">
        <v>503</v>
      </c>
      <c r="J52" s="108" t="s">
        <v>503</v>
      </c>
      <c r="K52" s="108" t="s">
        <v>503</v>
      </c>
      <c r="L52" s="118" t="s">
        <v>502</v>
      </c>
      <c r="M52" s="118" t="s">
        <v>502</v>
      </c>
      <c r="N52" s="118" t="s">
        <v>502</v>
      </c>
      <c r="O52" s="108" t="s">
        <v>503</v>
      </c>
      <c r="P52" s="108" t="s">
        <v>503</v>
      </c>
      <c r="Q52" s="108" t="s">
        <v>503</v>
      </c>
      <c r="R52" s="108" t="s">
        <v>503</v>
      </c>
      <c r="S52" s="108" t="s">
        <v>503</v>
      </c>
      <c r="T52" s="108" t="s">
        <v>503</v>
      </c>
      <c r="U52" s="118" t="s">
        <v>502</v>
      </c>
      <c r="V52" s="118" t="s">
        <v>502</v>
      </c>
      <c r="W52" s="118" t="s">
        <v>502</v>
      </c>
      <c r="X52" s="108" t="s">
        <v>503</v>
      </c>
      <c r="Y52" s="108" t="s">
        <v>503</v>
      </c>
      <c r="Z52" s="108" t="s">
        <v>503</v>
      </c>
      <c r="AA52" s="108" t="s">
        <v>503</v>
      </c>
      <c r="AB52" s="108" t="s">
        <v>503</v>
      </c>
      <c r="AC52" s="108" t="s">
        <v>503</v>
      </c>
      <c r="AD52" s="108" t="s">
        <v>503</v>
      </c>
      <c r="AE52" s="108" t="s">
        <v>503</v>
      </c>
      <c r="AF52" s="108" t="s">
        <v>503</v>
      </c>
      <c r="AG52" s="108" t="s">
        <v>503</v>
      </c>
      <c r="AH52" s="108" t="s">
        <v>503</v>
      </c>
      <c r="AI52" s="108" t="s">
        <v>503</v>
      </c>
      <c r="AJ52" s="108" t="s">
        <v>503</v>
      </c>
      <c r="AK52" s="108" t="s">
        <v>503</v>
      </c>
      <c r="AL52" s="108" t="s">
        <v>503</v>
      </c>
      <c r="AM52" s="108" t="s">
        <v>503</v>
      </c>
      <c r="AN52" s="108" t="s">
        <v>503</v>
      </c>
      <c r="AO52" s="108" t="s">
        <v>503</v>
      </c>
      <c r="AP52" s="108" t="s">
        <v>503</v>
      </c>
      <c r="AQ52" s="108" t="s">
        <v>503</v>
      </c>
      <c r="AR52" s="108" t="s">
        <v>503</v>
      </c>
      <c r="AS52" s="71">
        <v>800000</v>
      </c>
      <c r="AT52" s="117">
        <f>+AS52*19%</f>
        <v>152000</v>
      </c>
      <c r="AU52" s="71">
        <f t="shared" si="22"/>
        <v>952000</v>
      </c>
      <c r="AV52" s="108" t="s">
        <v>503</v>
      </c>
      <c r="AW52" s="108" t="s">
        <v>503</v>
      </c>
      <c r="AX52" s="108" t="s">
        <v>503</v>
      </c>
      <c r="AY52" s="108" t="s">
        <v>503</v>
      </c>
      <c r="AZ52" s="108" t="s">
        <v>503</v>
      </c>
      <c r="BA52" s="108" t="s">
        <v>503</v>
      </c>
      <c r="BB52" s="108" t="s">
        <v>503</v>
      </c>
      <c r="BC52" s="108" t="s">
        <v>503</v>
      </c>
      <c r="BD52" s="108" t="s">
        <v>503</v>
      </c>
      <c r="BE52" s="108" t="s">
        <v>503</v>
      </c>
      <c r="BF52" s="108" t="s">
        <v>503</v>
      </c>
      <c r="BG52" s="108" t="s">
        <v>503</v>
      </c>
      <c r="BH52" s="108" t="s">
        <v>503</v>
      </c>
      <c r="BI52" s="108" t="s">
        <v>503</v>
      </c>
      <c r="BJ52" s="108" t="s">
        <v>503</v>
      </c>
      <c r="BK52" s="108" t="s">
        <v>503</v>
      </c>
      <c r="BL52" s="108" t="s">
        <v>503</v>
      </c>
      <c r="BM52" s="108" t="s">
        <v>503</v>
      </c>
      <c r="BN52" s="108" t="s">
        <v>503</v>
      </c>
      <c r="BO52" s="108" t="s">
        <v>503</v>
      </c>
      <c r="BP52" s="108" t="s">
        <v>503</v>
      </c>
      <c r="BQ52" s="108" t="s">
        <v>503</v>
      </c>
      <c r="BR52" s="108" t="s">
        <v>503</v>
      </c>
      <c r="BS52" s="108" t="s">
        <v>503</v>
      </c>
      <c r="BT52" s="108" t="s">
        <v>503</v>
      </c>
      <c r="BU52" s="108" t="s">
        <v>503</v>
      </c>
      <c r="BV52" s="108" t="s">
        <v>503</v>
      </c>
      <c r="BW52" s="108" t="s">
        <v>503</v>
      </c>
      <c r="BX52" s="108" t="s">
        <v>503</v>
      </c>
      <c r="BY52" s="108" t="s">
        <v>503</v>
      </c>
      <c r="BZ52" s="108" t="s">
        <v>503</v>
      </c>
      <c r="CA52" s="108" t="s">
        <v>503</v>
      </c>
      <c r="CB52" s="108" t="s">
        <v>503</v>
      </c>
      <c r="CC52" s="108" t="s">
        <v>503</v>
      </c>
      <c r="CD52" s="108" t="s">
        <v>503</v>
      </c>
      <c r="CE52" s="108" t="s">
        <v>503</v>
      </c>
      <c r="CF52" s="108" t="s">
        <v>503</v>
      </c>
      <c r="CG52" s="108" t="s">
        <v>503</v>
      </c>
      <c r="CH52" s="108" t="s">
        <v>503</v>
      </c>
      <c r="CI52" s="108" t="s">
        <v>503</v>
      </c>
      <c r="CJ52" s="108" t="s">
        <v>503</v>
      </c>
      <c r="CK52" s="108" t="s">
        <v>503</v>
      </c>
      <c r="CL52" s="108" t="s">
        <v>503</v>
      </c>
      <c r="CM52" s="108" t="s">
        <v>503</v>
      </c>
      <c r="CN52" s="108" t="s">
        <v>503</v>
      </c>
      <c r="CO52" s="108" t="s">
        <v>503</v>
      </c>
      <c r="CP52" s="108" t="s">
        <v>503</v>
      </c>
      <c r="CQ52" s="108" t="s">
        <v>503</v>
      </c>
      <c r="CR52" s="108" t="s">
        <v>503</v>
      </c>
      <c r="CS52" s="108" t="s">
        <v>503</v>
      </c>
      <c r="CT52" s="108" t="s">
        <v>503</v>
      </c>
      <c r="CU52" s="108" t="s">
        <v>503</v>
      </c>
      <c r="CV52" s="108" t="s">
        <v>503</v>
      </c>
      <c r="CW52" s="108" t="s">
        <v>503</v>
      </c>
      <c r="CX52" s="108" t="s">
        <v>503</v>
      </c>
      <c r="CY52" s="108" t="s">
        <v>503</v>
      </c>
      <c r="CZ52" s="108" t="s">
        <v>503</v>
      </c>
      <c r="DA52" s="108" t="s">
        <v>503</v>
      </c>
      <c r="DB52" s="108" t="s">
        <v>503</v>
      </c>
      <c r="DC52" s="108" t="s">
        <v>503</v>
      </c>
      <c r="DD52" s="108" t="s">
        <v>503</v>
      </c>
      <c r="DE52" s="108" t="s">
        <v>503</v>
      </c>
      <c r="DF52" s="108" t="s">
        <v>503</v>
      </c>
      <c r="DG52" s="108" t="s">
        <v>503</v>
      </c>
      <c r="DH52" s="108" t="s">
        <v>503</v>
      </c>
      <c r="DI52" s="108" t="s">
        <v>503</v>
      </c>
      <c r="DJ52" s="108" t="s">
        <v>503</v>
      </c>
      <c r="DK52" s="108" t="s">
        <v>503</v>
      </c>
      <c r="DL52" s="108" t="s">
        <v>503</v>
      </c>
      <c r="DM52" s="108" t="s">
        <v>503</v>
      </c>
      <c r="DN52" s="108" t="s">
        <v>503</v>
      </c>
      <c r="DO52" s="108" t="s">
        <v>503</v>
      </c>
      <c r="DP52" s="108" t="s">
        <v>669</v>
      </c>
      <c r="DQ52" s="108" t="s">
        <v>669</v>
      </c>
      <c r="DR52" s="108" t="s">
        <v>669</v>
      </c>
      <c r="DS52" s="108" t="s">
        <v>669</v>
      </c>
      <c r="DT52" s="108" t="s">
        <v>669</v>
      </c>
      <c r="DU52" s="108" t="s">
        <v>669</v>
      </c>
      <c r="DV52" s="108" t="s">
        <v>503</v>
      </c>
      <c r="DW52" s="108" t="s">
        <v>503</v>
      </c>
      <c r="DX52" s="108" t="s">
        <v>503</v>
      </c>
      <c r="DY52" s="108" t="s">
        <v>503</v>
      </c>
      <c r="DZ52" s="108" t="s">
        <v>503</v>
      </c>
      <c r="EA52" s="108" t="s">
        <v>503</v>
      </c>
      <c r="EB52" s="108" t="s">
        <v>503</v>
      </c>
      <c r="EC52" s="108" t="s">
        <v>503</v>
      </c>
      <c r="ED52" s="108" t="s">
        <v>503</v>
      </c>
      <c r="EE52" s="108" t="s">
        <v>503</v>
      </c>
      <c r="EF52" s="108" t="s">
        <v>503</v>
      </c>
      <c r="EG52" s="108" t="s">
        <v>503</v>
      </c>
      <c r="EH52" s="108" t="s">
        <v>503</v>
      </c>
      <c r="EI52" s="108" t="s">
        <v>503</v>
      </c>
      <c r="EJ52" s="108" t="s">
        <v>503</v>
      </c>
      <c r="EK52" s="108" t="s">
        <v>503</v>
      </c>
      <c r="EL52" s="108" t="s">
        <v>503</v>
      </c>
      <c r="EM52" s="108" t="s">
        <v>503</v>
      </c>
      <c r="EN52" s="108" t="s">
        <v>503</v>
      </c>
      <c r="EO52" s="108" t="s">
        <v>503</v>
      </c>
      <c r="EP52" s="108" t="s">
        <v>503</v>
      </c>
      <c r="EQ52" s="108" t="s">
        <v>502</v>
      </c>
      <c r="ER52" s="108" t="s">
        <v>502</v>
      </c>
      <c r="ES52" s="108" t="s">
        <v>502</v>
      </c>
      <c r="ET52" s="108" t="s">
        <v>502</v>
      </c>
      <c r="EU52" s="108" t="s">
        <v>502</v>
      </c>
      <c r="EV52" s="108" t="s">
        <v>502</v>
      </c>
      <c r="EW52" s="108" t="s">
        <v>502</v>
      </c>
      <c r="EX52" s="108" t="s">
        <v>502</v>
      </c>
      <c r="EY52" s="108" t="s">
        <v>502</v>
      </c>
      <c r="EZ52" s="71">
        <v>1250000</v>
      </c>
      <c r="FA52" s="71">
        <f>+EZ52*19%</f>
        <v>237500</v>
      </c>
      <c r="FB52" s="71">
        <f>+EZ52+FA52</f>
        <v>1487500</v>
      </c>
      <c r="FC52" s="108" t="s">
        <v>502</v>
      </c>
      <c r="FD52" s="108" t="s">
        <v>502</v>
      </c>
      <c r="FE52" s="108" t="s">
        <v>502</v>
      </c>
      <c r="FF52" s="108" t="s">
        <v>503</v>
      </c>
      <c r="FG52" s="108" t="s">
        <v>503</v>
      </c>
      <c r="FH52" s="108" t="s">
        <v>503</v>
      </c>
      <c r="FI52" s="108" t="s">
        <v>503</v>
      </c>
      <c r="FJ52" s="108" t="s">
        <v>503</v>
      </c>
      <c r="FK52" s="108" t="s">
        <v>503</v>
      </c>
      <c r="FL52" s="108" t="s">
        <v>503</v>
      </c>
      <c r="FM52" s="108" t="s">
        <v>503</v>
      </c>
      <c r="FN52" s="108" t="s">
        <v>503</v>
      </c>
      <c r="FO52" s="108" t="s">
        <v>502</v>
      </c>
      <c r="FP52" s="108" t="s">
        <v>502</v>
      </c>
      <c r="FQ52" s="108" t="s">
        <v>502</v>
      </c>
      <c r="FR52" s="108" t="s">
        <v>502</v>
      </c>
      <c r="FS52" s="108" t="s">
        <v>502</v>
      </c>
      <c r="FT52" s="108" t="s">
        <v>502</v>
      </c>
      <c r="FU52" s="108" t="s">
        <v>502</v>
      </c>
      <c r="FV52" s="108" t="s">
        <v>502</v>
      </c>
      <c r="FW52" s="108" t="s">
        <v>502</v>
      </c>
      <c r="FX52" s="108" t="s">
        <v>503</v>
      </c>
      <c r="FY52" s="108" t="s">
        <v>503</v>
      </c>
      <c r="FZ52" s="108" t="s">
        <v>503</v>
      </c>
      <c r="GA52" s="108" t="s">
        <v>503</v>
      </c>
      <c r="GB52" s="108" t="s">
        <v>503</v>
      </c>
      <c r="GC52" s="108" t="s">
        <v>503</v>
      </c>
      <c r="GD52" s="108" t="s">
        <v>503</v>
      </c>
      <c r="GE52" s="108" t="s">
        <v>503</v>
      </c>
      <c r="GF52" s="108" t="s">
        <v>503</v>
      </c>
      <c r="GG52" s="108" t="s">
        <v>669</v>
      </c>
      <c r="GH52" s="108" t="s">
        <v>669</v>
      </c>
      <c r="GI52" s="108" t="s">
        <v>669</v>
      </c>
      <c r="GJ52" s="108" t="s">
        <v>669</v>
      </c>
      <c r="GK52" s="108" t="s">
        <v>669</v>
      </c>
      <c r="GL52" s="108" t="s">
        <v>669</v>
      </c>
      <c r="GM52" s="108" t="s">
        <v>502</v>
      </c>
      <c r="GN52" s="108" t="s">
        <v>502</v>
      </c>
      <c r="GO52" s="108" t="s">
        <v>502</v>
      </c>
      <c r="GP52" s="108" t="s">
        <v>664</v>
      </c>
      <c r="GQ52" s="108" t="s">
        <v>664</v>
      </c>
      <c r="GR52" s="108" t="s">
        <v>664</v>
      </c>
      <c r="GS52" s="47">
        <f>800000/1.19</f>
        <v>672268.90756302525</v>
      </c>
      <c r="GT52" s="47">
        <f t="shared" si="23"/>
        <v>127731.0924369748</v>
      </c>
      <c r="GU52" s="69">
        <f t="shared" si="24"/>
        <v>800000</v>
      </c>
      <c r="GV52" s="108" t="s">
        <v>502</v>
      </c>
      <c r="GW52" s="108" t="s">
        <v>502</v>
      </c>
      <c r="GX52" s="108" t="s">
        <v>502</v>
      </c>
      <c r="GY52" s="108" t="s">
        <v>664</v>
      </c>
      <c r="GZ52" s="108" t="s">
        <v>664</v>
      </c>
      <c r="HA52" s="108" t="s">
        <v>664</v>
      </c>
      <c r="HB52" s="108" t="s">
        <v>664</v>
      </c>
      <c r="HC52" s="108" t="s">
        <v>664</v>
      </c>
      <c r="HD52" s="108" t="s">
        <v>664</v>
      </c>
      <c r="HE52" s="108" t="s">
        <v>664</v>
      </c>
      <c r="HF52" s="108" t="s">
        <v>664</v>
      </c>
      <c r="HG52" s="108" t="s">
        <v>664</v>
      </c>
      <c r="HH52" s="108" t="s">
        <v>664</v>
      </c>
      <c r="HI52" s="108" t="s">
        <v>664</v>
      </c>
      <c r="HJ52" s="108" t="s">
        <v>664</v>
      </c>
      <c r="HK52" s="108" t="s">
        <v>664</v>
      </c>
      <c r="HL52" s="108" t="s">
        <v>664</v>
      </c>
      <c r="HM52" s="108" t="s">
        <v>664</v>
      </c>
      <c r="HN52" s="108" t="s">
        <v>664</v>
      </c>
      <c r="HO52" s="108" t="s">
        <v>664</v>
      </c>
      <c r="HP52" s="108" t="s">
        <v>664</v>
      </c>
      <c r="HQ52" s="108" t="s">
        <v>503</v>
      </c>
      <c r="HR52" s="108" t="s">
        <v>503</v>
      </c>
      <c r="HS52" s="108" t="s">
        <v>503</v>
      </c>
      <c r="HT52" s="108" t="s">
        <v>502</v>
      </c>
      <c r="HU52" s="108" t="s">
        <v>502</v>
      </c>
      <c r="HV52" s="108" t="s">
        <v>502</v>
      </c>
      <c r="HW52" s="108" t="s">
        <v>503</v>
      </c>
      <c r="HX52" s="108" t="s">
        <v>503</v>
      </c>
      <c r="HY52" s="108" t="s">
        <v>503</v>
      </c>
      <c r="HZ52" s="118" t="s">
        <v>502</v>
      </c>
      <c r="IA52" s="118" t="s">
        <v>502</v>
      </c>
      <c r="IB52" s="118" t="s">
        <v>502</v>
      </c>
      <c r="IC52" s="118" t="s">
        <v>502</v>
      </c>
      <c r="ID52" s="118" t="s">
        <v>502</v>
      </c>
      <c r="IE52" s="118" t="s">
        <v>502</v>
      </c>
      <c r="IF52" s="118" t="s">
        <v>502</v>
      </c>
      <c r="IG52" s="118" t="s">
        <v>502</v>
      </c>
      <c r="IH52" s="118" t="s">
        <v>502</v>
      </c>
      <c r="II52" s="118" t="s">
        <v>502</v>
      </c>
      <c r="IJ52" s="118" t="s">
        <v>502</v>
      </c>
      <c r="IK52" s="118" t="s">
        <v>502</v>
      </c>
      <c r="IL52" s="118" t="s">
        <v>502</v>
      </c>
      <c r="IM52" s="118" t="s">
        <v>502</v>
      </c>
      <c r="IN52" s="118" t="s">
        <v>502</v>
      </c>
      <c r="IO52" s="120" t="s">
        <v>503</v>
      </c>
      <c r="IP52" s="120" t="s">
        <v>503</v>
      </c>
      <c r="IQ52" s="120" t="s">
        <v>503</v>
      </c>
      <c r="IR52" s="118" t="s">
        <v>669</v>
      </c>
      <c r="IS52" s="118" t="s">
        <v>669</v>
      </c>
      <c r="IT52" s="118" t="s">
        <v>669</v>
      </c>
      <c r="IU52" s="120" t="s">
        <v>503</v>
      </c>
      <c r="IV52" s="120" t="s">
        <v>503</v>
      </c>
      <c r="IW52" s="120" t="s">
        <v>503</v>
      </c>
      <c r="IX52" s="120" t="s">
        <v>503</v>
      </c>
      <c r="IY52" s="120" t="s">
        <v>503</v>
      </c>
      <c r="IZ52" s="120" t="s">
        <v>503</v>
      </c>
      <c r="JA52" s="120" t="s">
        <v>503</v>
      </c>
      <c r="JB52" s="120" t="s">
        <v>503</v>
      </c>
      <c r="JC52" s="120" t="s">
        <v>503</v>
      </c>
      <c r="JD52" s="120" t="s">
        <v>664</v>
      </c>
      <c r="JE52" s="120" t="s">
        <v>664</v>
      </c>
      <c r="JF52" s="120" t="s">
        <v>664</v>
      </c>
      <c r="JG52" s="118" t="s">
        <v>502</v>
      </c>
      <c r="JH52" s="118" t="s">
        <v>502</v>
      </c>
      <c r="JI52" s="118" t="s">
        <v>502</v>
      </c>
      <c r="JJ52" s="118" t="s">
        <v>502</v>
      </c>
      <c r="JK52" s="118" t="s">
        <v>502</v>
      </c>
      <c r="JL52" s="118" t="s">
        <v>502</v>
      </c>
      <c r="JM52" s="118" t="s">
        <v>502</v>
      </c>
      <c r="JN52" s="118" t="s">
        <v>502</v>
      </c>
      <c r="JO52" s="118" t="s">
        <v>502</v>
      </c>
      <c r="JP52" s="110">
        <v>1000700</v>
      </c>
      <c r="JQ52" s="111">
        <v>1195609.781408</v>
      </c>
      <c r="JR52" s="112">
        <f t="shared" si="0"/>
        <v>3</v>
      </c>
      <c r="JS52" s="113">
        <f t="shared" si="1"/>
        <v>1079833.3333333333</v>
      </c>
      <c r="JT52" s="114">
        <f t="shared" si="2"/>
        <v>1079850</v>
      </c>
      <c r="JU52" s="167"/>
    </row>
    <row r="53" spans="1:281" ht="101.25" customHeight="1" x14ac:dyDescent="0.2">
      <c r="A53" s="98">
        <v>151</v>
      </c>
      <c r="B53" s="99">
        <v>151</v>
      </c>
      <c r="C53" s="39" t="s">
        <v>12</v>
      </c>
      <c r="D53" s="139" t="s">
        <v>204</v>
      </c>
      <c r="E53" s="172">
        <v>95131700</v>
      </c>
      <c r="F53" s="168" t="s">
        <v>215</v>
      </c>
      <c r="G53" s="102" t="s">
        <v>86</v>
      </c>
      <c r="H53" s="103" t="s">
        <v>501</v>
      </c>
      <c r="I53" s="108" t="s">
        <v>503</v>
      </c>
      <c r="J53" s="108" t="s">
        <v>503</v>
      </c>
      <c r="K53" s="108" t="s">
        <v>503</v>
      </c>
      <c r="L53" s="118" t="s">
        <v>502</v>
      </c>
      <c r="M53" s="118" t="s">
        <v>502</v>
      </c>
      <c r="N53" s="118" t="s">
        <v>502</v>
      </c>
      <c r="O53" s="108" t="s">
        <v>503</v>
      </c>
      <c r="P53" s="108" t="s">
        <v>503</v>
      </c>
      <c r="Q53" s="108" t="s">
        <v>503</v>
      </c>
      <c r="R53" s="108" t="s">
        <v>503</v>
      </c>
      <c r="S53" s="108" t="s">
        <v>503</v>
      </c>
      <c r="T53" s="108" t="s">
        <v>503</v>
      </c>
      <c r="U53" s="118" t="s">
        <v>502</v>
      </c>
      <c r="V53" s="118" t="s">
        <v>502</v>
      </c>
      <c r="W53" s="118" t="s">
        <v>502</v>
      </c>
      <c r="X53" s="108" t="s">
        <v>503</v>
      </c>
      <c r="Y53" s="108" t="s">
        <v>503</v>
      </c>
      <c r="Z53" s="108" t="s">
        <v>503</v>
      </c>
      <c r="AA53" s="108" t="s">
        <v>503</v>
      </c>
      <c r="AB53" s="108" t="s">
        <v>503</v>
      </c>
      <c r="AC53" s="108" t="s">
        <v>503</v>
      </c>
      <c r="AD53" s="108" t="s">
        <v>503</v>
      </c>
      <c r="AE53" s="108" t="s">
        <v>503</v>
      </c>
      <c r="AF53" s="108" t="s">
        <v>503</v>
      </c>
      <c r="AG53" s="108" t="s">
        <v>503</v>
      </c>
      <c r="AH53" s="108" t="s">
        <v>503</v>
      </c>
      <c r="AI53" s="108" t="s">
        <v>503</v>
      </c>
      <c r="AJ53" s="108" t="s">
        <v>503</v>
      </c>
      <c r="AK53" s="108" t="s">
        <v>503</v>
      </c>
      <c r="AL53" s="108" t="s">
        <v>503</v>
      </c>
      <c r="AM53" s="108" t="s">
        <v>503</v>
      </c>
      <c r="AN53" s="108" t="s">
        <v>503</v>
      </c>
      <c r="AO53" s="108" t="s">
        <v>503</v>
      </c>
      <c r="AP53" s="108" t="s">
        <v>503</v>
      </c>
      <c r="AQ53" s="108" t="s">
        <v>503</v>
      </c>
      <c r="AR53" s="108" t="s">
        <v>503</v>
      </c>
      <c r="AS53" s="108" t="s">
        <v>503</v>
      </c>
      <c r="AT53" s="108" t="s">
        <v>503</v>
      </c>
      <c r="AU53" s="108" t="s">
        <v>503</v>
      </c>
      <c r="AV53" s="108" t="s">
        <v>503</v>
      </c>
      <c r="AW53" s="108" t="s">
        <v>503</v>
      </c>
      <c r="AX53" s="108" t="s">
        <v>503</v>
      </c>
      <c r="AY53" s="108" t="s">
        <v>503</v>
      </c>
      <c r="AZ53" s="108" t="s">
        <v>503</v>
      </c>
      <c r="BA53" s="108" t="s">
        <v>503</v>
      </c>
      <c r="BB53" s="108" t="s">
        <v>503</v>
      </c>
      <c r="BC53" s="108" t="s">
        <v>503</v>
      </c>
      <c r="BD53" s="108" t="s">
        <v>503</v>
      </c>
      <c r="BE53" s="108" t="s">
        <v>503</v>
      </c>
      <c r="BF53" s="108" t="s">
        <v>503</v>
      </c>
      <c r="BG53" s="108" t="s">
        <v>503</v>
      </c>
      <c r="BH53" s="108" t="s">
        <v>503</v>
      </c>
      <c r="BI53" s="108" t="s">
        <v>503</v>
      </c>
      <c r="BJ53" s="108" t="s">
        <v>503</v>
      </c>
      <c r="BK53" s="108" t="s">
        <v>503</v>
      </c>
      <c r="BL53" s="108" t="s">
        <v>503</v>
      </c>
      <c r="BM53" s="108" t="s">
        <v>503</v>
      </c>
      <c r="BN53" s="108" t="s">
        <v>503</v>
      </c>
      <c r="BO53" s="108" t="s">
        <v>503</v>
      </c>
      <c r="BP53" s="108" t="s">
        <v>503</v>
      </c>
      <c r="BQ53" s="108" t="s">
        <v>503</v>
      </c>
      <c r="BR53" s="108" t="s">
        <v>503</v>
      </c>
      <c r="BS53" s="108" t="s">
        <v>503</v>
      </c>
      <c r="BT53" s="108" t="s">
        <v>503</v>
      </c>
      <c r="BU53" s="108" t="s">
        <v>503</v>
      </c>
      <c r="BV53" s="108" t="s">
        <v>503</v>
      </c>
      <c r="BW53" s="108" t="s">
        <v>503</v>
      </c>
      <c r="BX53" s="108" t="s">
        <v>503</v>
      </c>
      <c r="BY53" s="108" t="s">
        <v>503</v>
      </c>
      <c r="BZ53" s="77">
        <v>3763200.0000000005</v>
      </c>
      <c r="CA53" s="117">
        <f>+BZ53*19%</f>
        <v>715008.00000000012</v>
      </c>
      <c r="CB53" s="71">
        <f>+BZ53+CA53</f>
        <v>4478208.0000000009</v>
      </c>
      <c r="CC53" s="108" t="s">
        <v>503</v>
      </c>
      <c r="CD53" s="108" t="s">
        <v>503</v>
      </c>
      <c r="CE53" s="108" t="s">
        <v>503</v>
      </c>
      <c r="CF53" s="108" t="s">
        <v>503</v>
      </c>
      <c r="CG53" s="108" t="s">
        <v>503</v>
      </c>
      <c r="CH53" s="108" t="s">
        <v>503</v>
      </c>
      <c r="CI53" s="108" t="s">
        <v>503</v>
      </c>
      <c r="CJ53" s="108" t="s">
        <v>503</v>
      </c>
      <c r="CK53" s="108" t="s">
        <v>503</v>
      </c>
      <c r="CL53" s="108" t="s">
        <v>503</v>
      </c>
      <c r="CM53" s="108" t="s">
        <v>503</v>
      </c>
      <c r="CN53" s="108" t="s">
        <v>503</v>
      </c>
      <c r="CO53" s="108" t="s">
        <v>503</v>
      </c>
      <c r="CP53" s="108" t="s">
        <v>503</v>
      </c>
      <c r="CQ53" s="108" t="s">
        <v>503</v>
      </c>
      <c r="CR53" s="108" t="s">
        <v>503</v>
      </c>
      <c r="CS53" s="108" t="s">
        <v>503</v>
      </c>
      <c r="CT53" s="108" t="s">
        <v>503</v>
      </c>
      <c r="CU53" s="108" t="s">
        <v>503</v>
      </c>
      <c r="CV53" s="108" t="s">
        <v>503</v>
      </c>
      <c r="CW53" s="108" t="s">
        <v>503</v>
      </c>
      <c r="CX53" s="108" t="s">
        <v>503</v>
      </c>
      <c r="CY53" s="108" t="s">
        <v>503</v>
      </c>
      <c r="CZ53" s="108" t="s">
        <v>503</v>
      </c>
      <c r="DA53" s="108" t="s">
        <v>503</v>
      </c>
      <c r="DB53" s="108" t="s">
        <v>503</v>
      </c>
      <c r="DC53" s="108" t="s">
        <v>503</v>
      </c>
      <c r="DD53" s="108" t="s">
        <v>503</v>
      </c>
      <c r="DE53" s="108" t="s">
        <v>503</v>
      </c>
      <c r="DF53" s="108" t="s">
        <v>503</v>
      </c>
      <c r="DG53" s="108" t="s">
        <v>503</v>
      </c>
      <c r="DH53" s="108" t="s">
        <v>503</v>
      </c>
      <c r="DI53" s="108" t="s">
        <v>503</v>
      </c>
      <c r="DJ53" s="108" t="s">
        <v>503</v>
      </c>
      <c r="DK53" s="108" t="s">
        <v>503</v>
      </c>
      <c r="DL53" s="108" t="s">
        <v>503</v>
      </c>
      <c r="DM53" s="108" t="s">
        <v>503</v>
      </c>
      <c r="DN53" s="108" t="s">
        <v>503</v>
      </c>
      <c r="DO53" s="108" t="s">
        <v>503</v>
      </c>
      <c r="DP53" s="108" t="s">
        <v>669</v>
      </c>
      <c r="DQ53" s="108" t="s">
        <v>669</v>
      </c>
      <c r="DR53" s="108" t="s">
        <v>669</v>
      </c>
      <c r="DS53" s="108" t="s">
        <v>669</v>
      </c>
      <c r="DT53" s="108" t="s">
        <v>669</v>
      </c>
      <c r="DU53" s="108" t="s">
        <v>669</v>
      </c>
      <c r="DV53" s="108" t="s">
        <v>503</v>
      </c>
      <c r="DW53" s="108" t="s">
        <v>503</v>
      </c>
      <c r="DX53" s="108" t="s">
        <v>503</v>
      </c>
      <c r="DY53" s="108" t="s">
        <v>503</v>
      </c>
      <c r="DZ53" s="108" t="s">
        <v>503</v>
      </c>
      <c r="EA53" s="108" t="s">
        <v>503</v>
      </c>
      <c r="EB53" s="108" t="s">
        <v>503</v>
      </c>
      <c r="EC53" s="108" t="s">
        <v>503</v>
      </c>
      <c r="ED53" s="108" t="s">
        <v>503</v>
      </c>
      <c r="EE53" s="108" t="s">
        <v>503</v>
      </c>
      <c r="EF53" s="108" t="s">
        <v>503</v>
      </c>
      <c r="EG53" s="108" t="s">
        <v>503</v>
      </c>
      <c r="EH53" s="108" t="s">
        <v>503</v>
      </c>
      <c r="EI53" s="108" t="s">
        <v>503</v>
      </c>
      <c r="EJ53" s="108" t="s">
        <v>503</v>
      </c>
      <c r="EK53" s="108" t="s">
        <v>503</v>
      </c>
      <c r="EL53" s="108" t="s">
        <v>503</v>
      </c>
      <c r="EM53" s="108" t="s">
        <v>503</v>
      </c>
      <c r="EN53" s="108" t="s">
        <v>503</v>
      </c>
      <c r="EO53" s="108" t="s">
        <v>503</v>
      </c>
      <c r="EP53" s="108" t="s">
        <v>503</v>
      </c>
      <c r="EQ53" s="108" t="s">
        <v>502</v>
      </c>
      <c r="ER53" s="108" t="s">
        <v>502</v>
      </c>
      <c r="ES53" s="108" t="s">
        <v>502</v>
      </c>
      <c r="ET53" s="108" t="s">
        <v>502</v>
      </c>
      <c r="EU53" s="108" t="s">
        <v>502</v>
      </c>
      <c r="EV53" s="108" t="s">
        <v>502</v>
      </c>
      <c r="EW53" s="108" t="s">
        <v>502</v>
      </c>
      <c r="EX53" s="108" t="s">
        <v>502</v>
      </c>
      <c r="EY53" s="108" t="s">
        <v>502</v>
      </c>
      <c r="EZ53" s="108" t="s">
        <v>502</v>
      </c>
      <c r="FA53" s="108" t="s">
        <v>502</v>
      </c>
      <c r="FB53" s="108" t="s">
        <v>502</v>
      </c>
      <c r="FC53" s="108" t="s">
        <v>502</v>
      </c>
      <c r="FD53" s="108" t="s">
        <v>502</v>
      </c>
      <c r="FE53" s="108" t="s">
        <v>502</v>
      </c>
      <c r="FF53" s="108" t="s">
        <v>503</v>
      </c>
      <c r="FG53" s="108" t="s">
        <v>503</v>
      </c>
      <c r="FH53" s="108" t="s">
        <v>503</v>
      </c>
      <c r="FI53" s="108" t="s">
        <v>503</v>
      </c>
      <c r="FJ53" s="108" t="s">
        <v>503</v>
      </c>
      <c r="FK53" s="108" t="s">
        <v>503</v>
      </c>
      <c r="FL53" s="108" t="s">
        <v>503</v>
      </c>
      <c r="FM53" s="108" t="s">
        <v>503</v>
      </c>
      <c r="FN53" s="108" t="s">
        <v>503</v>
      </c>
      <c r="FO53" s="108" t="s">
        <v>502</v>
      </c>
      <c r="FP53" s="108" t="s">
        <v>502</v>
      </c>
      <c r="FQ53" s="108" t="s">
        <v>502</v>
      </c>
      <c r="FR53" s="108" t="s">
        <v>502</v>
      </c>
      <c r="FS53" s="108" t="s">
        <v>502</v>
      </c>
      <c r="FT53" s="108" t="s">
        <v>502</v>
      </c>
      <c r="FU53" s="108" t="s">
        <v>502</v>
      </c>
      <c r="FV53" s="108" t="s">
        <v>502</v>
      </c>
      <c r="FW53" s="108" t="s">
        <v>502</v>
      </c>
      <c r="FX53" s="108" t="s">
        <v>503</v>
      </c>
      <c r="FY53" s="108" t="s">
        <v>503</v>
      </c>
      <c r="FZ53" s="108" t="s">
        <v>503</v>
      </c>
      <c r="GA53" s="108" t="s">
        <v>503</v>
      </c>
      <c r="GB53" s="108" t="s">
        <v>503</v>
      </c>
      <c r="GC53" s="108" t="s">
        <v>503</v>
      </c>
      <c r="GD53" s="108" t="s">
        <v>503</v>
      </c>
      <c r="GE53" s="108" t="s">
        <v>503</v>
      </c>
      <c r="GF53" s="108" t="s">
        <v>503</v>
      </c>
      <c r="GG53" s="108" t="s">
        <v>669</v>
      </c>
      <c r="GH53" s="108" t="s">
        <v>669</v>
      </c>
      <c r="GI53" s="108" t="s">
        <v>669</v>
      </c>
      <c r="GJ53" s="108" t="s">
        <v>669</v>
      </c>
      <c r="GK53" s="108" t="s">
        <v>669</v>
      </c>
      <c r="GL53" s="108" t="s">
        <v>669</v>
      </c>
      <c r="GM53" s="108" t="s">
        <v>502</v>
      </c>
      <c r="GN53" s="108" t="s">
        <v>502</v>
      </c>
      <c r="GO53" s="108" t="s">
        <v>502</v>
      </c>
      <c r="GP53" s="108" t="s">
        <v>664</v>
      </c>
      <c r="GQ53" s="108" t="s">
        <v>664</v>
      </c>
      <c r="GR53" s="108" t="s">
        <v>664</v>
      </c>
      <c r="GS53" s="47">
        <f>2500000/1.19</f>
        <v>2100840.3361344538</v>
      </c>
      <c r="GT53" s="47">
        <f t="shared" si="23"/>
        <v>399159.66386554623</v>
      </c>
      <c r="GU53" s="69">
        <f t="shared" si="24"/>
        <v>2500000</v>
      </c>
      <c r="GV53" s="108" t="s">
        <v>502</v>
      </c>
      <c r="GW53" s="108" t="s">
        <v>502</v>
      </c>
      <c r="GX53" s="108" t="s">
        <v>502</v>
      </c>
      <c r="GY53" s="108" t="s">
        <v>664</v>
      </c>
      <c r="GZ53" s="108" t="s">
        <v>664</v>
      </c>
      <c r="HA53" s="108" t="s">
        <v>664</v>
      </c>
      <c r="HB53" s="108" t="s">
        <v>664</v>
      </c>
      <c r="HC53" s="108" t="s">
        <v>664</v>
      </c>
      <c r="HD53" s="108" t="s">
        <v>664</v>
      </c>
      <c r="HE53" s="108" t="s">
        <v>664</v>
      </c>
      <c r="HF53" s="108" t="s">
        <v>664</v>
      </c>
      <c r="HG53" s="108" t="s">
        <v>664</v>
      </c>
      <c r="HH53" s="108" t="s">
        <v>664</v>
      </c>
      <c r="HI53" s="108" t="s">
        <v>664</v>
      </c>
      <c r="HJ53" s="108" t="s">
        <v>664</v>
      </c>
      <c r="HK53" s="108" t="s">
        <v>664</v>
      </c>
      <c r="HL53" s="108" t="s">
        <v>664</v>
      </c>
      <c r="HM53" s="108" t="s">
        <v>664</v>
      </c>
      <c r="HN53" s="108" t="s">
        <v>664</v>
      </c>
      <c r="HO53" s="108" t="s">
        <v>664</v>
      </c>
      <c r="HP53" s="108" t="s">
        <v>664</v>
      </c>
      <c r="HQ53" s="108" t="s">
        <v>503</v>
      </c>
      <c r="HR53" s="108" t="s">
        <v>503</v>
      </c>
      <c r="HS53" s="108" t="s">
        <v>503</v>
      </c>
      <c r="HT53" s="108" t="s">
        <v>502</v>
      </c>
      <c r="HU53" s="108" t="s">
        <v>502</v>
      </c>
      <c r="HV53" s="108" t="s">
        <v>502</v>
      </c>
      <c r="HW53" s="71">
        <v>2000000</v>
      </c>
      <c r="HX53" s="71">
        <f>+HW53*19%</f>
        <v>380000</v>
      </c>
      <c r="HY53" s="71">
        <f>+HW53+HX53</f>
        <v>2380000</v>
      </c>
      <c r="HZ53" s="118" t="s">
        <v>502</v>
      </c>
      <c r="IA53" s="118" t="s">
        <v>502</v>
      </c>
      <c r="IB53" s="118" t="s">
        <v>502</v>
      </c>
      <c r="IC53" s="118" t="s">
        <v>502</v>
      </c>
      <c r="ID53" s="118" t="s">
        <v>502</v>
      </c>
      <c r="IE53" s="118" t="s">
        <v>502</v>
      </c>
      <c r="IF53" s="118" t="s">
        <v>502</v>
      </c>
      <c r="IG53" s="118" t="s">
        <v>502</v>
      </c>
      <c r="IH53" s="118" t="s">
        <v>502</v>
      </c>
      <c r="II53" s="118" t="s">
        <v>502</v>
      </c>
      <c r="IJ53" s="118" t="s">
        <v>502</v>
      </c>
      <c r="IK53" s="118" t="s">
        <v>502</v>
      </c>
      <c r="IL53" s="118" t="s">
        <v>502</v>
      </c>
      <c r="IM53" s="118" t="s">
        <v>502</v>
      </c>
      <c r="IN53" s="118" t="s">
        <v>502</v>
      </c>
      <c r="IO53" s="120" t="s">
        <v>503</v>
      </c>
      <c r="IP53" s="120" t="s">
        <v>503</v>
      </c>
      <c r="IQ53" s="120" t="s">
        <v>503</v>
      </c>
      <c r="IR53" s="118" t="s">
        <v>669</v>
      </c>
      <c r="IS53" s="118" t="s">
        <v>669</v>
      </c>
      <c r="IT53" s="118" t="s">
        <v>669</v>
      </c>
      <c r="IU53" s="120" t="s">
        <v>503</v>
      </c>
      <c r="IV53" s="120" t="s">
        <v>503</v>
      </c>
      <c r="IW53" s="120" t="s">
        <v>503</v>
      </c>
      <c r="IX53" s="120" t="s">
        <v>503</v>
      </c>
      <c r="IY53" s="120" t="s">
        <v>503</v>
      </c>
      <c r="IZ53" s="120" t="s">
        <v>503</v>
      </c>
      <c r="JA53" s="113">
        <v>4191802.88</v>
      </c>
      <c r="JB53" s="113">
        <f>+JA53*0%</f>
        <v>0</v>
      </c>
      <c r="JC53" s="113">
        <f>+JA53+JB53</f>
        <v>4191802.88</v>
      </c>
      <c r="JD53" s="120" t="s">
        <v>664</v>
      </c>
      <c r="JE53" s="120" t="s">
        <v>664</v>
      </c>
      <c r="JF53" s="120" t="s">
        <v>664</v>
      </c>
      <c r="JG53" s="118" t="s">
        <v>502</v>
      </c>
      <c r="JH53" s="118" t="s">
        <v>502</v>
      </c>
      <c r="JI53" s="118" t="s">
        <v>502</v>
      </c>
      <c r="JJ53" s="118" t="s">
        <v>502</v>
      </c>
      <c r="JK53" s="118" t="s">
        <v>502</v>
      </c>
      <c r="JL53" s="118" t="s">
        <v>502</v>
      </c>
      <c r="JM53" s="118" t="s">
        <v>502</v>
      </c>
      <c r="JN53" s="118" t="s">
        <v>502</v>
      </c>
      <c r="JO53" s="118" t="s">
        <v>502</v>
      </c>
      <c r="JP53" s="110">
        <v>3508450</v>
      </c>
      <c r="JQ53" s="111">
        <v>4191802.8755680001</v>
      </c>
      <c r="JR53" s="112">
        <f t="shared" si="0"/>
        <v>4</v>
      </c>
      <c r="JS53" s="113">
        <f t="shared" si="1"/>
        <v>3387502.7199999997</v>
      </c>
      <c r="JT53" s="114">
        <f t="shared" si="2"/>
        <v>3387550</v>
      </c>
      <c r="JU53" s="167"/>
    </row>
    <row r="54" spans="1:281" ht="101.25" customHeight="1" x14ac:dyDescent="0.2">
      <c r="A54" s="98">
        <v>152</v>
      </c>
      <c r="B54" s="99">
        <v>152</v>
      </c>
      <c r="C54" s="39" t="s">
        <v>12</v>
      </c>
      <c r="D54" s="139" t="s">
        <v>205</v>
      </c>
      <c r="E54" s="172">
        <v>95131700</v>
      </c>
      <c r="F54" s="168" t="s">
        <v>216</v>
      </c>
      <c r="G54" s="102" t="s">
        <v>86</v>
      </c>
      <c r="H54" s="103" t="s">
        <v>501</v>
      </c>
      <c r="I54" s="108" t="s">
        <v>503</v>
      </c>
      <c r="J54" s="108" t="s">
        <v>503</v>
      </c>
      <c r="K54" s="108" t="s">
        <v>503</v>
      </c>
      <c r="L54" s="118" t="s">
        <v>502</v>
      </c>
      <c r="M54" s="118" t="s">
        <v>502</v>
      </c>
      <c r="N54" s="118" t="s">
        <v>502</v>
      </c>
      <c r="O54" s="108" t="s">
        <v>503</v>
      </c>
      <c r="P54" s="108" t="s">
        <v>503</v>
      </c>
      <c r="Q54" s="108" t="s">
        <v>503</v>
      </c>
      <c r="R54" s="108" t="s">
        <v>503</v>
      </c>
      <c r="S54" s="108" t="s">
        <v>503</v>
      </c>
      <c r="T54" s="108" t="s">
        <v>503</v>
      </c>
      <c r="U54" s="118" t="s">
        <v>502</v>
      </c>
      <c r="V54" s="118" t="s">
        <v>502</v>
      </c>
      <c r="W54" s="118" t="s">
        <v>502</v>
      </c>
      <c r="X54" s="108" t="s">
        <v>503</v>
      </c>
      <c r="Y54" s="108" t="s">
        <v>503</v>
      </c>
      <c r="Z54" s="108" t="s">
        <v>503</v>
      </c>
      <c r="AA54" s="108" t="s">
        <v>503</v>
      </c>
      <c r="AB54" s="108" t="s">
        <v>503</v>
      </c>
      <c r="AC54" s="108" t="s">
        <v>503</v>
      </c>
      <c r="AD54" s="108" t="s">
        <v>503</v>
      </c>
      <c r="AE54" s="108" t="s">
        <v>503</v>
      </c>
      <c r="AF54" s="108" t="s">
        <v>503</v>
      </c>
      <c r="AG54" s="108" t="s">
        <v>503</v>
      </c>
      <c r="AH54" s="108" t="s">
        <v>503</v>
      </c>
      <c r="AI54" s="108" t="s">
        <v>503</v>
      </c>
      <c r="AJ54" s="108" t="s">
        <v>503</v>
      </c>
      <c r="AK54" s="108" t="s">
        <v>503</v>
      </c>
      <c r="AL54" s="108" t="s">
        <v>503</v>
      </c>
      <c r="AM54" s="108" t="s">
        <v>503</v>
      </c>
      <c r="AN54" s="108" t="s">
        <v>503</v>
      </c>
      <c r="AO54" s="108" t="s">
        <v>503</v>
      </c>
      <c r="AP54" s="108" t="s">
        <v>503</v>
      </c>
      <c r="AQ54" s="108" t="s">
        <v>503</v>
      </c>
      <c r="AR54" s="108" t="s">
        <v>503</v>
      </c>
      <c r="AS54" s="71">
        <v>3500000</v>
      </c>
      <c r="AT54" s="117">
        <f>+AS54*19%</f>
        <v>665000</v>
      </c>
      <c r="AU54" s="71">
        <f t="shared" si="22"/>
        <v>4165000</v>
      </c>
      <c r="AV54" s="108" t="s">
        <v>503</v>
      </c>
      <c r="AW54" s="108" t="s">
        <v>503</v>
      </c>
      <c r="AX54" s="108" t="s">
        <v>503</v>
      </c>
      <c r="AY54" s="108" t="s">
        <v>503</v>
      </c>
      <c r="AZ54" s="108" t="s">
        <v>503</v>
      </c>
      <c r="BA54" s="108" t="s">
        <v>503</v>
      </c>
      <c r="BB54" s="108" t="s">
        <v>503</v>
      </c>
      <c r="BC54" s="108" t="s">
        <v>503</v>
      </c>
      <c r="BD54" s="108" t="s">
        <v>503</v>
      </c>
      <c r="BE54" s="108" t="s">
        <v>503</v>
      </c>
      <c r="BF54" s="108" t="s">
        <v>503</v>
      </c>
      <c r="BG54" s="108" t="s">
        <v>503</v>
      </c>
      <c r="BH54" s="108" t="s">
        <v>503</v>
      </c>
      <c r="BI54" s="108" t="s">
        <v>503</v>
      </c>
      <c r="BJ54" s="108" t="s">
        <v>503</v>
      </c>
      <c r="BK54" s="108" t="s">
        <v>503</v>
      </c>
      <c r="BL54" s="108" t="s">
        <v>503</v>
      </c>
      <c r="BM54" s="108" t="s">
        <v>503</v>
      </c>
      <c r="BN54" s="108" t="s">
        <v>503</v>
      </c>
      <c r="BO54" s="108" t="s">
        <v>503</v>
      </c>
      <c r="BP54" s="108" t="s">
        <v>503</v>
      </c>
      <c r="BQ54" s="108" t="s">
        <v>503</v>
      </c>
      <c r="BR54" s="108" t="s">
        <v>503</v>
      </c>
      <c r="BS54" s="108" t="s">
        <v>503</v>
      </c>
      <c r="BT54" s="108" t="s">
        <v>503</v>
      </c>
      <c r="BU54" s="108" t="s">
        <v>503</v>
      </c>
      <c r="BV54" s="108" t="s">
        <v>503</v>
      </c>
      <c r="BW54" s="108" t="s">
        <v>503</v>
      </c>
      <c r="BX54" s="108" t="s">
        <v>503</v>
      </c>
      <c r="BY54" s="108" t="s">
        <v>503</v>
      </c>
      <c r="BZ54" s="77">
        <v>3168816.0000000005</v>
      </c>
      <c r="CA54" s="117">
        <f>+BZ54*19%</f>
        <v>602075.04000000015</v>
      </c>
      <c r="CB54" s="71">
        <f>+BZ54+CA54</f>
        <v>3770891.0400000005</v>
      </c>
      <c r="CC54" s="108" t="s">
        <v>503</v>
      </c>
      <c r="CD54" s="108" t="s">
        <v>503</v>
      </c>
      <c r="CE54" s="108" t="s">
        <v>503</v>
      </c>
      <c r="CF54" s="108" t="s">
        <v>503</v>
      </c>
      <c r="CG54" s="108" t="s">
        <v>503</v>
      </c>
      <c r="CH54" s="108" t="s">
        <v>503</v>
      </c>
      <c r="CI54" s="108" t="s">
        <v>503</v>
      </c>
      <c r="CJ54" s="108" t="s">
        <v>503</v>
      </c>
      <c r="CK54" s="108" t="s">
        <v>503</v>
      </c>
      <c r="CL54" s="108" t="s">
        <v>503</v>
      </c>
      <c r="CM54" s="108" t="s">
        <v>503</v>
      </c>
      <c r="CN54" s="108" t="s">
        <v>503</v>
      </c>
      <c r="CO54" s="108" t="s">
        <v>503</v>
      </c>
      <c r="CP54" s="108" t="s">
        <v>503</v>
      </c>
      <c r="CQ54" s="108" t="s">
        <v>503</v>
      </c>
      <c r="CR54" s="108" t="s">
        <v>503</v>
      </c>
      <c r="CS54" s="108" t="s">
        <v>503</v>
      </c>
      <c r="CT54" s="108" t="s">
        <v>503</v>
      </c>
      <c r="CU54" s="108" t="s">
        <v>503</v>
      </c>
      <c r="CV54" s="108" t="s">
        <v>503</v>
      </c>
      <c r="CW54" s="108" t="s">
        <v>503</v>
      </c>
      <c r="CX54" s="108" t="s">
        <v>503</v>
      </c>
      <c r="CY54" s="108" t="s">
        <v>503</v>
      </c>
      <c r="CZ54" s="108" t="s">
        <v>503</v>
      </c>
      <c r="DA54" s="108" t="s">
        <v>503</v>
      </c>
      <c r="DB54" s="108" t="s">
        <v>503</v>
      </c>
      <c r="DC54" s="108" t="s">
        <v>503</v>
      </c>
      <c r="DD54" s="108" t="s">
        <v>503</v>
      </c>
      <c r="DE54" s="108" t="s">
        <v>503</v>
      </c>
      <c r="DF54" s="108" t="s">
        <v>503</v>
      </c>
      <c r="DG54" s="108" t="s">
        <v>503</v>
      </c>
      <c r="DH54" s="108" t="s">
        <v>503</v>
      </c>
      <c r="DI54" s="108" t="s">
        <v>503</v>
      </c>
      <c r="DJ54" s="108" t="s">
        <v>503</v>
      </c>
      <c r="DK54" s="108" t="s">
        <v>503</v>
      </c>
      <c r="DL54" s="108" t="s">
        <v>503</v>
      </c>
      <c r="DM54" s="108" t="s">
        <v>503</v>
      </c>
      <c r="DN54" s="108" t="s">
        <v>503</v>
      </c>
      <c r="DO54" s="108" t="s">
        <v>503</v>
      </c>
      <c r="DP54" s="108" t="s">
        <v>669</v>
      </c>
      <c r="DQ54" s="108" t="s">
        <v>669</v>
      </c>
      <c r="DR54" s="108" t="s">
        <v>669</v>
      </c>
      <c r="DS54" s="108" t="s">
        <v>669</v>
      </c>
      <c r="DT54" s="108" t="s">
        <v>669</v>
      </c>
      <c r="DU54" s="108" t="s">
        <v>669</v>
      </c>
      <c r="DV54" s="108" t="s">
        <v>503</v>
      </c>
      <c r="DW54" s="108" t="s">
        <v>503</v>
      </c>
      <c r="DX54" s="108" t="s">
        <v>503</v>
      </c>
      <c r="DY54" s="108" t="s">
        <v>503</v>
      </c>
      <c r="DZ54" s="108" t="s">
        <v>503</v>
      </c>
      <c r="EA54" s="108" t="s">
        <v>503</v>
      </c>
      <c r="EB54" s="108" t="s">
        <v>503</v>
      </c>
      <c r="EC54" s="108" t="s">
        <v>503</v>
      </c>
      <c r="ED54" s="108" t="s">
        <v>503</v>
      </c>
      <c r="EE54" s="108" t="s">
        <v>503</v>
      </c>
      <c r="EF54" s="108" t="s">
        <v>503</v>
      </c>
      <c r="EG54" s="108" t="s">
        <v>503</v>
      </c>
      <c r="EH54" s="108" t="s">
        <v>503</v>
      </c>
      <c r="EI54" s="108" t="s">
        <v>503</v>
      </c>
      <c r="EJ54" s="108" t="s">
        <v>503</v>
      </c>
      <c r="EK54" s="108" t="s">
        <v>503</v>
      </c>
      <c r="EL54" s="108" t="s">
        <v>503</v>
      </c>
      <c r="EM54" s="108" t="s">
        <v>503</v>
      </c>
      <c r="EN54" s="108" t="s">
        <v>503</v>
      </c>
      <c r="EO54" s="108" t="s">
        <v>503</v>
      </c>
      <c r="EP54" s="108" t="s">
        <v>503</v>
      </c>
      <c r="EQ54" s="108" t="s">
        <v>502</v>
      </c>
      <c r="ER54" s="108" t="s">
        <v>502</v>
      </c>
      <c r="ES54" s="108" t="s">
        <v>502</v>
      </c>
      <c r="ET54" s="108" t="s">
        <v>502</v>
      </c>
      <c r="EU54" s="108" t="s">
        <v>502</v>
      </c>
      <c r="EV54" s="108" t="s">
        <v>502</v>
      </c>
      <c r="EW54" s="108" t="s">
        <v>502</v>
      </c>
      <c r="EX54" s="108" t="s">
        <v>502</v>
      </c>
      <c r="EY54" s="108" t="s">
        <v>502</v>
      </c>
      <c r="EZ54" s="71">
        <v>2100000</v>
      </c>
      <c r="FA54" s="71">
        <f>+EZ54*19%</f>
        <v>399000</v>
      </c>
      <c r="FB54" s="71">
        <f>+EZ54+FA54</f>
        <v>2499000</v>
      </c>
      <c r="FC54" s="108" t="s">
        <v>502</v>
      </c>
      <c r="FD54" s="108" t="s">
        <v>502</v>
      </c>
      <c r="FE54" s="108" t="s">
        <v>502</v>
      </c>
      <c r="FF54" s="108" t="s">
        <v>503</v>
      </c>
      <c r="FG54" s="108" t="s">
        <v>503</v>
      </c>
      <c r="FH54" s="108" t="s">
        <v>503</v>
      </c>
      <c r="FI54" s="108" t="s">
        <v>503</v>
      </c>
      <c r="FJ54" s="108" t="s">
        <v>503</v>
      </c>
      <c r="FK54" s="108" t="s">
        <v>503</v>
      </c>
      <c r="FL54" s="108" t="s">
        <v>503</v>
      </c>
      <c r="FM54" s="108" t="s">
        <v>503</v>
      </c>
      <c r="FN54" s="108" t="s">
        <v>503</v>
      </c>
      <c r="FO54" s="108" t="s">
        <v>502</v>
      </c>
      <c r="FP54" s="108" t="s">
        <v>502</v>
      </c>
      <c r="FQ54" s="108" t="s">
        <v>502</v>
      </c>
      <c r="FR54" s="108" t="s">
        <v>502</v>
      </c>
      <c r="FS54" s="108" t="s">
        <v>502</v>
      </c>
      <c r="FT54" s="108" t="s">
        <v>502</v>
      </c>
      <c r="FU54" s="108" t="s">
        <v>502</v>
      </c>
      <c r="FV54" s="108" t="s">
        <v>502</v>
      </c>
      <c r="FW54" s="108" t="s">
        <v>502</v>
      </c>
      <c r="FX54" s="108" t="s">
        <v>503</v>
      </c>
      <c r="FY54" s="108" t="s">
        <v>503</v>
      </c>
      <c r="FZ54" s="108" t="s">
        <v>503</v>
      </c>
      <c r="GA54" s="108" t="s">
        <v>503</v>
      </c>
      <c r="GB54" s="108" t="s">
        <v>503</v>
      </c>
      <c r="GC54" s="108" t="s">
        <v>503</v>
      </c>
      <c r="GD54" s="108" t="s">
        <v>503</v>
      </c>
      <c r="GE54" s="108" t="s">
        <v>503</v>
      </c>
      <c r="GF54" s="108" t="s">
        <v>503</v>
      </c>
      <c r="GG54" s="108" t="s">
        <v>669</v>
      </c>
      <c r="GH54" s="108" t="s">
        <v>669</v>
      </c>
      <c r="GI54" s="108" t="s">
        <v>669</v>
      </c>
      <c r="GJ54" s="108" t="s">
        <v>669</v>
      </c>
      <c r="GK54" s="108" t="s">
        <v>669</v>
      </c>
      <c r="GL54" s="108" t="s">
        <v>669</v>
      </c>
      <c r="GM54" s="108" t="s">
        <v>502</v>
      </c>
      <c r="GN54" s="108" t="s">
        <v>502</v>
      </c>
      <c r="GO54" s="108" t="s">
        <v>502</v>
      </c>
      <c r="GP54" s="108" t="s">
        <v>664</v>
      </c>
      <c r="GQ54" s="108" t="s">
        <v>664</v>
      </c>
      <c r="GR54" s="108" t="s">
        <v>664</v>
      </c>
      <c r="GS54" s="108" t="s">
        <v>503</v>
      </c>
      <c r="GT54" s="108" t="s">
        <v>503</v>
      </c>
      <c r="GU54" s="108" t="s">
        <v>503</v>
      </c>
      <c r="GV54" s="108" t="s">
        <v>502</v>
      </c>
      <c r="GW54" s="108" t="s">
        <v>502</v>
      </c>
      <c r="GX54" s="108" t="s">
        <v>502</v>
      </c>
      <c r="GY54" s="108" t="s">
        <v>664</v>
      </c>
      <c r="GZ54" s="108" t="s">
        <v>664</v>
      </c>
      <c r="HA54" s="108" t="s">
        <v>664</v>
      </c>
      <c r="HB54" s="108" t="s">
        <v>664</v>
      </c>
      <c r="HC54" s="108" t="s">
        <v>664</v>
      </c>
      <c r="HD54" s="108" t="s">
        <v>664</v>
      </c>
      <c r="HE54" s="108" t="s">
        <v>664</v>
      </c>
      <c r="HF54" s="108" t="s">
        <v>664</v>
      </c>
      <c r="HG54" s="108" t="s">
        <v>664</v>
      </c>
      <c r="HH54" s="108" t="s">
        <v>664</v>
      </c>
      <c r="HI54" s="108" t="s">
        <v>664</v>
      </c>
      <c r="HJ54" s="108" t="s">
        <v>664</v>
      </c>
      <c r="HK54" s="108" t="s">
        <v>664</v>
      </c>
      <c r="HL54" s="108" t="s">
        <v>664</v>
      </c>
      <c r="HM54" s="108" t="s">
        <v>664</v>
      </c>
      <c r="HN54" s="108" t="s">
        <v>664</v>
      </c>
      <c r="HO54" s="108" t="s">
        <v>664</v>
      </c>
      <c r="HP54" s="108" t="s">
        <v>664</v>
      </c>
      <c r="HQ54" s="108" t="s">
        <v>503</v>
      </c>
      <c r="HR54" s="108" t="s">
        <v>503</v>
      </c>
      <c r="HS54" s="108" t="s">
        <v>503</v>
      </c>
      <c r="HT54" s="108" t="s">
        <v>502</v>
      </c>
      <c r="HU54" s="108" t="s">
        <v>502</v>
      </c>
      <c r="HV54" s="108" t="s">
        <v>502</v>
      </c>
      <c r="HW54" s="108" t="s">
        <v>503</v>
      </c>
      <c r="HX54" s="108" t="s">
        <v>503</v>
      </c>
      <c r="HY54" s="108" t="s">
        <v>503</v>
      </c>
      <c r="HZ54" s="118" t="s">
        <v>502</v>
      </c>
      <c r="IA54" s="118" t="s">
        <v>502</v>
      </c>
      <c r="IB54" s="118" t="s">
        <v>502</v>
      </c>
      <c r="IC54" s="118" t="s">
        <v>502</v>
      </c>
      <c r="ID54" s="118" t="s">
        <v>502</v>
      </c>
      <c r="IE54" s="118" t="s">
        <v>502</v>
      </c>
      <c r="IF54" s="118" t="s">
        <v>502</v>
      </c>
      <c r="IG54" s="118" t="s">
        <v>502</v>
      </c>
      <c r="IH54" s="118" t="s">
        <v>502</v>
      </c>
      <c r="II54" s="118" t="s">
        <v>502</v>
      </c>
      <c r="IJ54" s="118" t="s">
        <v>502</v>
      </c>
      <c r="IK54" s="118" t="s">
        <v>502</v>
      </c>
      <c r="IL54" s="118" t="s">
        <v>502</v>
      </c>
      <c r="IM54" s="118" t="s">
        <v>502</v>
      </c>
      <c r="IN54" s="118" t="s">
        <v>502</v>
      </c>
      <c r="IO54" s="120" t="s">
        <v>503</v>
      </c>
      <c r="IP54" s="120" t="s">
        <v>503</v>
      </c>
      <c r="IQ54" s="120" t="s">
        <v>503</v>
      </c>
      <c r="IR54" s="118" t="s">
        <v>669</v>
      </c>
      <c r="IS54" s="118" t="s">
        <v>669</v>
      </c>
      <c r="IT54" s="118" t="s">
        <v>669</v>
      </c>
      <c r="IU54" s="120" t="s">
        <v>503</v>
      </c>
      <c r="IV54" s="120" t="s">
        <v>503</v>
      </c>
      <c r="IW54" s="120" t="s">
        <v>503</v>
      </c>
      <c r="IX54" s="120" t="s">
        <v>503</v>
      </c>
      <c r="IY54" s="120" t="s">
        <v>503</v>
      </c>
      <c r="IZ54" s="120" t="s">
        <v>503</v>
      </c>
      <c r="JA54" s="120" t="s">
        <v>503</v>
      </c>
      <c r="JB54" s="120" t="s">
        <v>503</v>
      </c>
      <c r="JC54" s="120" t="s">
        <v>503</v>
      </c>
      <c r="JD54" s="120" t="s">
        <v>664</v>
      </c>
      <c r="JE54" s="120" t="s">
        <v>664</v>
      </c>
      <c r="JF54" s="120" t="s">
        <v>664</v>
      </c>
      <c r="JG54" s="118" t="s">
        <v>502</v>
      </c>
      <c r="JH54" s="118" t="s">
        <v>502</v>
      </c>
      <c r="JI54" s="118" t="s">
        <v>502</v>
      </c>
      <c r="JJ54" s="118" t="s">
        <v>502</v>
      </c>
      <c r="JK54" s="118" t="s">
        <v>502</v>
      </c>
      <c r="JL54" s="118" t="s">
        <v>502</v>
      </c>
      <c r="JM54" s="118" t="s">
        <v>502</v>
      </c>
      <c r="JN54" s="118" t="s">
        <v>502</v>
      </c>
      <c r="JO54" s="118" t="s">
        <v>502</v>
      </c>
      <c r="JP54" s="110">
        <v>2974100</v>
      </c>
      <c r="JQ54" s="111">
        <v>3553375.6879039998</v>
      </c>
      <c r="JR54" s="112">
        <f t="shared" si="0"/>
        <v>3</v>
      </c>
      <c r="JS54" s="113">
        <f t="shared" si="1"/>
        <v>3478297.0133333337</v>
      </c>
      <c r="JT54" s="114">
        <f t="shared" si="2"/>
        <v>3478300</v>
      </c>
      <c r="JU54" s="167"/>
    </row>
    <row r="55" spans="1:281" ht="115.5" customHeight="1" x14ac:dyDescent="0.2">
      <c r="A55" s="98">
        <v>153</v>
      </c>
      <c r="B55" s="99">
        <v>153</v>
      </c>
      <c r="C55" s="39" t="s">
        <v>12</v>
      </c>
      <c r="D55" s="139" t="s">
        <v>206</v>
      </c>
      <c r="E55" s="172">
        <v>95131700</v>
      </c>
      <c r="F55" s="168" t="s">
        <v>217</v>
      </c>
      <c r="G55" s="102" t="s">
        <v>86</v>
      </c>
      <c r="H55" s="103" t="s">
        <v>501</v>
      </c>
      <c r="I55" s="108" t="s">
        <v>503</v>
      </c>
      <c r="J55" s="108" t="s">
        <v>503</v>
      </c>
      <c r="K55" s="108" t="s">
        <v>503</v>
      </c>
      <c r="L55" s="118" t="s">
        <v>502</v>
      </c>
      <c r="M55" s="118" t="s">
        <v>502</v>
      </c>
      <c r="N55" s="118" t="s">
        <v>502</v>
      </c>
      <c r="O55" s="108" t="s">
        <v>503</v>
      </c>
      <c r="P55" s="108" t="s">
        <v>503</v>
      </c>
      <c r="Q55" s="108" t="s">
        <v>503</v>
      </c>
      <c r="R55" s="108" t="s">
        <v>503</v>
      </c>
      <c r="S55" s="108" t="s">
        <v>503</v>
      </c>
      <c r="T55" s="108" t="s">
        <v>503</v>
      </c>
      <c r="U55" s="118" t="s">
        <v>502</v>
      </c>
      <c r="V55" s="118" t="s">
        <v>502</v>
      </c>
      <c r="W55" s="118" t="s">
        <v>502</v>
      </c>
      <c r="X55" s="108" t="s">
        <v>503</v>
      </c>
      <c r="Y55" s="108" t="s">
        <v>503</v>
      </c>
      <c r="Z55" s="108" t="s">
        <v>503</v>
      </c>
      <c r="AA55" s="108" t="s">
        <v>503</v>
      </c>
      <c r="AB55" s="108" t="s">
        <v>503</v>
      </c>
      <c r="AC55" s="108" t="s">
        <v>503</v>
      </c>
      <c r="AD55" s="108" t="s">
        <v>503</v>
      </c>
      <c r="AE55" s="108" t="s">
        <v>503</v>
      </c>
      <c r="AF55" s="108" t="s">
        <v>503</v>
      </c>
      <c r="AG55" s="108" t="s">
        <v>503</v>
      </c>
      <c r="AH55" s="108" t="s">
        <v>503</v>
      </c>
      <c r="AI55" s="108" t="s">
        <v>503</v>
      </c>
      <c r="AJ55" s="108" t="s">
        <v>503</v>
      </c>
      <c r="AK55" s="108" t="s">
        <v>503</v>
      </c>
      <c r="AL55" s="108" t="s">
        <v>503</v>
      </c>
      <c r="AM55" s="108" t="s">
        <v>503</v>
      </c>
      <c r="AN55" s="108" t="s">
        <v>503</v>
      </c>
      <c r="AO55" s="108" t="s">
        <v>503</v>
      </c>
      <c r="AP55" s="108" t="s">
        <v>503</v>
      </c>
      <c r="AQ55" s="108" t="s">
        <v>503</v>
      </c>
      <c r="AR55" s="108" t="s">
        <v>503</v>
      </c>
      <c r="AS55" s="108" t="s">
        <v>503</v>
      </c>
      <c r="AT55" s="108" t="s">
        <v>503</v>
      </c>
      <c r="AU55" s="108" t="s">
        <v>503</v>
      </c>
      <c r="AV55" s="108" t="s">
        <v>503</v>
      </c>
      <c r="AW55" s="108" t="s">
        <v>503</v>
      </c>
      <c r="AX55" s="108" t="s">
        <v>503</v>
      </c>
      <c r="AY55" s="108" t="s">
        <v>503</v>
      </c>
      <c r="AZ55" s="108" t="s">
        <v>503</v>
      </c>
      <c r="BA55" s="108" t="s">
        <v>503</v>
      </c>
      <c r="BB55" s="108" t="s">
        <v>503</v>
      </c>
      <c r="BC55" s="108" t="s">
        <v>503</v>
      </c>
      <c r="BD55" s="108" t="s">
        <v>503</v>
      </c>
      <c r="BE55" s="108" t="s">
        <v>503</v>
      </c>
      <c r="BF55" s="108" t="s">
        <v>503</v>
      </c>
      <c r="BG55" s="108" t="s">
        <v>503</v>
      </c>
      <c r="BH55" s="108" t="s">
        <v>503</v>
      </c>
      <c r="BI55" s="108" t="s">
        <v>503</v>
      </c>
      <c r="BJ55" s="108" t="s">
        <v>503</v>
      </c>
      <c r="BK55" s="108" t="s">
        <v>503</v>
      </c>
      <c r="BL55" s="108" t="s">
        <v>503</v>
      </c>
      <c r="BM55" s="108" t="s">
        <v>503</v>
      </c>
      <c r="BN55" s="108" t="s">
        <v>503</v>
      </c>
      <c r="BO55" s="108" t="s">
        <v>503</v>
      </c>
      <c r="BP55" s="108" t="s">
        <v>503</v>
      </c>
      <c r="BQ55" s="108" t="s">
        <v>503</v>
      </c>
      <c r="BR55" s="108" t="s">
        <v>503</v>
      </c>
      <c r="BS55" s="108" t="s">
        <v>503</v>
      </c>
      <c r="BT55" s="108" t="s">
        <v>503</v>
      </c>
      <c r="BU55" s="108" t="s">
        <v>503</v>
      </c>
      <c r="BV55" s="108" t="s">
        <v>503</v>
      </c>
      <c r="BW55" s="108" t="s">
        <v>503</v>
      </c>
      <c r="BX55" s="108" t="s">
        <v>503</v>
      </c>
      <c r="BY55" s="108" t="s">
        <v>503</v>
      </c>
      <c r="BZ55" s="108" t="s">
        <v>503</v>
      </c>
      <c r="CA55" s="108" t="s">
        <v>503</v>
      </c>
      <c r="CB55" s="108" t="s">
        <v>503</v>
      </c>
      <c r="CC55" s="108" t="s">
        <v>503</v>
      </c>
      <c r="CD55" s="108" t="s">
        <v>503</v>
      </c>
      <c r="CE55" s="108" t="s">
        <v>503</v>
      </c>
      <c r="CF55" s="108" t="s">
        <v>503</v>
      </c>
      <c r="CG55" s="108" t="s">
        <v>503</v>
      </c>
      <c r="CH55" s="108" t="s">
        <v>503</v>
      </c>
      <c r="CI55" s="108" t="s">
        <v>503</v>
      </c>
      <c r="CJ55" s="108" t="s">
        <v>503</v>
      </c>
      <c r="CK55" s="108" t="s">
        <v>503</v>
      </c>
      <c r="CL55" s="108" t="s">
        <v>503</v>
      </c>
      <c r="CM55" s="108" t="s">
        <v>503</v>
      </c>
      <c r="CN55" s="108" t="s">
        <v>503</v>
      </c>
      <c r="CO55" s="108" t="s">
        <v>503</v>
      </c>
      <c r="CP55" s="108" t="s">
        <v>503</v>
      </c>
      <c r="CQ55" s="108" t="s">
        <v>503</v>
      </c>
      <c r="CR55" s="108" t="s">
        <v>503</v>
      </c>
      <c r="CS55" s="108" t="s">
        <v>503</v>
      </c>
      <c r="CT55" s="108" t="s">
        <v>503</v>
      </c>
      <c r="CU55" s="108" t="s">
        <v>503</v>
      </c>
      <c r="CV55" s="108" t="s">
        <v>503</v>
      </c>
      <c r="CW55" s="108" t="s">
        <v>503</v>
      </c>
      <c r="CX55" s="108" t="s">
        <v>503</v>
      </c>
      <c r="CY55" s="108" t="s">
        <v>503</v>
      </c>
      <c r="CZ55" s="108" t="s">
        <v>503</v>
      </c>
      <c r="DA55" s="108" t="s">
        <v>503</v>
      </c>
      <c r="DB55" s="108" t="s">
        <v>503</v>
      </c>
      <c r="DC55" s="108" t="s">
        <v>503</v>
      </c>
      <c r="DD55" s="108" t="s">
        <v>503</v>
      </c>
      <c r="DE55" s="108" t="s">
        <v>503</v>
      </c>
      <c r="DF55" s="108" t="s">
        <v>503</v>
      </c>
      <c r="DG55" s="108" t="s">
        <v>503</v>
      </c>
      <c r="DH55" s="108" t="s">
        <v>503</v>
      </c>
      <c r="DI55" s="108" t="s">
        <v>503</v>
      </c>
      <c r="DJ55" s="108" t="s">
        <v>503</v>
      </c>
      <c r="DK55" s="108" t="s">
        <v>503</v>
      </c>
      <c r="DL55" s="108" t="s">
        <v>503</v>
      </c>
      <c r="DM55" s="108" t="s">
        <v>503</v>
      </c>
      <c r="DN55" s="108" t="s">
        <v>503</v>
      </c>
      <c r="DO55" s="108" t="s">
        <v>503</v>
      </c>
      <c r="DP55" s="108" t="s">
        <v>669</v>
      </c>
      <c r="DQ55" s="108" t="s">
        <v>669</v>
      </c>
      <c r="DR55" s="108" t="s">
        <v>669</v>
      </c>
      <c r="DS55" s="108" t="s">
        <v>669</v>
      </c>
      <c r="DT55" s="108" t="s">
        <v>669</v>
      </c>
      <c r="DU55" s="108" t="s">
        <v>669</v>
      </c>
      <c r="DV55" s="108" t="s">
        <v>503</v>
      </c>
      <c r="DW55" s="108" t="s">
        <v>503</v>
      </c>
      <c r="DX55" s="108" t="s">
        <v>503</v>
      </c>
      <c r="DY55" s="108" t="s">
        <v>503</v>
      </c>
      <c r="DZ55" s="108" t="s">
        <v>503</v>
      </c>
      <c r="EA55" s="108" t="s">
        <v>503</v>
      </c>
      <c r="EB55" s="108" t="s">
        <v>503</v>
      </c>
      <c r="EC55" s="108" t="s">
        <v>503</v>
      </c>
      <c r="ED55" s="108" t="s">
        <v>503</v>
      </c>
      <c r="EE55" s="108" t="s">
        <v>503</v>
      </c>
      <c r="EF55" s="108" t="s">
        <v>503</v>
      </c>
      <c r="EG55" s="108" t="s">
        <v>503</v>
      </c>
      <c r="EH55" s="108" t="s">
        <v>503</v>
      </c>
      <c r="EI55" s="108" t="s">
        <v>503</v>
      </c>
      <c r="EJ55" s="108" t="s">
        <v>503</v>
      </c>
      <c r="EK55" s="108" t="s">
        <v>503</v>
      </c>
      <c r="EL55" s="108" t="s">
        <v>503</v>
      </c>
      <c r="EM55" s="108" t="s">
        <v>503</v>
      </c>
      <c r="EN55" s="108" t="s">
        <v>503</v>
      </c>
      <c r="EO55" s="108" t="s">
        <v>503</v>
      </c>
      <c r="EP55" s="108" t="s">
        <v>503</v>
      </c>
      <c r="EQ55" s="108" t="s">
        <v>502</v>
      </c>
      <c r="ER55" s="108" t="s">
        <v>502</v>
      </c>
      <c r="ES55" s="108" t="s">
        <v>502</v>
      </c>
      <c r="ET55" s="108" t="s">
        <v>502</v>
      </c>
      <c r="EU55" s="108" t="s">
        <v>502</v>
      </c>
      <c r="EV55" s="108" t="s">
        <v>502</v>
      </c>
      <c r="EW55" s="108" t="s">
        <v>502</v>
      </c>
      <c r="EX55" s="108" t="s">
        <v>502</v>
      </c>
      <c r="EY55" s="108" t="s">
        <v>502</v>
      </c>
      <c r="EZ55" s="71">
        <v>3700000</v>
      </c>
      <c r="FA55" s="71">
        <f>+EZ55*19%</f>
        <v>703000</v>
      </c>
      <c r="FB55" s="71">
        <f>+EZ55+FA55</f>
        <v>4403000</v>
      </c>
      <c r="FC55" s="108" t="s">
        <v>502</v>
      </c>
      <c r="FD55" s="108" t="s">
        <v>502</v>
      </c>
      <c r="FE55" s="108" t="s">
        <v>502</v>
      </c>
      <c r="FF55" s="108" t="s">
        <v>503</v>
      </c>
      <c r="FG55" s="108" t="s">
        <v>503</v>
      </c>
      <c r="FH55" s="108" t="s">
        <v>503</v>
      </c>
      <c r="FI55" s="108" t="s">
        <v>503</v>
      </c>
      <c r="FJ55" s="108" t="s">
        <v>503</v>
      </c>
      <c r="FK55" s="108" t="s">
        <v>503</v>
      </c>
      <c r="FL55" s="108" t="s">
        <v>503</v>
      </c>
      <c r="FM55" s="108" t="s">
        <v>503</v>
      </c>
      <c r="FN55" s="108" t="s">
        <v>503</v>
      </c>
      <c r="FO55" s="108" t="s">
        <v>502</v>
      </c>
      <c r="FP55" s="108" t="s">
        <v>502</v>
      </c>
      <c r="FQ55" s="108" t="s">
        <v>502</v>
      </c>
      <c r="FR55" s="108" t="s">
        <v>502</v>
      </c>
      <c r="FS55" s="108" t="s">
        <v>502</v>
      </c>
      <c r="FT55" s="108" t="s">
        <v>502</v>
      </c>
      <c r="FU55" s="108" t="s">
        <v>502</v>
      </c>
      <c r="FV55" s="108" t="s">
        <v>502</v>
      </c>
      <c r="FW55" s="108" t="s">
        <v>502</v>
      </c>
      <c r="FX55" s="108" t="s">
        <v>503</v>
      </c>
      <c r="FY55" s="108" t="s">
        <v>503</v>
      </c>
      <c r="FZ55" s="108" t="s">
        <v>503</v>
      </c>
      <c r="GA55" s="108" t="s">
        <v>503</v>
      </c>
      <c r="GB55" s="108" t="s">
        <v>503</v>
      </c>
      <c r="GC55" s="108" t="s">
        <v>503</v>
      </c>
      <c r="GD55" s="108" t="s">
        <v>503</v>
      </c>
      <c r="GE55" s="108" t="s">
        <v>503</v>
      </c>
      <c r="GF55" s="108" t="s">
        <v>503</v>
      </c>
      <c r="GG55" s="108" t="s">
        <v>669</v>
      </c>
      <c r="GH55" s="108" t="s">
        <v>669</v>
      </c>
      <c r="GI55" s="108" t="s">
        <v>669</v>
      </c>
      <c r="GJ55" s="108" t="s">
        <v>669</v>
      </c>
      <c r="GK55" s="108" t="s">
        <v>669</v>
      </c>
      <c r="GL55" s="108" t="s">
        <v>669</v>
      </c>
      <c r="GM55" s="108" t="s">
        <v>502</v>
      </c>
      <c r="GN55" s="108" t="s">
        <v>502</v>
      </c>
      <c r="GO55" s="108" t="s">
        <v>502</v>
      </c>
      <c r="GP55" s="108" t="s">
        <v>664</v>
      </c>
      <c r="GQ55" s="108" t="s">
        <v>664</v>
      </c>
      <c r="GR55" s="108" t="s">
        <v>664</v>
      </c>
      <c r="GS55" s="108" t="s">
        <v>503</v>
      </c>
      <c r="GT55" s="108" t="s">
        <v>503</v>
      </c>
      <c r="GU55" s="108" t="s">
        <v>503</v>
      </c>
      <c r="GV55" s="108" t="s">
        <v>502</v>
      </c>
      <c r="GW55" s="108" t="s">
        <v>502</v>
      </c>
      <c r="GX55" s="108" t="s">
        <v>502</v>
      </c>
      <c r="GY55" s="108" t="s">
        <v>664</v>
      </c>
      <c r="GZ55" s="108" t="s">
        <v>664</v>
      </c>
      <c r="HA55" s="108" t="s">
        <v>664</v>
      </c>
      <c r="HB55" s="108" t="s">
        <v>664</v>
      </c>
      <c r="HC55" s="108" t="s">
        <v>664</v>
      </c>
      <c r="HD55" s="108" t="s">
        <v>664</v>
      </c>
      <c r="HE55" s="108" t="s">
        <v>664</v>
      </c>
      <c r="HF55" s="108" t="s">
        <v>664</v>
      </c>
      <c r="HG55" s="108" t="s">
        <v>664</v>
      </c>
      <c r="HH55" s="108" t="s">
        <v>664</v>
      </c>
      <c r="HI55" s="108" t="s">
        <v>664</v>
      </c>
      <c r="HJ55" s="108" t="s">
        <v>664</v>
      </c>
      <c r="HK55" s="108" t="s">
        <v>664</v>
      </c>
      <c r="HL55" s="108" t="s">
        <v>664</v>
      </c>
      <c r="HM55" s="108" t="s">
        <v>664</v>
      </c>
      <c r="HN55" s="108" t="s">
        <v>664</v>
      </c>
      <c r="HO55" s="108" t="s">
        <v>664</v>
      </c>
      <c r="HP55" s="108" t="s">
        <v>664</v>
      </c>
      <c r="HQ55" s="108" t="s">
        <v>503</v>
      </c>
      <c r="HR55" s="108" t="s">
        <v>503</v>
      </c>
      <c r="HS55" s="108" t="s">
        <v>503</v>
      </c>
      <c r="HT55" s="108" t="s">
        <v>502</v>
      </c>
      <c r="HU55" s="108" t="s">
        <v>502</v>
      </c>
      <c r="HV55" s="108" t="s">
        <v>502</v>
      </c>
      <c r="HW55" s="108" t="s">
        <v>503</v>
      </c>
      <c r="HX55" s="108" t="s">
        <v>503</v>
      </c>
      <c r="HY55" s="108" t="s">
        <v>503</v>
      </c>
      <c r="HZ55" s="118" t="s">
        <v>502</v>
      </c>
      <c r="IA55" s="118" t="s">
        <v>502</v>
      </c>
      <c r="IB55" s="118" t="s">
        <v>502</v>
      </c>
      <c r="IC55" s="118" t="s">
        <v>502</v>
      </c>
      <c r="ID55" s="118" t="s">
        <v>502</v>
      </c>
      <c r="IE55" s="118" t="s">
        <v>502</v>
      </c>
      <c r="IF55" s="118" t="s">
        <v>502</v>
      </c>
      <c r="IG55" s="118" t="s">
        <v>502</v>
      </c>
      <c r="IH55" s="118" t="s">
        <v>502</v>
      </c>
      <c r="II55" s="118" t="s">
        <v>502</v>
      </c>
      <c r="IJ55" s="118" t="s">
        <v>502</v>
      </c>
      <c r="IK55" s="118" t="s">
        <v>502</v>
      </c>
      <c r="IL55" s="118" t="s">
        <v>502</v>
      </c>
      <c r="IM55" s="118" t="s">
        <v>502</v>
      </c>
      <c r="IN55" s="118" t="s">
        <v>502</v>
      </c>
      <c r="IO55" s="120" t="s">
        <v>503</v>
      </c>
      <c r="IP55" s="120" t="s">
        <v>503</v>
      </c>
      <c r="IQ55" s="120" t="s">
        <v>503</v>
      </c>
      <c r="IR55" s="118" t="s">
        <v>669</v>
      </c>
      <c r="IS55" s="118" t="s">
        <v>669</v>
      </c>
      <c r="IT55" s="118" t="s">
        <v>669</v>
      </c>
      <c r="IU55" s="120" t="s">
        <v>503</v>
      </c>
      <c r="IV55" s="120" t="s">
        <v>503</v>
      </c>
      <c r="IW55" s="120" t="s">
        <v>503</v>
      </c>
      <c r="IX55" s="120" t="s">
        <v>503</v>
      </c>
      <c r="IY55" s="120" t="s">
        <v>503</v>
      </c>
      <c r="IZ55" s="120" t="s">
        <v>503</v>
      </c>
      <c r="JA55" s="173">
        <v>5523557.0899999999</v>
      </c>
      <c r="JB55" s="113">
        <f>+JA55*0%</f>
        <v>0</v>
      </c>
      <c r="JC55" s="113">
        <f>+JA55+JB55</f>
        <v>5523557.0899999999</v>
      </c>
      <c r="JD55" s="120" t="s">
        <v>664</v>
      </c>
      <c r="JE55" s="120" t="s">
        <v>664</v>
      </c>
      <c r="JF55" s="120" t="s">
        <v>664</v>
      </c>
      <c r="JG55" s="118" t="s">
        <v>502</v>
      </c>
      <c r="JH55" s="118" t="s">
        <v>502</v>
      </c>
      <c r="JI55" s="118" t="s">
        <v>502</v>
      </c>
      <c r="JJ55" s="118" t="s">
        <v>502</v>
      </c>
      <c r="JK55" s="118" t="s">
        <v>502</v>
      </c>
      <c r="JL55" s="118" t="s">
        <v>502</v>
      </c>
      <c r="JM55" s="118" t="s">
        <v>502</v>
      </c>
      <c r="JN55" s="118" t="s">
        <v>502</v>
      </c>
      <c r="JO55" s="118" t="s">
        <v>502</v>
      </c>
      <c r="JP55" s="110">
        <v>4623100</v>
      </c>
      <c r="JQ55" s="111">
        <v>5523557.0904639997</v>
      </c>
      <c r="JR55" s="112">
        <f t="shared" si="0"/>
        <v>2</v>
      </c>
      <c r="JS55" s="113">
        <f t="shared" si="1"/>
        <v>4963278.5449999999</v>
      </c>
      <c r="JT55" s="114">
        <f t="shared" si="2"/>
        <v>4963300</v>
      </c>
      <c r="JU55" s="167"/>
    </row>
    <row r="56" spans="1:281" ht="101.25" customHeight="1" x14ac:dyDescent="0.2">
      <c r="A56" s="98">
        <v>154</v>
      </c>
      <c r="B56" s="99">
        <v>154</v>
      </c>
      <c r="C56" s="39" t="s">
        <v>12</v>
      </c>
      <c r="D56" s="100" t="s">
        <v>207</v>
      </c>
      <c r="E56" s="170">
        <v>80141600</v>
      </c>
      <c r="F56" s="168" t="s">
        <v>218</v>
      </c>
      <c r="G56" s="102" t="s">
        <v>86</v>
      </c>
      <c r="H56" s="103" t="s">
        <v>501</v>
      </c>
      <c r="I56" s="108" t="s">
        <v>503</v>
      </c>
      <c r="J56" s="108" t="s">
        <v>503</v>
      </c>
      <c r="K56" s="108" t="s">
        <v>503</v>
      </c>
      <c r="L56" s="118" t="s">
        <v>502</v>
      </c>
      <c r="M56" s="118" t="s">
        <v>502</v>
      </c>
      <c r="N56" s="118" t="s">
        <v>502</v>
      </c>
      <c r="O56" s="108" t="s">
        <v>503</v>
      </c>
      <c r="P56" s="108" t="s">
        <v>503</v>
      </c>
      <c r="Q56" s="108" t="s">
        <v>503</v>
      </c>
      <c r="R56" s="108" t="s">
        <v>503</v>
      </c>
      <c r="S56" s="108" t="s">
        <v>503</v>
      </c>
      <c r="T56" s="108" t="s">
        <v>503</v>
      </c>
      <c r="U56" s="118" t="s">
        <v>502</v>
      </c>
      <c r="V56" s="118" t="s">
        <v>502</v>
      </c>
      <c r="W56" s="118" t="s">
        <v>502</v>
      </c>
      <c r="X56" s="108" t="s">
        <v>503</v>
      </c>
      <c r="Y56" s="108" t="s">
        <v>503</v>
      </c>
      <c r="Z56" s="108" t="s">
        <v>503</v>
      </c>
      <c r="AA56" s="108" t="s">
        <v>503</v>
      </c>
      <c r="AB56" s="108" t="s">
        <v>503</v>
      </c>
      <c r="AC56" s="108" t="s">
        <v>503</v>
      </c>
      <c r="AD56" s="108" t="s">
        <v>503</v>
      </c>
      <c r="AE56" s="108" t="s">
        <v>503</v>
      </c>
      <c r="AF56" s="108" t="s">
        <v>503</v>
      </c>
      <c r="AG56" s="108" t="s">
        <v>503</v>
      </c>
      <c r="AH56" s="108" t="s">
        <v>503</v>
      </c>
      <c r="AI56" s="108" t="s">
        <v>503</v>
      </c>
      <c r="AJ56" s="108" t="s">
        <v>503</v>
      </c>
      <c r="AK56" s="108" t="s">
        <v>503</v>
      </c>
      <c r="AL56" s="108" t="s">
        <v>503</v>
      </c>
      <c r="AM56" s="108" t="s">
        <v>503</v>
      </c>
      <c r="AN56" s="108" t="s">
        <v>503</v>
      </c>
      <c r="AO56" s="108" t="s">
        <v>503</v>
      </c>
      <c r="AP56" s="108" t="s">
        <v>503</v>
      </c>
      <c r="AQ56" s="108" t="s">
        <v>503</v>
      </c>
      <c r="AR56" s="108" t="s">
        <v>503</v>
      </c>
      <c r="AS56" s="108" t="s">
        <v>503</v>
      </c>
      <c r="AT56" s="108" t="s">
        <v>503</v>
      </c>
      <c r="AU56" s="108" t="s">
        <v>503</v>
      </c>
      <c r="AV56" s="108" t="s">
        <v>503</v>
      </c>
      <c r="AW56" s="108" t="s">
        <v>503</v>
      </c>
      <c r="AX56" s="108" t="s">
        <v>503</v>
      </c>
      <c r="AY56" s="108" t="s">
        <v>503</v>
      </c>
      <c r="AZ56" s="108" t="s">
        <v>503</v>
      </c>
      <c r="BA56" s="108" t="s">
        <v>503</v>
      </c>
      <c r="BB56" s="108" t="s">
        <v>503</v>
      </c>
      <c r="BC56" s="108" t="s">
        <v>503</v>
      </c>
      <c r="BD56" s="108" t="s">
        <v>503</v>
      </c>
      <c r="BE56" s="108" t="s">
        <v>503</v>
      </c>
      <c r="BF56" s="108" t="s">
        <v>503</v>
      </c>
      <c r="BG56" s="108" t="s">
        <v>503</v>
      </c>
      <c r="BH56" s="108" t="s">
        <v>503</v>
      </c>
      <c r="BI56" s="108" t="s">
        <v>503</v>
      </c>
      <c r="BJ56" s="108" t="s">
        <v>503</v>
      </c>
      <c r="BK56" s="108" t="s">
        <v>503</v>
      </c>
      <c r="BL56" s="108" t="s">
        <v>503</v>
      </c>
      <c r="BM56" s="108" t="s">
        <v>503</v>
      </c>
      <c r="BN56" s="108" t="s">
        <v>503</v>
      </c>
      <c r="BO56" s="108" t="s">
        <v>503</v>
      </c>
      <c r="BP56" s="108" t="s">
        <v>503</v>
      </c>
      <c r="BQ56" s="108" t="s">
        <v>503</v>
      </c>
      <c r="BR56" s="108" t="s">
        <v>503</v>
      </c>
      <c r="BS56" s="108" t="s">
        <v>503</v>
      </c>
      <c r="BT56" s="108" t="s">
        <v>503</v>
      </c>
      <c r="BU56" s="108" t="s">
        <v>503</v>
      </c>
      <c r="BV56" s="108" t="s">
        <v>503</v>
      </c>
      <c r="BW56" s="108" t="s">
        <v>503</v>
      </c>
      <c r="BX56" s="108" t="s">
        <v>503</v>
      </c>
      <c r="BY56" s="108" t="s">
        <v>503</v>
      </c>
      <c r="BZ56" s="108" t="s">
        <v>503</v>
      </c>
      <c r="CA56" s="108" t="s">
        <v>503</v>
      </c>
      <c r="CB56" s="108" t="s">
        <v>503</v>
      </c>
      <c r="CC56" s="108" t="s">
        <v>503</v>
      </c>
      <c r="CD56" s="108" t="s">
        <v>503</v>
      </c>
      <c r="CE56" s="108" t="s">
        <v>503</v>
      </c>
      <c r="CF56" s="108" t="s">
        <v>503</v>
      </c>
      <c r="CG56" s="108" t="s">
        <v>503</v>
      </c>
      <c r="CH56" s="108" t="s">
        <v>503</v>
      </c>
      <c r="CI56" s="108" t="s">
        <v>503</v>
      </c>
      <c r="CJ56" s="108" t="s">
        <v>503</v>
      </c>
      <c r="CK56" s="108" t="s">
        <v>503</v>
      </c>
      <c r="CL56" s="108" t="s">
        <v>503</v>
      </c>
      <c r="CM56" s="108" t="s">
        <v>503</v>
      </c>
      <c r="CN56" s="108" t="s">
        <v>503</v>
      </c>
      <c r="CO56" s="108" t="s">
        <v>503</v>
      </c>
      <c r="CP56" s="108" t="s">
        <v>503</v>
      </c>
      <c r="CQ56" s="108" t="s">
        <v>503</v>
      </c>
      <c r="CR56" s="108" t="s">
        <v>503</v>
      </c>
      <c r="CS56" s="108" t="s">
        <v>503</v>
      </c>
      <c r="CT56" s="108" t="s">
        <v>503</v>
      </c>
      <c r="CU56" s="108" t="s">
        <v>503</v>
      </c>
      <c r="CV56" s="108" t="s">
        <v>503</v>
      </c>
      <c r="CW56" s="108" t="s">
        <v>503</v>
      </c>
      <c r="CX56" s="108" t="s">
        <v>503</v>
      </c>
      <c r="CY56" s="108" t="s">
        <v>503</v>
      </c>
      <c r="CZ56" s="108" t="s">
        <v>503</v>
      </c>
      <c r="DA56" s="108" t="s">
        <v>503</v>
      </c>
      <c r="DB56" s="108" t="s">
        <v>503</v>
      </c>
      <c r="DC56" s="108" t="s">
        <v>503</v>
      </c>
      <c r="DD56" s="108" t="s">
        <v>503</v>
      </c>
      <c r="DE56" s="108" t="s">
        <v>503</v>
      </c>
      <c r="DF56" s="108" t="s">
        <v>503</v>
      </c>
      <c r="DG56" s="108" t="s">
        <v>503</v>
      </c>
      <c r="DH56" s="108" t="s">
        <v>503</v>
      </c>
      <c r="DI56" s="108" t="s">
        <v>503</v>
      </c>
      <c r="DJ56" s="108" t="s">
        <v>503</v>
      </c>
      <c r="DK56" s="108" t="s">
        <v>503</v>
      </c>
      <c r="DL56" s="108" t="s">
        <v>503</v>
      </c>
      <c r="DM56" s="108" t="s">
        <v>503</v>
      </c>
      <c r="DN56" s="108" t="s">
        <v>503</v>
      </c>
      <c r="DO56" s="108" t="s">
        <v>503</v>
      </c>
      <c r="DP56" s="108" t="s">
        <v>669</v>
      </c>
      <c r="DQ56" s="108" t="s">
        <v>669</v>
      </c>
      <c r="DR56" s="108" t="s">
        <v>669</v>
      </c>
      <c r="DS56" s="108" t="s">
        <v>669</v>
      </c>
      <c r="DT56" s="108" t="s">
        <v>669</v>
      </c>
      <c r="DU56" s="108" t="s">
        <v>669</v>
      </c>
      <c r="DV56" s="108" t="s">
        <v>503</v>
      </c>
      <c r="DW56" s="108" t="s">
        <v>503</v>
      </c>
      <c r="DX56" s="108" t="s">
        <v>503</v>
      </c>
      <c r="DY56" s="108" t="s">
        <v>503</v>
      </c>
      <c r="DZ56" s="108" t="s">
        <v>503</v>
      </c>
      <c r="EA56" s="108" t="s">
        <v>503</v>
      </c>
      <c r="EB56" s="108" t="s">
        <v>503</v>
      </c>
      <c r="EC56" s="108" t="s">
        <v>503</v>
      </c>
      <c r="ED56" s="108" t="s">
        <v>503</v>
      </c>
      <c r="EE56" s="108" t="s">
        <v>503</v>
      </c>
      <c r="EF56" s="108" t="s">
        <v>503</v>
      </c>
      <c r="EG56" s="108" t="s">
        <v>503</v>
      </c>
      <c r="EH56" s="108" t="s">
        <v>503</v>
      </c>
      <c r="EI56" s="108" t="s">
        <v>503</v>
      </c>
      <c r="EJ56" s="108" t="s">
        <v>503</v>
      </c>
      <c r="EK56" s="108" t="s">
        <v>503</v>
      </c>
      <c r="EL56" s="108" t="s">
        <v>503</v>
      </c>
      <c r="EM56" s="108" t="s">
        <v>503</v>
      </c>
      <c r="EN56" s="108" t="s">
        <v>503</v>
      </c>
      <c r="EO56" s="108" t="s">
        <v>503</v>
      </c>
      <c r="EP56" s="108" t="s">
        <v>503</v>
      </c>
      <c r="EQ56" s="118">
        <v>1000</v>
      </c>
      <c r="ER56" s="118">
        <f>+EQ56*0%</f>
        <v>0</v>
      </c>
      <c r="ES56" s="118">
        <f>+EQ56+ER56</f>
        <v>1000</v>
      </c>
      <c r="ET56" s="118">
        <v>1000</v>
      </c>
      <c r="EU56" s="118">
        <f>+ET56*0%</f>
        <v>0</v>
      </c>
      <c r="EV56" s="118">
        <f>+ET56+EU56</f>
        <v>1000</v>
      </c>
      <c r="EW56" s="108" t="s">
        <v>502</v>
      </c>
      <c r="EX56" s="108" t="s">
        <v>502</v>
      </c>
      <c r="EY56" s="108" t="s">
        <v>502</v>
      </c>
      <c r="EZ56" s="71">
        <v>1800</v>
      </c>
      <c r="FA56" s="71">
        <f>+EZ56*19%</f>
        <v>342</v>
      </c>
      <c r="FB56" s="71">
        <f>+EZ56+FA56</f>
        <v>2142</v>
      </c>
      <c r="FC56" s="108" t="s">
        <v>502</v>
      </c>
      <c r="FD56" s="108" t="s">
        <v>502</v>
      </c>
      <c r="FE56" s="108" t="s">
        <v>502</v>
      </c>
      <c r="FF56" s="108" t="s">
        <v>503</v>
      </c>
      <c r="FG56" s="108" t="s">
        <v>503</v>
      </c>
      <c r="FH56" s="108" t="s">
        <v>503</v>
      </c>
      <c r="FI56" s="108" t="s">
        <v>503</v>
      </c>
      <c r="FJ56" s="108" t="s">
        <v>503</v>
      </c>
      <c r="FK56" s="108" t="s">
        <v>503</v>
      </c>
      <c r="FL56" s="108" t="s">
        <v>503</v>
      </c>
      <c r="FM56" s="108" t="s">
        <v>503</v>
      </c>
      <c r="FN56" s="108" t="s">
        <v>503</v>
      </c>
      <c r="FO56" s="108" t="s">
        <v>502</v>
      </c>
      <c r="FP56" s="108" t="s">
        <v>502</v>
      </c>
      <c r="FQ56" s="108" t="s">
        <v>502</v>
      </c>
      <c r="FR56" s="108" t="s">
        <v>502</v>
      </c>
      <c r="FS56" s="108" t="s">
        <v>502</v>
      </c>
      <c r="FT56" s="108" t="s">
        <v>502</v>
      </c>
      <c r="FU56" s="108" t="s">
        <v>502</v>
      </c>
      <c r="FV56" s="108" t="s">
        <v>502</v>
      </c>
      <c r="FW56" s="108" t="s">
        <v>502</v>
      </c>
      <c r="FX56" s="108" t="s">
        <v>503</v>
      </c>
      <c r="FY56" s="108" t="s">
        <v>503</v>
      </c>
      <c r="FZ56" s="108" t="s">
        <v>503</v>
      </c>
      <c r="GA56" s="108" t="s">
        <v>503</v>
      </c>
      <c r="GB56" s="108" t="s">
        <v>503</v>
      </c>
      <c r="GC56" s="108" t="s">
        <v>503</v>
      </c>
      <c r="GD56" s="108" t="s">
        <v>503</v>
      </c>
      <c r="GE56" s="108" t="s">
        <v>503</v>
      </c>
      <c r="GF56" s="108" t="s">
        <v>503</v>
      </c>
      <c r="GG56" s="47">
        <v>1000</v>
      </c>
      <c r="GH56" s="47">
        <f>+GG56*0%</f>
        <v>0</v>
      </c>
      <c r="GI56" s="47">
        <f>+GG56+GH56</f>
        <v>1000</v>
      </c>
      <c r="GJ56" s="108" t="s">
        <v>669</v>
      </c>
      <c r="GK56" s="108" t="s">
        <v>669</v>
      </c>
      <c r="GL56" s="108" t="s">
        <v>669</v>
      </c>
      <c r="GM56" s="108" t="s">
        <v>502</v>
      </c>
      <c r="GN56" s="108" t="s">
        <v>502</v>
      </c>
      <c r="GO56" s="108" t="s">
        <v>502</v>
      </c>
      <c r="GP56" s="108" t="s">
        <v>664</v>
      </c>
      <c r="GQ56" s="108" t="s">
        <v>664</v>
      </c>
      <c r="GR56" s="108" t="s">
        <v>664</v>
      </c>
      <c r="GS56" s="47">
        <f>1200/1.19</f>
        <v>1008.4033613445379</v>
      </c>
      <c r="GT56" s="47">
        <f t="shared" si="23"/>
        <v>191.59663865546219</v>
      </c>
      <c r="GU56" s="69">
        <f t="shared" si="24"/>
        <v>1200</v>
      </c>
      <c r="GV56" s="71">
        <v>1000</v>
      </c>
      <c r="GW56" s="71">
        <f>+GV56*0%</f>
        <v>0</v>
      </c>
      <c r="GX56" s="71">
        <f>+GV56+GW56</f>
        <v>1000</v>
      </c>
      <c r="GY56" s="108" t="s">
        <v>664</v>
      </c>
      <c r="GZ56" s="108" t="s">
        <v>664</v>
      </c>
      <c r="HA56" s="108" t="s">
        <v>664</v>
      </c>
      <c r="HB56" s="108" t="s">
        <v>664</v>
      </c>
      <c r="HC56" s="108" t="s">
        <v>664</v>
      </c>
      <c r="HD56" s="108" t="s">
        <v>664</v>
      </c>
      <c r="HE56" s="108" t="s">
        <v>664</v>
      </c>
      <c r="HF56" s="108" t="s">
        <v>664</v>
      </c>
      <c r="HG56" s="108" t="s">
        <v>664</v>
      </c>
      <c r="HH56" s="108" t="s">
        <v>664</v>
      </c>
      <c r="HI56" s="108" t="s">
        <v>664</v>
      </c>
      <c r="HJ56" s="108" t="s">
        <v>664</v>
      </c>
      <c r="HK56" s="108" t="s">
        <v>664</v>
      </c>
      <c r="HL56" s="108" t="s">
        <v>664</v>
      </c>
      <c r="HM56" s="108" t="s">
        <v>664</v>
      </c>
      <c r="HN56" s="108" t="s">
        <v>664</v>
      </c>
      <c r="HO56" s="108" t="s">
        <v>664</v>
      </c>
      <c r="HP56" s="108" t="s">
        <v>664</v>
      </c>
      <c r="HQ56" s="108" t="s">
        <v>503</v>
      </c>
      <c r="HR56" s="108" t="s">
        <v>503</v>
      </c>
      <c r="HS56" s="108" t="s">
        <v>503</v>
      </c>
      <c r="HT56" s="108" t="s">
        <v>502</v>
      </c>
      <c r="HU56" s="108" t="s">
        <v>502</v>
      </c>
      <c r="HV56" s="108" t="s">
        <v>502</v>
      </c>
      <c r="HW56" s="108" t="s">
        <v>503</v>
      </c>
      <c r="HX56" s="108" t="s">
        <v>503</v>
      </c>
      <c r="HY56" s="108" t="s">
        <v>503</v>
      </c>
      <c r="HZ56" s="118" t="s">
        <v>502</v>
      </c>
      <c r="IA56" s="118" t="s">
        <v>502</v>
      </c>
      <c r="IB56" s="118" t="s">
        <v>502</v>
      </c>
      <c r="IC56" s="118" t="s">
        <v>502</v>
      </c>
      <c r="ID56" s="118" t="s">
        <v>502</v>
      </c>
      <c r="IE56" s="118" t="s">
        <v>502</v>
      </c>
      <c r="IF56" s="118" t="s">
        <v>502</v>
      </c>
      <c r="IG56" s="118" t="s">
        <v>502</v>
      </c>
      <c r="IH56" s="118" t="s">
        <v>502</v>
      </c>
      <c r="II56" s="118" t="s">
        <v>502</v>
      </c>
      <c r="IJ56" s="118" t="s">
        <v>502</v>
      </c>
      <c r="IK56" s="118" t="s">
        <v>502</v>
      </c>
      <c r="IL56" s="118" t="s">
        <v>502</v>
      </c>
      <c r="IM56" s="118" t="s">
        <v>502</v>
      </c>
      <c r="IN56" s="118" t="s">
        <v>502</v>
      </c>
      <c r="IO56" s="120" t="s">
        <v>503</v>
      </c>
      <c r="IP56" s="120" t="s">
        <v>503</v>
      </c>
      <c r="IQ56" s="120" t="s">
        <v>503</v>
      </c>
      <c r="IR56" s="118" t="s">
        <v>669</v>
      </c>
      <c r="IS56" s="118" t="s">
        <v>669</v>
      </c>
      <c r="IT56" s="118" t="s">
        <v>669</v>
      </c>
      <c r="IU56" s="120" t="s">
        <v>503</v>
      </c>
      <c r="IV56" s="120" t="s">
        <v>503</v>
      </c>
      <c r="IW56" s="120" t="s">
        <v>503</v>
      </c>
      <c r="IX56" s="120" t="s">
        <v>503</v>
      </c>
      <c r="IY56" s="120" t="s">
        <v>503</v>
      </c>
      <c r="IZ56" s="120" t="s">
        <v>503</v>
      </c>
      <c r="JA56" s="120" t="s">
        <v>503</v>
      </c>
      <c r="JB56" s="120" t="s">
        <v>503</v>
      </c>
      <c r="JC56" s="120" t="s">
        <v>503</v>
      </c>
      <c r="JD56" s="120" t="s">
        <v>664</v>
      </c>
      <c r="JE56" s="120" t="s">
        <v>664</v>
      </c>
      <c r="JF56" s="120" t="s">
        <v>664</v>
      </c>
      <c r="JG56" s="118" t="s">
        <v>502</v>
      </c>
      <c r="JH56" s="118" t="s">
        <v>502</v>
      </c>
      <c r="JI56" s="118" t="s">
        <v>502</v>
      </c>
      <c r="JJ56" s="118" t="s">
        <v>502</v>
      </c>
      <c r="JK56" s="118" t="s">
        <v>502</v>
      </c>
      <c r="JL56" s="118" t="s">
        <v>502</v>
      </c>
      <c r="JM56" s="118" t="s">
        <v>502</v>
      </c>
      <c r="JN56" s="118" t="s">
        <v>502</v>
      </c>
      <c r="JO56" s="118" t="s">
        <v>502</v>
      </c>
      <c r="JP56" s="110" t="e">
        <v>#N/A</v>
      </c>
      <c r="JQ56" s="111" t="e">
        <v>#N/A</v>
      </c>
      <c r="JR56" s="112">
        <f t="shared" si="0"/>
        <v>6</v>
      </c>
      <c r="JS56" s="113">
        <f t="shared" si="1"/>
        <v>1223.6666666666667</v>
      </c>
      <c r="JT56" s="114">
        <f t="shared" si="2"/>
        <v>1250</v>
      </c>
      <c r="JU56" s="167"/>
    </row>
    <row r="57" spans="1:281" ht="101.25" customHeight="1" x14ac:dyDescent="0.2">
      <c r="A57" s="98">
        <v>155</v>
      </c>
      <c r="B57" s="99">
        <v>155</v>
      </c>
      <c r="C57" s="39" t="s">
        <v>12</v>
      </c>
      <c r="D57" s="100" t="s">
        <v>133</v>
      </c>
      <c r="E57" s="170">
        <v>80141600</v>
      </c>
      <c r="F57" s="101" t="s">
        <v>219</v>
      </c>
      <c r="G57" s="102" t="s">
        <v>86</v>
      </c>
      <c r="H57" s="103" t="s">
        <v>501</v>
      </c>
      <c r="I57" s="108" t="s">
        <v>503</v>
      </c>
      <c r="J57" s="108" t="s">
        <v>503</v>
      </c>
      <c r="K57" s="108" t="s">
        <v>503</v>
      </c>
      <c r="L57" s="118" t="s">
        <v>502</v>
      </c>
      <c r="M57" s="118" t="s">
        <v>502</v>
      </c>
      <c r="N57" s="118" t="s">
        <v>502</v>
      </c>
      <c r="O57" s="108" t="s">
        <v>503</v>
      </c>
      <c r="P57" s="108" t="s">
        <v>503</v>
      </c>
      <c r="Q57" s="108" t="s">
        <v>503</v>
      </c>
      <c r="R57" s="108" t="s">
        <v>503</v>
      </c>
      <c r="S57" s="108" t="s">
        <v>503</v>
      </c>
      <c r="T57" s="108" t="s">
        <v>503</v>
      </c>
      <c r="U57" s="118" t="s">
        <v>502</v>
      </c>
      <c r="V57" s="118" t="s">
        <v>502</v>
      </c>
      <c r="W57" s="118" t="s">
        <v>502</v>
      </c>
      <c r="X57" s="108" t="s">
        <v>503</v>
      </c>
      <c r="Y57" s="108" t="s">
        <v>503</v>
      </c>
      <c r="Z57" s="108" t="s">
        <v>503</v>
      </c>
      <c r="AA57" s="108" t="s">
        <v>503</v>
      </c>
      <c r="AB57" s="108" t="s">
        <v>503</v>
      </c>
      <c r="AC57" s="108" t="s">
        <v>503</v>
      </c>
      <c r="AD57" s="108" t="s">
        <v>503</v>
      </c>
      <c r="AE57" s="108" t="s">
        <v>503</v>
      </c>
      <c r="AF57" s="108" t="s">
        <v>503</v>
      </c>
      <c r="AG57" s="108" t="s">
        <v>503</v>
      </c>
      <c r="AH57" s="108" t="s">
        <v>503</v>
      </c>
      <c r="AI57" s="108" t="s">
        <v>503</v>
      </c>
      <c r="AJ57" s="108" t="s">
        <v>503</v>
      </c>
      <c r="AK57" s="108" t="s">
        <v>503</v>
      </c>
      <c r="AL57" s="108" t="s">
        <v>503</v>
      </c>
      <c r="AM57" s="108" t="s">
        <v>503</v>
      </c>
      <c r="AN57" s="108" t="s">
        <v>503</v>
      </c>
      <c r="AO57" s="108" t="s">
        <v>503</v>
      </c>
      <c r="AP57" s="108" t="s">
        <v>503</v>
      </c>
      <c r="AQ57" s="108" t="s">
        <v>503</v>
      </c>
      <c r="AR57" s="108" t="s">
        <v>503</v>
      </c>
      <c r="AS57" s="108" t="s">
        <v>503</v>
      </c>
      <c r="AT57" s="108" t="s">
        <v>503</v>
      </c>
      <c r="AU57" s="108" t="s">
        <v>503</v>
      </c>
      <c r="AV57" s="108" t="s">
        <v>503</v>
      </c>
      <c r="AW57" s="108" t="s">
        <v>503</v>
      </c>
      <c r="AX57" s="108" t="s">
        <v>503</v>
      </c>
      <c r="AY57" s="108" t="s">
        <v>503</v>
      </c>
      <c r="AZ57" s="108" t="s">
        <v>503</v>
      </c>
      <c r="BA57" s="108" t="s">
        <v>503</v>
      </c>
      <c r="BB57" s="108" t="s">
        <v>503</v>
      </c>
      <c r="BC57" s="108" t="s">
        <v>503</v>
      </c>
      <c r="BD57" s="108" t="s">
        <v>503</v>
      </c>
      <c r="BE57" s="108" t="s">
        <v>503</v>
      </c>
      <c r="BF57" s="108" t="s">
        <v>503</v>
      </c>
      <c r="BG57" s="108" t="s">
        <v>503</v>
      </c>
      <c r="BH57" s="108" t="s">
        <v>503</v>
      </c>
      <c r="BI57" s="108" t="s">
        <v>503</v>
      </c>
      <c r="BJ57" s="108" t="s">
        <v>503</v>
      </c>
      <c r="BK57" s="108" t="s">
        <v>503</v>
      </c>
      <c r="BL57" s="108" t="s">
        <v>503</v>
      </c>
      <c r="BM57" s="108" t="s">
        <v>503</v>
      </c>
      <c r="BN57" s="108" t="s">
        <v>503</v>
      </c>
      <c r="BO57" s="108" t="s">
        <v>503</v>
      </c>
      <c r="BP57" s="108" t="s">
        <v>503</v>
      </c>
      <c r="BQ57" s="108" t="s">
        <v>503</v>
      </c>
      <c r="BR57" s="108" t="s">
        <v>503</v>
      </c>
      <c r="BS57" s="108" t="s">
        <v>503</v>
      </c>
      <c r="BT57" s="108" t="s">
        <v>503</v>
      </c>
      <c r="BU57" s="108" t="s">
        <v>503</v>
      </c>
      <c r="BV57" s="108" t="s">
        <v>503</v>
      </c>
      <c r="BW57" s="108" t="s">
        <v>503</v>
      </c>
      <c r="BX57" s="108" t="s">
        <v>503</v>
      </c>
      <c r="BY57" s="108" t="s">
        <v>503</v>
      </c>
      <c r="BZ57" s="108" t="s">
        <v>503</v>
      </c>
      <c r="CA57" s="108" t="s">
        <v>503</v>
      </c>
      <c r="CB57" s="108" t="s">
        <v>503</v>
      </c>
      <c r="CC57" s="108" t="s">
        <v>503</v>
      </c>
      <c r="CD57" s="108" t="s">
        <v>503</v>
      </c>
      <c r="CE57" s="108" t="s">
        <v>503</v>
      </c>
      <c r="CF57" s="108" t="s">
        <v>503</v>
      </c>
      <c r="CG57" s="108" t="s">
        <v>503</v>
      </c>
      <c r="CH57" s="108" t="s">
        <v>503</v>
      </c>
      <c r="CI57" s="108" t="s">
        <v>503</v>
      </c>
      <c r="CJ57" s="108" t="s">
        <v>503</v>
      </c>
      <c r="CK57" s="108" t="s">
        <v>503</v>
      </c>
      <c r="CL57" s="108" t="s">
        <v>503</v>
      </c>
      <c r="CM57" s="108" t="s">
        <v>503</v>
      </c>
      <c r="CN57" s="108" t="s">
        <v>503</v>
      </c>
      <c r="CO57" s="108" t="s">
        <v>503</v>
      </c>
      <c r="CP57" s="108" t="s">
        <v>503</v>
      </c>
      <c r="CQ57" s="108" t="s">
        <v>503</v>
      </c>
      <c r="CR57" s="108" t="s">
        <v>503</v>
      </c>
      <c r="CS57" s="108" t="s">
        <v>503</v>
      </c>
      <c r="CT57" s="108" t="s">
        <v>503</v>
      </c>
      <c r="CU57" s="108" t="s">
        <v>503</v>
      </c>
      <c r="CV57" s="108" t="s">
        <v>503</v>
      </c>
      <c r="CW57" s="108" t="s">
        <v>503</v>
      </c>
      <c r="CX57" s="108" t="s">
        <v>503</v>
      </c>
      <c r="CY57" s="108" t="s">
        <v>503</v>
      </c>
      <c r="CZ57" s="108" t="s">
        <v>503</v>
      </c>
      <c r="DA57" s="108" t="s">
        <v>503</v>
      </c>
      <c r="DB57" s="108" t="s">
        <v>503</v>
      </c>
      <c r="DC57" s="108" t="s">
        <v>503</v>
      </c>
      <c r="DD57" s="108" t="s">
        <v>503</v>
      </c>
      <c r="DE57" s="108" t="s">
        <v>503</v>
      </c>
      <c r="DF57" s="108" t="s">
        <v>503</v>
      </c>
      <c r="DG57" s="108" t="s">
        <v>503</v>
      </c>
      <c r="DH57" s="108" t="s">
        <v>503</v>
      </c>
      <c r="DI57" s="108" t="s">
        <v>503</v>
      </c>
      <c r="DJ57" s="108" t="s">
        <v>503</v>
      </c>
      <c r="DK57" s="108" t="s">
        <v>503</v>
      </c>
      <c r="DL57" s="108" t="s">
        <v>503</v>
      </c>
      <c r="DM57" s="108" t="s">
        <v>503</v>
      </c>
      <c r="DN57" s="108" t="s">
        <v>503</v>
      </c>
      <c r="DO57" s="108" t="s">
        <v>503</v>
      </c>
      <c r="DP57" s="108" t="s">
        <v>669</v>
      </c>
      <c r="DQ57" s="108" t="s">
        <v>669</v>
      </c>
      <c r="DR57" s="108" t="s">
        <v>669</v>
      </c>
      <c r="DS57" s="108" t="s">
        <v>669</v>
      </c>
      <c r="DT57" s="108" t="s">
        <v>669</v>
      </c>
      <c r="DU57" s="108" t="s">
        <v>669</v>
      </c>
      <c r="DV57" s="108" t="s">
        <v>503</v>
      </c>
      <c r="DW57" s="108" t="s">
        <v>503</v>
      </c>
      <c r="DX57" s="108" t="s">
        <v>503</v>
      </c>
      <c r="DY57" s="108" t="s">
        <v>503</v>
      </c>
      <c r="DZ57" s="108" t="s">
        <v>503</v>
      </c>
      <c r="EA57" s="108" t="s">
        <v>503</v>
      </c>
      <c r="EB57" s="108" t="s">
        <v>503</v>
      </c>
      <c r="EC57" s="108" t="s">
        <v>503</v>
      </c>
      <c r="ED57" s="108" t="s">
        <v>503</v>
      </c>
      <c r="EE57" s="108" t="s">
        <v>503</v>
      </c>
      <c r="EF57" s="108" t="s">
        <v>503</v>
      </c>
      <c r="EG57" s="108" t="s">
        <v>503</v>
      </c>
      <c r="EH57" s="108" t="s">
        <v>503</v>
      </c>
      <c r="EI57" s="108" t="s">
        <v>503</v>
      </c>
      <c r="EJ57" s="108" t="s">
        <v>503</v>
      </c>
      <c r="EK57" s="108" t="s">
        <v>503</v>
      </c>
      <c r="EL57" s="108" t="s">
        <v>503</v>
      </c>
      <c r="EM57" s="108" t="s">
        <v>503</v>
      </c>
      <c r="EN57" s="108" t="s">
        <v>503</v>
      </c>
      <c r="EO57" s="108" t="s">
        <v>503</v>
      </c>
      <c r="EP57" s="108" t="s">
        <v>503</v>
      </c>
      <c r="EQ57" s="118">
        <v>5000</v>
      </c>
      <c r="ER57" s="118">
        <f>+EQ57*0%</f>
        <v>0</v>
      </c>
      <c r="ES57" s="118">
        <f>+EQ57+ER57</f>
        <v>5000</v>
      </c>
      <c r="ET57" s="108" t="s">
        <v>503</v>
      </c>
      <c r="EU57" s="108" t="s">
        <v>503</v>
      </c>
      <c r="EV57" s="108" t="s">
        <v>503</v>
      </c>
      <c r="EW57" s="108" t="s">
        <v>502</v>
      </c>
      <c r="EX57" s="108" t="s">
        <v>502</v>
      </c>
      <c r="EY57" s="108" t="s">
        <v>502</v>
      </c>
      <c r="EZ57" s="71">
        <v>3500</v>
      </c>
      <c r="FA57" s="71">
        <f>+EZ57*19%</f>
        <v>665</v>
      </c>
      <c r="FB57" s="71">
        <f>+EZ57+FA57</f>
        <v>4165</v>
      </c>
      <c r="FC57" s="108" t="s">
        <v>502</v>
      </c>
      <c r="FD57" s="108" t="s">
        <v>502</v>
      </c>
      <c r="FE57" s="108" t="s">
        <v>502</v>
      </c>
      <c r="FF57" s="108" t="s">
        <v>503</v>
      </c>
      <c r="FG57" s="108" t="s">
        <v>503</v>
      </c>
      <c r="FH57" s="108" t="s">
        <v>503</v>
      </c>
      <c r="FI57" s="108" t="s">
        <v>503</v>
      </c>
      <c r="FJ57" s="108" t="s">
        <v>503</v>
      </c>
      <c r="FK57" s="108" t="s">
        <v>503</v>
      </c>
      <c r="FL57" s="108" t="s">
        <v>503</v>
      </c>
      <c r="FM57" s="108" t="s">
        <v>503</v>
      </c>
      <c r="FN57" s="108" t="s">
        <v>503</v>
      </c>
      <c r="FO57" s="108" t="s">
        <v>502</v>
      </c>
      <c r="FP57" s="108" t="s">
        <v>502</v>
      </c>
      <c r="FQ57" s="108" t="s">
        <v>502</v>
      </c>
      <c r="FR57" s="108" t="s">
        <v>502</v>
      </c>
      <c r="FS57" s="108" t="s">
        <v>502</v>
      </c>
      <c r="FT57" s="108" t="s">
        <v>502</v>
      </c>
      <c r="FU57" s="108" t="s">
        <v>502</v>
      </c>
      <c r="FV57" s="108" t="s">
        <v>502</v>
      </c>
      <c r="FW57" s="108" t="s">
        <v>502</v>
      </c>
      <c r="FX57" s="108" t="s">
        <v>503</v>
      </c>
      <c r="FY57" s="108" t="s">
        <v>503</v>
      </c>
      <c r="FZ57" s="108" t="s">
        <v>503</v>
      </c>
      <c r="GA57" s="108" t="s">
        <v>503</v>
      </c>
      <c r="GB57" s="108" t="s">
        <v>503</v>
      </c>
      <c r="GC57" s="108" t="s">
        <v>503</v>
      </c>
      <c r="GD57" s="108" t="s">
        <v>503</v>
      </c>
      <c r="GE57" s="108" t="s">
        <v>503</v>
      </c>
      <c r="GF57" s="108" t="s">
        <v>503</v>
      </c>
      <c r="GG57" s="108" t="s">
        <v>503</v>
      </c>
      <c r="GH57" s="108" t="s">
        <v>503</v>
      </c>
      <c r="GI57" s="108" t="s">
        <v>503</v>
      </c>
      <c r="GJ57" s="108" t="s">
        <v>669</v>
      </c>
      <c r="GK57" s="108" t="s">
        <v>669</v>
      </c>
      <c r="GL57" s="108" t="s">
        <v>669</v>
      </c>
      <c r="GM57" s="108" t="s">
        <v>502</v>
      </c>
      <c r="GN57" s="108" t="s">
        <v>502</v>
      </c>
      <c r="GO57" s="108" t="s">
        <v>502</v>
      </c>
      <c r="GP57" s="108" t="s">
        <v>664</v>
      </c>
      <c r="GQ57" s="108" t="s">
        <v>664</v>
      </c>
      <c r="GR57" s="108" t="s">
        <v>664</v>
      </c>
      <c r="GS57" s="47">
        <f>3000/1.19</f>
        <v>2521.0084033613448</v>
      </c>
      <c r="GT57" s="47">
        <f t="shared" si="23"/>
        <v>478.99159663865549</v>
      </c>
      <c r="GU57" s="69">
        <f t="shared" si="24"/>
        <v>3000.0000000000005</v>
      </c>
      <c r="GV57" s="71">
        <v>3000</v>
      </c>
      <c r="GW57" s="71">
        <f>+GV57*0%</f>
        <v>0</v>
      </c>
      <c r="GX57" s="71">
        <f>+GV57+GW57</f>
        <v>3000</v>
      </c>
      <c r="GY57" s="108" t="s">
        <v>664</v>
      </c>
      <c r="GZ57" s="108" t="s">
        <v>664</v>
      </c>
      <c r="HA57" s="108" t="s">
        <v>664</v>
      </c>
      <c r="HB57" s="108" t="s">
        <v>664</v>
      </c>
      <c r="HC57" s="108" t="s">
        <v>664</v>
      </c>
      <c r="HD57" s="108" t="s">
        <v>664</v>
      </c>
      <c r="HE57" s="108" t="s">
        <v>664</v>
      </c>
      <c r="HF57" s="108" t="s">
        <v>664</v>
      </c>
      <c r="HG57" s="108" t="s">
        <v>664</v>
      </c>
      <c r="HH57" s="108" t="s">
        <v>664</v>
      </c>
      <c r="HI57" s="108" t="s">
        <v>664</v>
      </c>
      <c r="HJ57" s="108" t="s">
        <v>664</v>
      </c>
      <c r="HK57" s="108" t="s">
        <v>664</v>
      </c>
      <c r="HL57" s="108" t="s">
        <v>664</v>
      </c>
      <c r="HM57" s="108" t="s">
        <v>664</v>
      </c>
      <c r="HN57" s="108" t="s">
        <v>664</v>
      </c>
      <c r="HO57" s="108" t="s">
        <v>664</v>
      </c>
      <c r="HP57" s="108" t="s">
        <v>664</v>
      </c>
      <c r="HQ57" s="108" t="s">
        <v>503</v>
      </c>
      <c r="HR57" s="108" t="s">
        <v>503</v>
      </c>
      <c r="HS57" s="108" t="s">
        <v>503</v>
      </c>
      <c r="HT57" s="108" t="s">
        <v>502</v>
      </c>
      <c r="HU57" s="108" t="s">
        <v>502</v>
      </c>
      <c r="HV57" s="108" t="s">
        <v>502</v>
      </c>
      <c r="HW57" s="108" t="s">
        <v>503</v>
      </c>
      <c r="HX57" s="108" t="s">
        <v>503</v>
      </c>
      <c r="HY57" s="108" t="s">
        <v>503</v>
      </c>
      <c r="HZ57" s="118" t="s">
        <v>502</v>
      </c>
      <c r="IA57" s="118" t="s">
        <v>502</v>
      </c>
      <c r="IB57" s="118" t="s">
        <v>502</v>
      </c>
      <c r="IC57" s="118" t="s">
        <v>502</v>
      </c>
      <c r="ID57" s="118" t="s">
        <v>502</v>
      </c>
      <c r="IE57" s="118" t="s">
        <v>502</v>
      </c>
      <c r="IF57" s="118" t="s">
        <v>502</v>
      </c>
      <c r="IG57" s="118" t="s">
        <v>502</v>
      </c>
      <c r="IH57" s="118" t="s">
        <v>502</v>
      </c>
      <c r="II57" s="118" t="s">
        <v>502</v>
      </c>
      <c r="IJ57" s="118" t="s">
        <v>502</v>
      </c>
      <c r="IK57" s="118" t="s">
        <v>502</v>
      </c>
      <c r="IL57" s="118" t="s">
        <v>502</v>
      </c>
      <c r="IM57" s="118" t="s">
        <v>502</v>
      </c>
      <c r="IN57" s="118" t="s">
        <v>502</v>
      </c>
      <c r="IO57" s="120" t="s">
        <v>503</v>
      </c>
      <c r="IP57" s="120" t="s">
        <v>503</v>
      </c>
      <c r="IQ57" s="120" t="s">
        <v>503</v>
      </c>
      <c r="IR57" s="118" t="s">
        <v>669</v>
      </c>
      <c r="IS57" s="118" t="s">
        <v>669</v>
      </c>
      <c r="IT57" s="118" t="s">
        <v>669</v>
      </c>
      <c r="IU57" s="120" t="s">
        <v>503</v>
      </c>
      <c r="IV57" s="120" t="s">
        <v>503</v>
      </c>
      <c r="IW57" s="120" t="s">
        <v>503</v>
      </c>
      <c r="IX57" s="120" t="s">
        <v>503</v>
      </c>
      <c r="IY57" s="120" t="s">
        <v>503</v>
      </c>
      <c r="IZ57" s="120" t="s">
        <v>503</v>
      </c>
      <c r="JA57" s="120" t="s">
        <v>503</v>
      </c>
      <c r="JB57" s="120" t="s">
        <v>503</v>
      </c>
      <c r="JC57" s="120" t="s">
        <v>503</v>
      </c>
      <c r="JD57" s="120" t="s">
        <v>664</v>
      </c>
      <c r="JE57" s="120" t="s">
        <v>664</v>
      </c>
      <c r="JF57" s="120" t="s">
        <v>664</v>
      </c>
      <c r="JG57" s="118" t="s">
        <v>502</v>
      </c>
      <c r="JH57" s="118" t="s">
        <v>502</v>
      </c>
      <c r="JI57" s="118" t="s">
        <v>502</v>
      </c>
      <c r="JJ57" s="118" t="s">
        <v>502</v>
      </c>
      <c r="JK57" s="118" t="s">
        <v>502</v>
      </c>
      <c r="JL57" s="118" t="s">
        <v>502</v>
      </c>
      <c r="JM57" s="118" t="s">
        <v>502</v>
      </c>
      <c r="JN57" s="118" t="s">
        <v>502</v>
      </c>
      <c r="JO57" s="118" t="s">
        <v>502</v>
      </c>
      <c r="JP57" s="110">
        <v>5500</v>
      </c>
      <c r="JQ57" s="111">
        <v>6571.2539200000001</v>
      </c>
      <c r="JR57" s="112">
        <f t="shared" si="0"/>
        <v>4</v>
      </c>
      <c r="JS57" s="113">
        <f t="shared" si="1"/>
        <v>3791.25</v>
      </c>
      <c r="JT57" s="114">
        <f t="shared" si="2"/>
        <v>3800</v>
      </c>
      <c r="JU57" s="167"/>
    </row>
    <row r="58" spans="1:281" ht="101.25" customHeight="1" x14ac:dyDescent="0.2">
      <c r="A58" s="98">
        <v>156</v>
      </c>
      <c r="B58" s="99">
        <v>156</v>
      </c>
      <c r="C58" s="39" t="s">
        <v>12</v>
      </c>
      <c r="D58" s="100" t="s">
        <v>133</v>
      </c>
      <c r="E58" s="170">
        <v>80141600</v>
      </c>
      <c r="F58" s="101" t="s">
        <v>220</v>
      </c>
      <c r="G58" s="102" t="s">
        <v>86</v>
      </c>
      <c r="H58" s="103" t="s">
        <v>501</v>
      </c>
      <c r="I58" s="108" t="s">
        <v>503</v>
      </c>
      <c r="J58" s="108" t="s">
        <v>503</v>
      </c>
      <c r="K58" s="108" t="s">
        <v>503</v>
      </c>
      <c r="L58" s="118" t="s">
        <v>502</v>
      </c>
      <c r="M58" s="118" t="s">
        <v>502</v>
      </c>
      <c r="N58" s="118" t="s">
        <v>502</v>
      </c>
      <c r="O58" s="108" t="s">
        <v>503</v>
      </c>
      <c r="P58" s="108" t="s">
        <v>503</v>
      </c>
      <c r="Q58" s="108" t="s">
        <v>503</v>
      </c>
      <c r="R58" s="108" t="s">
        <v>503</v>
      </c>
      <c r="S58" s="108" t="s">
        <v>503</v>
      </c>
      <c r="T58" s="108" t="s">
        <v>503</v>
      </c>
      <c r="U58" s="118" t="s">
        <v>502</v>
      </c>
      <c r="V58" s="118" t="s">
        <v>502</v>
      </c>
      <c r="W58" s="118" t="s">
        <v>502</v>
      </c>
      <c r="X58" s="108" t="s">
        <v>503</v>
      </c>
      <c r="Y58" s="108" t="s">
        <v>503</v>
      </c>
      <c r="Z58" s="108" t="s">
        <v>503</v>
      </c>
      <c r="AA58" s="108" t="s">
        <v>503</v>
      </c>
      <c r="AB58" s="108" t="s">
        <v>503</v>
      </c>
      <c r="AC58" s="108" t="s">
        <v>503</v>
      </c>
      <c r="AD58" s="108" t="s">
        <v>503</v>
      </c>
      <c r="AE58" s="108" t="s">
        <v>503</v>
      </c>
      <c r="AF58" s="108" t="s">
        <v>503</v>
      </c>
      <c r="AG58" s="108" t="s">
        <v>503</v>
      </c>
      <c r="AH58" s="108" t="s">
        <v>503</v>
      </c>
      <c r="AI58" s="108" t="s">
        <v>503</v>
      </c>
      <c r="AJ58" s="108" t="s">
        <v>503</v>
      </c>
      <c r="AK58" s="108" t="s">
        <v>503</v>
      </c>
      <c r="AL58" s="108" t="s">
        <v>503</v>
      </c>
      <c r="AM58" s="108" t="s">
        <v>503</v>
      </c>
      <c r="AN58" s="108" t="s">
        <v>503</v>
      </c>
      <c r="AO58" s="108" t="s">
        <v>503</v>
      </c>
      <c r="AP58" s="108" t="s">
        <v>503</v>
      </c>
      <c r="AQ58" s="108" t="s">
        <v>503</v>
      </c>
      <c r="AR58" s="108" t="s">
        <v>503</v>
      </c>
      <c r="AS58" s="108" t="s">
        <v>503</v>
      </c>
      <c r="AT58" s="108" t="s">
        <v>503</v>
      </c>
      <c r="AU58" s="108" t="s">
        <v>503</v>
      </c>
      <c r="AV58" s="108" t="s">
        <v>503</v>
      </c>
      <c r="AW58" s="108" t="s">
        <v>503</v>
      </c>
      <c r="AX58" s="108" t="s">
        <v>503</v>
      </c>
      <c r="AY58" s="108" t="s">
        <v>503</v>
      </c>
      <c r="AZ58" s="108" t="s">
        <v>503</v>
      </c>
      <c r="BA58" s="108" t="s">
        <v>503</v>
      </c>
      <c r="BB58" s="108" t="s">
        <v>503</v>
      </c>
      <c r="BC58" s="108" t="s">
        <v>503</v>
      </c>
      <c r="BD58" s="108" t="s">
        <v>503</v>
      </c>
      <c r="BE58" s="108" t="s">
        <v>503</v>
      </c>
      <c r="BF58" s="108" t="s">
        <v>503</v>
      </c>
      <c r="BG58" s="108" t="s">
        <v>503</v>
      </c>
      <c r="BH58" s="108" t="s">
        <v>503</v>
      </c>
      <c r="BI58" s="108" t="s">
        <v>503</v>
      </c>
      <c r="BJ58" s="108" t="s">
        <v>503</v>
      </c>
      <c r="BK58" s="108" t="s">
        <v>503</v>
      </c>
      <c r="BL58" s="108" t="s">
        <v>503</v>
      </c>
      <c r="BM58" s="108" t="s">
        <v>503</v>
      </c>
      <c r="BN58" s="108" t="s">
        <v>503</v>
      </c>
      <c r="BO58" s="108" t="s">
        <v>503</v>
      </c>
      <c r="BP58" s="108" t="s">
        <v>503</v>
      </c>
      <c r="BQ58" s="108" t="s">
        <v>503</v>
      </c>
      <c r="BR58" s="108" t="s">
        <v>503</v>
      </c>
      <c r="BS58" s="108" t="s">
        <v>503</v>
      </c>
      <c r="BT58" s="108" t="s">
        <v>503</v>
      </c>
      <c r="BU58" s="108" t="s">
        <v>503</v>
      </c>
      <c r="BV58" s="108" t="s">
        <v>503</v>
      </c>
      <c r="BW58" s="108" t="s">
        <v>503</v>
      </c>
      <c r="BX58" s="108" t="s">
        <v>503</v>
      </c>
      <c r="BY58" s="108" t="s">
        <v>503</v>
      </c>
      <c r="BZ58" s="108" t="s">
        <v>503</v>
      </c>
      <c r="CA58" s="108" t="s">
        <v>503</v>
      </c>
      <c r="CB58" s="108" t="s">
        <v>503</v>
      </c>
      <c r="CC58" s="108" t="s">
        <v>503</v>
      </c>
      <c r="CD58" s="108" t="s">
        <v>503</v>
      </c>
      <c r="CE58" s="108" t="s">
        <v>503</v>
      </c>
      <c r="CF58" s="108" t="s">
        <v>503</v>
      </c>
      <c r="CG58" s="108" t="s">
        <v>503</v>
      </c>
      <c r="CH58" s="108" t="s">
        <v>503</v>
      </c>
      <c r="CI58" s="108" t="s">
        <v>503</v>
      </c>
      <c r="CJ58" s="108" t="s">
        <v>503</v>
      </c>
      <c r="CK58" s="108" t="s">
        <v>503</v>
      </c>
      <c r="CL58" s="108" t="s">
        <v>503</v>
      </c>
      <c r="CM58" s="108" t="s">
        <v>503</v>
      </c>
      <c r="CN58" s="108" t="s">
        <v>503</v>
      </c>
      <c r="CO58" s="108" t="s">
        <v>503</v>
      </c>
      <c r="CP58" s="108" t="s">
        <v>503</v>
      </c>
      <c r="CQ58" s="108" t="s">
        <v>503</v>
      </c>
      <c r="CR58" s="108" t="s">
        <v>503</v>
      </c>
      <c r="CS58" s="108" t="s">
        <v>503</v>
      </c>
      <c r="CT58" s="108" t="s">
        <v>503</v>
      </c>
      <c r="CU58" s="108" t="s">
        <v>503</v>
      </c>
      <c r="CV58" s="108" t="s">
        <v>503</v>
      </c>
      <c r="CW58" s="108" t="s">
        <v>503</v>
      </c>
      <c r="CX58" s="108" t="s">
        <v>503</v>
      </c>
      <c r="CY58" s="108" t="s">
        <v>503</v>
      </c>
      <c r="CZ58" s="108" t="s">
        <v>503</v>
      </c>
      <c r="DA58" s="108" t="s">
        <v>503</v>
      </c>
      <c r="DB58" s="108" t="s">
        <v>503</v>
      </c>
      <c r="DC58" s="108" t="s">
        <v>503</v>
      </c>
      <c r="DD58" s="108" t="s">
        <v>503</v>
      </c>
      <c r="DE58" s="108" t="s">
        <v>503</v>
      </c>
      <c r="DF58" s="108" t="s">
        <v>503</v>
      </c>
      <c r="DG58" s="108" t="s">
        <v>503</v>
      </c>
      <c r="DH58" s="108" t="s">
        <v>503</v>
      </c>
      <c r="DI58" s="108" t="s">
        <v>503</v>
      </c>
      <c r="DJ58" s="108" t="s">
        <v>503</v>
      </c>
      <c r="DK58" s="108" t="s">
        <v>503</v>
      </c>
      <c r="DL58" s="108" t="s">
        <v>503</v>
      </c>
      <c r="DM58" s="108" t="s">
        <v>503</v>
      </c>
      <c r="DN58" s="108" t="s">
        <v>503</v>
      </c>
      <c r="DO58" s="108" t="s">
        <v>503</v>
      </c>
      <c r="DP58" s="108" t="s">
        <v>669</v>
      </c>
      <c r="DQ58" s="108" t="s">
        <v>669</v>
      </c>
      <c r="DR58" s="108" t="s">
        <v>669</v>
      </c>
      <c r="DS58" s="108" t="s">
        <v>669</v>
      </c>
      <c r="DT58" s="108" t="s">
        <v>669</v>
      </c>
      <c r="DU58" s="108" t="s">
        <v>669</v>
      </c>
      <c r="DV58" s="108" t="s">
        <v>503</v>
      </c>
      <c r="DW58" s="108" t="s">
        <v>503</v>
      </c>
      <c r="DX58" s="108" t="s">
        <v>503</v>
      </c>
      <c r="DY58" s="108" t="s">
        <v>503</v>
      </c>
      <c r="DZ58" s="108" t="s">
        <v>503</v>
      </c>
      <c r="EA58" s="108" t="s">
        <v>503</v>
      </c>
      <c r="EB58" s="108" t="s">
        <v>503</v>
      </c>
      <c r="EC58" s="108" t="s">
        <v>503</v>
      </c>
      <c r="ED58" s="108" t="s">
        <v>503</v>
      </c>
      <c r="EE58" s="108" t="s">
        <v>503</v>
      </c>
      <c r="EF58" s="108" t="s">
        <v>503</v>
      </c>
      <c r="EG58" s="108" t="s">
        <v>503</v>
      </c>
      <c r="EH58" s="108" t="s">
        <v>503</v>
      </c>
      <c r="EI58" s="108" t="s">
        <v>503</v>
      </c>
      <c r="EJ58" s="108" t="s">
        <v>503</v>
      </c>
      <c r="EK58" s="108" t="s">
        <v>503</v>
      </c>
      <c r="EL58" s="108" t="s">
        <v>503</v>
      </c>
      <c r="EM58" s="108" t="s">
        <v>503</v>
      </c>
      <c r="EN58" s="108" t="s">
        <v>503</v>
      </c>
      <c r="EO58" s="108" t="s">
        <v>503</v>
      </c>
      <c r="EP58" s="108" t="s">
        <v>503</v>
      </c>
      <c r="EQ58" s="108" t="s">
        <v>502</v>
      </c>
      <c r="ER58" s="108" t="s">
        <v>502</v>
      </c>
      <c r="ES58" s="108" t="s">
        <v>502</v>
      </c>
      <c r="ET58" s="108" t="s">
        <v>502</v>
      </c>
      <c r="EU58" s="108" t="s">
        <v>502</v>
      </c>
      <c r="EV58" s="108" t="s">
        <v>502</v>
      </c>
      <c r="EW58" s="108" t="s">
        <v>502</v>
      </c>
      <c r="EX58" s="108" t="s">
        <v>502</v>
      </c>
      <c r="EY58" s="108" t="s">
        <v>502</v>
      </c>
      <c r="EZ58" s="108" t="s">
        <v>503</v>
      </c>
      <c r="FA58" s="108" t="s">
        <v>503</v>
      </c>
      <c r="FB58" s="108" t="s">
        <v>503</v>
      </c>
      <c r="FC58" s="108" t="s">
        <v>502</v>
      </c>
      <c r="FD58" s="108" t="s">
        <v>502</v>
      </c>
      <c r="FE58" s="108" t="s">
        <v>502</v>
      </c>
      <c r="FF58" s="108" t="s">
        <v>503</v>
      </c>
      <c r="FG58" s="108" t="s">
        <v>503</v>
      </c>
      <c r="FH58" s="108" t="s">
        <v>503</v>
      </c>
      <c r="FI58" s="108" t="s">
        <v>503</v>
      </c>
      <c r="FJ58" s="108" t="s">
        <v>503</v>
      </c>
      <c r="FK58" s="108" t="s">
        <v>503</v>
      </c>
      <c r="FL58" s="108" t="s">
        <v>503</v>
      </c>
      <c r="FM58" s="108" t="s">
        <v>503</v>
      </c>
      <c r="FN58" s="108" t="s">
        <v>503</v>
      </c>
      <c r="FO58" s="108" t="s">
        <v>502</v>
      </c>
      <c r="FP58" s="108" t="s">
        <v>502</v>
      </c>
      <c r="FQ58" s="108" t="s">
        <v>502</v>
      </c>
      <c r="FR58" s="108" t="s">
        <v>502</v>
      </c>
      <c r="FS58" s="108" t="s">
        <v>502</v>
      </c>
      <c r="FT58" s="108" t="s">
        <v>502</v>
      </c>
      <c r="FU58" s="108" t="s">
        <v>502</v>
      </c>
      <c r="FV58" s="108" t="s">
        <v>502</v>
      </c>
      <c r="FW58" s="108" t="s">
        <v>502</v>
      </c>
      <c r="FX58" s="108" t="s">
        <v>503</v>
      </c>
      <c r="FY58" s="108" t="s">
        <v>503</v>
      </c>
      <c r="FZ58" s="108" t="s">
        <v>503</v>
      </c>
      <c r="GA58" s="108" t="s">
        <v>503</v>
      </c>
      <c r="GB58" s="108" t="s">
        <v>503</v>
      </c>
      <c r="GC58" s="108" t="s">
        <v>503</v>
      </c>
      <c r="GD58" s="108" t="s">
        <v>503</v>
      </c>
      <c r="GE58" s="108" t="s">
        <v>503</v>
      </c>
      <c r="GF58" s="108" t="s">
        <v>503</v>
      </c>
      <c r="GG58" s="108" t="s">
        <v>669</v>
      </c>
      <c r="GH58" s="108" t="s">
        <v>669</v>
      </c>
      <c r="GI58" s="108" t="s">
        <v>669</v>
      </c>
      <c r="GJ58" s="108" t="s">
        <v>669</v>
      </c>
      <c r="GK58" s="108" t="s">
        <v>669</v>
      </c>
      <c r="GL58" s="108" t="s">
        <v>669</v>
      </c>
      <c r="GM58" s="108" t="s">
        <v>502</v>
      </c>
      <c r="GN58" s="108" t="s">
        <v>502</v>
      </c>
      <c r="GO58" s="108" t="s">
        <v>502</v>
      </c>
      <c r="GP58" s="108" t="s">
        <v>664</v>
      </c>
      <c r="GQ58" s="108" t="s">
        <v>664</v>
      </c>
      <c r="GR58" s="108" t="s">
        <v>664</v>
      </c>
      <c r="GS58" s="47">
        <f>12000/1.19</f>
        <v>10084.033613445379</v>
      </c>
      <c r="GT58" s="47">
        <f t="shared" si="23"/>
        <v>1915.966386554622</v>
      </c>
      <c r="GU58" s="69">
        <f t="shared" si="24"/>
        <v>12000.000000000002</v>
      </c>
      <c r="GV58" s="108" t="s">
        <v>502</v>
      </c>
      <c r="GW58" s="108" t="s">
        <v>502</v>
      </c>
      <c r="GX58" s="108" t="s">
        <v>502</v>
      </c>
      <c r="GY58" s="108" t="s">
        <v>664</v>
      </c>
      <c r="GZ58" s="108" t="s">
        <v>664</v>
      </c>
      <c r="HA58" s="108" t="s">
        <v>664</v>
      </c>
      <c r="HB58" s="108" t="s">
        <v>664</v>
      </c>
      <c r="HC58" s="108" t="s">
        <v>664</v>
      </c>
      <c r="HD58" s="108" t="s">
        <v>664</v>
      </c>
      <c r="HE58" s="108" t="s">
        <v>664</v>
      </c>
      <c r="HF58" s="108" t="s">
        <v>664</v>
      </c>
      <c r="HG58" s="108" t="s">
        <v>664</v>
      </c>
      <c r="HH58" s="108" t="s">
        <v>664</v>
      </c>
      <c r="HI58" s="108" t="s">
        <v>664</v>
      </c>
      <c r="HJ58" s="108" t="s">
        <v>664</v>
      </c>
      <c r="HK58" s="108" t="s">
        <v>664</v>
      </c>
      <c r="HL58" s="108" t="s">
        <v>664</v>
      </c>
      <c r="HM58" s="108" t="s">
        <v>664</v>
      </c>
      <c r="HN58" s="108" t="s">
        <v>664</v>
      </c>
      <c r="HO58" s="108" t="s">
        <v>664</v>
      </c>
      <c r="HP58" s="108" t="s">
        <v>664</v>
      </c>
      <c r="HQ58" s="108" t="s">
        <v>503</v>
      </c>
      <c r="HR58" s="108" t="s">
        <v>503</v>
      </c>
      <c r="HS58" s="108" t="s">
        <v>503</v>
      </c>
      <c r="HT58" s="108" t="s">
        <v>502</v>
      </c>
      <c r="HU58" s="108" t="s">
        <v>502</v>
      </c>
      <c r="HV58" s="108" t="s">
        <v>502</v>
      </c>
      <c r="HW58" s="108" t="s">
        <v>503</v>
      </c>
      <c r="HX58" s="108" t="s">
        <v>503</v>
      </c>
      <c r="HY58" s="108" t="s">
        <v>503</v>
      </c>
      <c r="HZ58" s="118" t="s">
        <v>502</v>
      </c>
      <c r="IA58" s="118" t="s">
        <v>502</v>
      </c>
      <c r="IB58" s="118" t="s">
        <v>502</v>
      </c>
      <c r="IC58" s="118" t="s">
        <v>502</v>
      </c>
      <c r="ID58" s="118" t="s">
        <v>502</v>
      </c>
      <c r="IE58" s="118" t="s">
        <v>502</v>
      </c>
      <c r="IF58" s="118" t="s">
        <v>502</v>
      </c>
      <c r="IG58" s="118" t="s">
        <v>502</v>
      </c>
      <c r="IH58" s="118" t="s">
        <v>502</v>
      </c>
      <c r="II58" s="118" t="s">
        <v>502</v>
      </c>
      <c r="IJ58" s="118" t="s">
        <v>502</v>
      </c>
      <c r="IK58" s="118" t="s">
        <v>502</v>
      </c>
      <c r="IL58" s="118" t="s">
        <v>502</v>
      </c>
      <c r="IM58" s="118" t="s">
        <v>502</v>
      </c>
      <c r="IN58" s="118" t="s">
        <v>502</v>
      </c>
      <c r="IO58" s="120" t="s">
        <v>503</v>
      </c>
      <c r="IP58" s="120" t="s">
        <v>503</v>
      </c>
      <c r="IQ58" s="120" t="s">
        <v>503</v>
      </c>
      <c r="IR58" s="118" t="s">
        <v>669</v>
      </c>
      <c r="IS58" s="118" t="s">
        <v>669</v>
      </c>
      <c r="IT58" s="118" t="s">
        <v>669</v>
      </c>
      <c r="IU58" s="120" t="s">
        <v>503</v>
      </c>
      <c r="IV58" s="120" t="s">
        <v>503</v>
      </c>
      <c r="IW58" s="120" t="s">
        <v>503</v>
      </c>
      <c r="IX58" s="120" t="s">
        <v>503</v>
      </c>
      <c r="IY58" s="120" t="s">
        <v>503</v>
      </c>
      <c r="IZ58" s="120" t="s">
        <v>503</v>
      </c>
      <c r="JA58" s="120" t="s">
        <v>503</v>
      </c>
      <c r="JB58" s="120" t="s">
        <v>503</v>
      </c>
      <c r="JC58" s="120" t="s">
        <v>503</v>
      </c>
      <c r="JD58" s="120" t="s">
        <v>664</v>
      </c>
      <c r="JE58" s="120" t="s">
        <v>664</v>
      </c>
      <c r="JF58" s="120" t="s">
        <v>664</v>
      </c>
      <c r="JG58" s="118" t="s">
        <v>502</v>
      </c>
      <c r="JH58" s="118" t="s">
        <v>502</v>
      </c>
      <c r="JI58" s="118" t="s">
        <v>502</v>
      </c>
      <c r="JJ58" s="47">
        <v>30000</v>
      </c>
      <c r="JK58" s="47">
        <f>+JJ58*0%</f>
        <v>0</v>
      </c>
      <c r="JL58" s="47">
        <f>+JJ58+JK58</f>
        <v>30000</v>
      </c>
      <c r="JM58" s="118" t="s">
        <v>502</v>
      </c>
      <c r="JN58" s="118" t="s">
        <v>502</v>
      </c>
      <c r="JO58" s="118" t="s">
        <v>502</v>
      </c>
      <c r="JP58" s="110">
        <v>5500</v>
      </c>
      <c r="JQ58" s="111">
        <v>6571.2539200000001</v>
      </c>
      <c r="JR58" s="112">
        <f t="shared" si="0"/>
        <v>2</v>
      </c>
      <c r="JS58" s="113">
        <f t="shared" si="1"/>
        <v>21000</v>
      </c>
      <c r="JT58" s="114">
        <f t="shared" si="2"/>
        <v>21000</v>
      </c>
      <c r="JU58" s="167"/>
    </row>
    <row r="59" spans="1:281" ht="101.25" customHeight="1" x14ac:dyDescent="0.2">
      <c r="A59" s="98">
        <v>157</v>
      </c>
      <c r="B59" s="99">
        <v>157</v>
      </c>
      <c r="C59" s="39" t="s">
        <v>12</v>
      </c>
      <c r="D59" s="100" t="s">
        <v>134</v>
      </c>
      <c r="E59" s="170">
        <v>80141600</v>
      </c>
      <c r="F59" s="129" t="s">
        <v>221</v>
      </c>
      <c r="G59" s="102" t="s">
        <v>86</v>
      </c>
      <c r="H59" s="103" t="s">
        <v>501</v>
      </c>
      <c r="I59" s="108" t="s">
        <v>503</v>
      </c>
      <c r="J59" s="108" t="s">
        <v>503</v>
      </c>
      <c r="K59" s="108" t="s">
        <v>503</v>
      </c>
      <c r="L59" s="118" t="s">
        <v>502</v>
      </c>
      <c r="M59" s="118" t="s">
        <v>502</v>
      </c>
      <c r="N59" s="118" t="s">
        <v>502</v>
      </c>
      <c r="O59" s="108" t="s">
        <v>503</v>
      </c>
      <c r="P59" s="108" t="s">
        <v>503</v>
      </c>
      <c r="Q59" s="108" t="s">
        <v>503</v>
      </c>
      <c r="R59" s="108" t="s">
        <v>503</v>
      </c>
      <c r="S59" s="108" t="s">
        <v>503</v>
      </c>
      <c r="T59" s="108" t="s">
        <v>503</v>
      </c>
      <c r="U59" s="118" t="s">
        <v>502</v>
      </c>
      <c r="V59" s="118" t="s">
        <v>502</v>
      </c>
      <c r="W59" s="118" t="s">
        <v>502</v>
      </c>
      <c r="X59" s="108" t="s">
        <v>503</v>
      </c>
      <c r="Y59" s="108" t="s">
        <v>503</v>
      </c>
      <c r="Z59" s="108" t="s">
        <v>503</v>
      </c>
      <c r="AA59" s="108" t="s">
        <v>503</v>
      </c>
      <c r="AB59" s="108" t="s">
        <v>503</v>
      </c>
      <c r="AC59" s="108" t="s">
        <v>503</v>
      </c>
      <c r="AD59" s="108" t="s">
        <v>503</v>
      </c>
      <c r="AE59" s="108" t="s">
        <v>503</v>
      </c>
      <c r="AF59" s="108" t="s">
        <v>503</v>
      </c>
      <c r="AG59" s="108" t="s">
        <v>503</v>
      </c>
      <c r="AH59" s="108" t="s">
        <v>503</v>
      </c>
      <c r="AI59" s="108" t="s">
        <v>503</v>
      </c>
      <c r="AJ59" s="108" t="s">
        <v>503</v>
      </c>
      <c r="AK59" s="108" t="s">
        <v>503</v>
      </c>
      <c r="AL59" s="108" t="s">
        <v>503</v>
      </c>
      <c r="AM59" s="108" t="s">
        <v>503</v>
      </c>
      <c r="AN59" s="108" t="s">
        <v>503</v>
      </c>
      <c r="AO59" s="108" t="s">
        <v>503</v>
      </c>
      <c r="AP59" s="108" t="s">
        <v>503</v>
      </c>
      <c r="AQ59" s="108" t="s">
        <v>503</v>
      </c>
      <c r="AR59" s="108" t="s">
        <v>503</v>
      </c>
      <c r="AS59" s="71">
        <v>450000</v>
      </c>
      <c r="AT59" s="117">
        <f>+AS59*19%</f>
        <v>85500</v>
      </c>
      <c r="AU59" s="71">
        <f>+AS59+AT59</f>
        <v>535500</v>
      </c>
      <c r="AV59" s="108" t="s">
        <v>503</v>
      </c>
      <c r="AW59" s="108" t="s">
        <v>503</v>
      </c>
      <c r="AX59" s="108" t="s">
        <v>503</v>
      </c>
      <c r="AY59" s="108" t="s">
        <v>503</v>
      </c>
      <c r="AZ59" s="108" t="s">
        <v>503</v>
      </c>
      <c r="BA59" s="108" t="s">
        <v>503</v>
      </c>
      <c r="BB59" s="108" t="s">
        <v>503</v>
      </c>
      <c r="BC59" s="108" t="s">
        <v>503</v>
      </c>
      <c r="BD59" s="108" t="s">
        <v>503</v>
      </c>
      <c r="BE59" s="108" t="s">
        <v>503</v>
      </c>
      <c r="BF59" s="108" t="s">
        <v>503</v>
      </c>
      <c r="BG59" s="108" t="s">
        <v>503</v>
      </c>
      <c r="BH59" s="108" t="s">
        <v>503</v>
      </c>
      <c r="BI59" s="108" t="s">
        <v>503</v>
      </c>
      <c r="BJ59" s="108" t="s">
        <v>503</v>
      </c>
      <c r="BK59" s="108" t="s">
        <v>503</v>
      </c>
      <c r="BL59" s="108" t="s">
        <v>503</v>
      </c>
      <c r="BM59" s="108" t="s">
        <v>503</v>
      </c>
      <c r="BN59" s="108" t="s">
        <v>503</v>
      </c>
      <c r="BO59" s="108" t="s">
        <v>503</v>
      </c>
      <c r="BP59" s="108" t="s">
        <v>503</v>
      </c>
      <c r="BQ59" s="108" t="s">
        <v>503</v>
      </c>
      <c r="BR59" s="108" t="s">
        <v>503</v>
      </c>
      <c r="BS59" s="108" t="s">
        <v>503</v>
      </c>
      <c r="BT59" s="108" t="s">
        <v>503</v>
      </c>
      <c r="BU59" s="108" t="s">
        <v>503</v>
      </c>
      <c r="BV59" s="108" t="s">
        <v>503</v>
      </c>
      <c r="BW59" s="108" t="s">
        <v>503</v>
      </c>
      <c r="BX59" s="108" t="s">
        <v>503</v>
      </c>
      <c r="BY59" s="108" t="s">
        <v>503</v>
      </c>
      <c r="BZ59" s="77">
        <v>430000</v>
      </c>
      <c r="CA59" s="117">
        <f>+BZ59*19%</f>
        <v>81700</v>
      </c>
      <c r="CB59" s="71">
        <f>+BZ59+CA59</f>
        <v>511700</v>
      </c>
      <c r="CC59" s="108" t="s">
        <v>503</v>
      </c>
      <c r="CD59" s="108" t="s">
        <v>503</v>
      </c>
      <c r="CE59" s="108" t="s">
        <v>503</v>
      </c>
      <c r="CF59" s="108" t="s">
        <v>503</v>
      </c>
      <c r="CG59" s="108" t="s">
        <v>503</v>
      </c>
      <c r="CH59" s="108" t="s">
        <v>503</v>
      </c>
      <c r="CI59" s="108" t="s">
        <v>503</v>
      </c>
      <c r="CJ59" s="108" t="s">
        <v>503</v>
      </c>
      <c r="CK59" s="108" t="s">
        <v>503</v>
      </c>
      <c r="CL59" s="108" t="s">
        <v>503</v>
      </c>
      <c r="CM59" s="108" t="s">
        <v>503</v>
      </c>
      <c r="CN59" s="108" t="s">
        <v>503</v>
      </c>
      <c r="CO59" s="108" t="s">
        <v>503</v>
      </c>
      <c r="CP59" s="108" t="s">
        <v>503</v>
      </c>
      <c r="CQ59" s="108" t="s">
        <v>503</v>
      </c>
      <c r="CR59" s="108" t="s">
        <v>503</v>
      </c>
      <c r="CS59" s="108" t="s">
        <v>503</v>
      </c>
      <c r="CT59" s="108" t="s">
        <v>503</v>
      </c>
      <c r="CU59" s="108" t="s">
        <v>503</v>
      </c>
      <c r="CV59" s="108" t="s">
        <v>503</v>
      </c>
      <c r="CW59" s="108" t="s">
        <v>503</v>
      </c>
      <c r="CX59" s="108" t="s">
        <v>503</v>
      </c>
      <c r="CY59" s="108" t="s">
        <v>503</v>
      </c>
      <c r="CZ59" s="108" t="s">
        <v>503</v>
      </c>
      <c r="DA59" s="108" t="s">
        <v>503</v>
      </c>
      <c r="DB59" s="108" t="s">
        <v>503</v>
      </c>
      <c r="DC59" s="108" t="s">
        <v>503</v>
      </c>
      <c r="DD59" s="108" t="s">
        <v>503</v>
      </c>
      <c r="DE59" s="108" t="s">
        <v>503</v>
      </c>
      <c r="DF59" s="108" t="s">
        <v>503</v>
      </c>
      <c r="DG59" s="108" t="s">
        <v>503</v>
      </c>
      <c r="DH59" s="108" t="s">
        <v>503</v>
      </c>
      <c r="DI59" s="108" t="s">
        <v>503</v>
      </c>
      <c r="DJ59" s="108" t="s">
        <v>503</v>
      </c>
      <c r="DK59" s="108" t="s">
        <v>503</v>
      </c>
      <c r="DL59" s="108" t="s">
        <v>503</v>
      </c>
      <c r="DM59" s="108" t="s">
        <v>503</v>
      </c>
      <c r="DN59" s="108" t="s">
        <v>503</v>
      </c>
      <c r="DO59" s="108" t="s">
        <v>503</v>
      </c>
      <c r="DP59" s="108" t="s">
        <v>669</v>
      </c>
      <c r="DQ59" s="108" t="s">
        <v>669</v>
      </c>
      <c r="DR59" s="108" t="s">
        <v>669</v>
      </c>
      <c r="DS59" s="108" t="s">
        <v>669</v>
      </c>
      <c r="DT59" s="108" t="s">
        <v>669</v>
      </c>
      <c r="DU59" s="108" t="s">
        <v>669</v>
      </c>
      <c r="DV59" s="108" t="s">
        <v>503</v>
      </c>
      <c r="DW59" s="108" t="s">
        <v>503</v>
      </c>
      <c r="DX59" s="108" t="s">
        <v>503</v>
      </c>
      <c r="DY59" s="108" t="s">
        <v>503</v>
      </c>
      <c r="DZ59" s="108" t="s">
        <v>503</v>
      </c>
      <c r="EA59" s="108" t="s">
        <v>503</v>
      </c>
      <c r="EB59" s="108" t="s">
        <v>503</v>
      </c>
      <c r="EC59" s="108" t="s">
        <v>503</v>
      </c>
      <c r="ED59" s="108" t="s">
        <v>503</v>
      </c>
      <c r="EE59" s="108" t="s">
        <v>503</v>
      </c>
      <c r="EF59" s="108" t="s">
        <v>503</v>
      </c>
      <c r="EG59" s="108" t="s">
        <v>503</v>
      </c>
      <c r="EH59" s="108" t="s">
        <v>503</v>
      </c>
      <c r="EI59" s="108" t="s">
        <v>503</v>
      </c>
      <c r="EJ59" s="108" t="s">
        <v>503</v>
      </c>
      <c r="EK59" s="108" t="s">
        <v>503</v>
      </c>
      <c r="EL59" s="108" t="s">
        <v>503</v>
      </c>
      <c r="EM59" s="108" t="s">
        <v>503</v>
      </c>
      <c r="EN59" s="108" t="s">
        <v>503</v>
      </c>
      <c r="EO59" s="108" t="s">
        <v>503</v>
      </c>
      <c r="EP59" s="108" t="s">
        <v>503</v>
      </c>
      <c r="EQ59" s="108" t="s">
        <v>502</v>
      </c>
      <c r="ER59" s="108" t="s">
        <v>502</v>
      </c>
      <c r="ES59" s="108" t="s">
        <v>502</v>
      </c>
      <c r="ET59" s="108" t="s">
        <v>502</v>
      </c>
      <c r="EU59" s="108" t="s">
        <v>502</v>
      </c>
      <c r="EV59" s="108" t="s">
        <v>502</v>
      </c>
      <c r="EW59" s="108" t="s">
        <v>502</v>
      </c>
      <c r="EX59" s="108" t="s">
        <v>502</v>
      </c>
      <c r="EY59" s="108" t="s">
        <v>502</v>
      </c>
      <c r="EZ59" s="71">
        <v>410000</v>
      </c>
      <c r="FA59" s="71">
        <f t="shared" ref="FA59:FA64" si="25">+EZ59*19%</f>
        <v>77900</v>
      </c>
      <c r="FB59" s="71">
        <f t="shared" ref="FB59:FB74" si="26">+EZ59+FA59</f>
        <v>487900</v>
      </c>
      <c r="FC59" s="108" t="s">
        <v>502</v>
      </c>
      <c r="FD59" s="108" t="s">
        <v>502</v>
      </c>
      <c r="FE59" s="108" t="s">
        <v>502</v>
      </c>
      <c r="FF59" s="108" t="s">
        <v>503</v>
      </c>
      <c r="FG59" s="108" t="s">
        <v>503</v>
      </c>
      <c r="FH59" s="108" t="s">
        <v>503</v>
      </c>
      <c r="FI59" s="108" t="s">
        <v>503</v>
      </c>
      <c r="FJ59" s="108" t="s">
        <v>503</v>
      </c>
      <c r="FK59" s="108" t="s">
        <v>503</v>
      </c>
      <c r="FL59" s="108" t="s">
        <v>503</v>
      </c>
      <c r="FM59" s="108" t="s">
        <v>503</v>
      </c>
      <c r="FN59" s="108" t="s">
        <v>503</v>
      </c>
      <c r="FO59" s="108" t="s">
        <v>502</v>
      </c>
      <c r="FP59" s="108" t="s">
        <v>502</v>
      </c>
      <c r="FQ59" s="108" t="s">
        <v>502</v>
      </c>
      <c r="FR59" s="108" t="s">
        <v>502</v>
      </c>
      <c r="FS59" s="108" t="s">
        <v>502</v>
      </c>
      <c r="FT59" s="108" t="s">
        <v>502</v>
      </c>
      <c r="FU59" s="108" t="s">
        <v>502</v>
      </c>
      <c r="FV59" s="108" t="s">
        <v>502</v>
      </c>
      <c r="FW59" s="108" t="s">
        <v>502</v>
      </c>
      <c r="FX59" s="108" t="s">
        <v>503</v>
      </c>
      <c r="FY59" s="108" t="s">
        <v>503</v>
      </c>
      <c r="FZ59" s="108" t="s">
        <v>503</v>
      </c>
      <c r="GA59" s="108" t="s">
        <v>503</v>
      </c>
      <c r="GB59" s="108" t="s">
        <v>503</v>
      </c>
      <c r="GC59" s="108" t="s">
        <v>503</v>
      </c>
      <c r="GD59" s="108" t="s">
        <v>503</v>
      </c>
      <c r="GE59" s="108" t="s">
        <v>503</v>
      </c>
      <c r="GF59" s="108" t="s">
        <v>503</v>
      </c>
      <c r="GG59" s="108" t="s">
        <v>669</v>
      </c>
      <c r="GH59" s="108" t="s">
        <v>669</v>
      </c>
      <c r="GI59" s="108" t="s">
        <v>669</v>
      </c>
      <c r="GJ59" s="108" t="s">
        <v>669</v>
      </c>
      <c r="GK59" s="108" t="s">
        <v>669</v>
      </c>
      <c r="GL59" s="108" t="s">
        <v>669</v>
      </c>
      <c r="GM59" s="108" t="s">
        <v>502</v>
      </c>
      <c r="GN59" s="108" t="s">
        <v>502</v>
      </c>
      <c r="GO59" s="108" t="s">
        <v>502</v>
      </c>
      <c r="GP59" s="108" t="s">
        <v>664</v>
      </c>
      <c r="GQ59" s="108" t="s">
        <v>664</v>
      </c>
      <c r="GR59" s="108" t="s">
        <v>664</v>
      </c>
      <c r="GS59" s="47">
        <f>370000/1.19</f>
        <v>310924.36974789918</v>
      </c>
      <c r="GT59" s="47">
        <f t="shared" si="23"/>
        <v>59075.630252100847</v>
      </c>
      <c r="GU59" s="69">
        <f t="shared" si="24"/>
        <v>370000</v>
      </c>
      <c r="GV59" s="108" t="s">
        <v>502</v>
      </c>
      <c r="GW59" s="108" t="s">
        <v>502</v>
      </c>
      <c r="GX59" s="108" t="s">
        <v>502</v>
      </c>
      <c r="GY59" s="108" t="s">
        <v>664</v>
      </c>
      <c r="GZ59" s="108" t="s">
        <v>664</v>
      </c>
      <c r="HA59" s="108" t="s">
        <v>664</v>
      </c>
      <c r="HB59" s="108" t="s">
        <v>664</v>
      </c>
      <c r="HC59" s="108" t="s">
        <v>664</v>
      </c>
      <c r="HD59" s="108" t="s">
        <v>664</v>
      </c>
      <c r="HE59" s="108" t="s">
        <v>664</v>
      </c>
      <c r="HF59" s="108" t="s">
        <v>664</v>
      </c>
      <c r="HG59" s="108" t="s">
        <v>664</v>
      </c>
      <c r="HH59" s="108" t="s">
        <v>664</v>
      </c>
      <c r="HI59" s="108" t="s">
        <v>664</v>
      </c>
      <c r="HJ59" s="108" t="s">
        <v>664</v>
      </c>
      <c r="HK59" s="108" t="s">
        <v>664</v>
      </c>
      <c r="HL59" s="108" t="s">
        <v>664</v>
      </c>
      <c r="HM59" s="108" t="s">
        <v>664</v>
      </c>
      <c r="HN59" s="108" t="s">
        <v>664</v>
      </c>
      <c r="HO59" s="108" t="s">
        <v>664</v>
      </c>
      <c r="HP59" s="108" t="s">
        <v>664</v>
      </c>
      <c r="HQ59" s="108" t="s">
        <v>503</v>
      </c>
      <c r="HR59" s="108" t="s">
        <v>503</v>
      </c>
      <c r="HS59" s="108" t="s">
        <v>503</v>
      </c>
      <c r="HT59" s="108" t="s">
        <v>502</v>
      </c>
      <c r="HU59" s="108" t="s">
        <v>502</v>
      </c>
      <c r="HV59" s="108" t="s">
        <v>502</v>
      </c>
      <c r="HW59" s="108" t="s">
        <v>503</v>
      </c>
      <c r="HX59" s="108" t="s">
        <v>503</v>
      </c>
      <c r="HY59" s="108" t="s">
        <v>503</v>
      </c>
      <c r="HZ59" s="118" t="s">
        <v>502</v>
      </c>
      <c r="IA59" s="118" t="s">
        <v>502</v>
      </c>
      <c r="IB59" s="118" t="s">
        <v>502</v>
      </c>
      <c r="IC59" s="118" t="s">
        <v>502</v>
      </c>
      <c r="ID59" s="118" t="s">
        <v>502</v>
      </c>
      <c r="IE59" s="118" t="s">
        <v>502</v>
      </c>
      <c r="IF59" s="118" t="s">
        <v>502</v>
      </c>
      <c r="IG59" s="118" t="s">
        <v>502</v>
      </c>
      <c r="IH59" s="118" t="s">
        <v>502</v>
      </c>
      <c r="II59" s="118" t="s">
        <v>502</v>
      </c>
      <c r="IJ59" s="118" t="s">
        <v>502</v>
      </c>
      <c r="IK59" s="118" t="s">
        <v>502</v>
      </c>
      <c r="IL59" s="118" t="s">
        <v>502</v>
      </c>
      <c r="IM59" s="118" t="s">
        <v>502</v>
      </c>
      <c r="IN59" s="118" t="s">
        <v>502</v>
      </c>
      <c r="IO59" s="120" t="s">
        <v>503</v>
      </c>
      <c r="IP59" s="120" t="s">
        <v>503</v>
      </c>
      <c r="IQ59" s="120" t="s">
        <v>503</v>
      </c>
      <c r="IR59" s="118" t="s">
        <v>669</v>
      </c>
      <c r="IS59" s="118" t="s">
        <v>669</v>
      </c>
      <c r="IT59" s="118" t="s">
        <v>669</v>
      </c>
      <c r="IU59" s="120" t="s">
        <v>503</v>
      </c>
      <c r="IV59" s="120" t="s">
        <v>503</v>
      </c>
      <c r="IW59" s="120" t="s">
        <v>503</v>
      </c>
      <c r="IX59" s="120" t="s">
        <v>503</v>
      </c>
      <c r="IY59" s="120" t="s">
        <v>503</v>
      </c>
      <c r="IZ59" s="120" t="s">
        <v>503</v>
      </c>
      <c r="JA59" s="120" t="s">
        <v>503</v>
      </c>
      <c r="JB59" s="120" t="s">
        <v>503</v>
      </c>
      <c r="JC59" s="120" t="s">
        <v>503</v>
      </c>
      <c r="JD59" s="120" t="s">
        <v>664</v>
      </c>
      <c r="JE59" s="120" t="s">
        <v>664</v>
      </c>
      <c r="JF59" s="120" t="s">
        <v>664</v>
      </c>
      <c r="JG59" s="118" t="s">
        <v>502</v>
      </c>
      <c r="JH59" s="118" t="s">
        <v>502</v>
      </c>
      <c r="JI59" s="118" t="s">
        <v>502</v>
      </c>
      <c r="JJ59" s="118" t="s">
        <v>502</v>
      </c>
      <c r="JK59" s="118" t="s">
        <v>502</v>
      </c>
      <c r="JL59" s="118" t="s">
        <v>502</v>
      </c>
      <c r="JM59" s="118" t="s">
        <v>502</v>
      </c>
      <c r="JN59" s="118" t="s">
        <v>502</v>
      </c>
      <c r="JO59" s="118" t="s">
        <v>502</v>
      </c>
      <c r="JP59" s="110">
        <v>374000</v>
      </c>
      <c r="JQ59" s="111">
        <v>446845.26655999996</v>
      </c>
      <c r="JR59" s="112">
        <f t="shared" si="0"/>
        <v>4</v>
      </c>
      <c r="JS59" s="113">
        <f t="shared" si="1"/>
        <v>476275</v>
      </c>
      <c r="JT59" s="114">
        <f t="shared" si="2"/>
        <v>476300</v>
      </c>
      <c r="JU59" s="84"/>
    </row>
    <row r="60" spans="1:281" ht="101.25" customHeight="1" x14ac:dyDescent="0.2">
      <c r="A60" s="98">
        <v>158</v>
      </c>
      <c r="B60" s="99">
        <v>158</v>
      </c>
      <c r="C60" s="39" t="s">
        <v>12</v>
      </c>
      <c r="D60" s="100" t="s">
        <v>135</v>
      </c>
      <c r="E60" s="170">
        <v>80141600</v>
      </c>
      <c r="F60" s="129" t="s">
        <v>222</v>
      </c>
      <c r="G60" s="102" t="s">
        <v>86</v>
      </c>
      <c r="H60" s="103" t="s">
        <v>501</v>
      </c>
      <c r="I60" s="108" t="s">
        <v>503</v>
      </c>
      <c r="J60" s="108" t="s">
        <v>503</v>
      </c>
      <c r="K60" s="108" t="s">
        <v>503</v>
      </c>
      <c r="L60" s="118" t="s">
        <v>502</v>
      </c>
      <c r="M60" s="118" t="s">
        <v>502</v>
      </c>
      <c r="N60" s="118" t="s">
        <v>502</v>
      </c>
      <c r="O60" s="108" t="s">
        <v>503</v>
      </c>
      <c r="P60" s="108" t="s">
        <v>503</v>
      </c>
      <c r="Q60" s="108" t="s">
        <v>503</v>
      </c>
      <c r="R60" s="108" t="s">
        <v>503</v>
      </c>
      <c r="S60" s="108" t="s">
        <v>503</v>
      </c>
      <c r="T60" s="108" t="s">
        <v>503</v>
      </c>
      <c r="U60" s="118" t="s">
        <v>502</v>
      </c>
      <c r="V60" s="118" t="s">
        <v>502</v>
      </c>
      <c r="W60" s="118" t="s">
        <v>502</v>
      </c>
      <c r="X60" s="108" t="s">
        <v>503</v>
      </c>
      <c r="Y60" s="108" t="s">
        <v>503</v>
      </c>
      <c r="Z60" s="108" t="s">
        <v>503</v>
      </c>
      <c r="AA60" s="108" t="s">
        <v>503</v>
      </c>
      <c r="AB60" s="108" t="s">
        <v>503</v>
      </c>
      <c r="AC60" s="108" t="s">
        <v>503</v>
      </c>
      <c r="AD60" s="108" t="s">
        <v>503</v>
      </c>
      <c r="AE60" s="108" t="s">
        <v>503</v>
      </c>
      <c r="AF60" s="108" t="s">
        <v>503</v>
      </c>
      <c r="AG60" s="108" t="s">
        <v>503</v>
      </c>
      <c r="AH60" s="108" t="s">
        <v>503</v>
      </c>
      <c r="AI60" s="108" t="s">
        <v>503</v>
      </c>
      <c r="AJ60" s="108" t="s">
        <v>503</v>
      </c>
      <c r="AK60" s="108" t="s">
        <v>503</v>
      </c>
      <c r="AL60" s="108" t="s">
        <v>503</v>
      </c>
      <c r="AM60" s="108" t="s">
        <v>503</v>
      </c>
      <c r="AN60" s="108" t="s">
        <v>503</v>
      </c>
      <c r="AO60" s="108" t="s">
        <v>503</v>
      </c>
      <c r="AP60" s="108" t="s">
        <v>503</v>
      </c>
      <c r="AQ60" s="108" t="s">
        <v>503</v>
      </c>
      <c r="AR60" s="108" t="s">
        <v>503</v>
      </c>
      <c r="AS60" s="108" t="s">
        <v>503</v>
      </c>
      <c r="AT60" s="108" t="s">
        <v>503</v>
      </c>
      <c r="AU60" s="108" t="s">
        <v>503</v>
      </c>
      <c r="AV60" s="108" t="s">
        <v>503</v>
      </c>
      <c r="AW60" s="108" t="s">
        <v>503</v>
      </c>
      <c r="AX60" s="108" t="s">
        <v>503</v>
      </c>
      <c r="AY60" s="108" t="s">
        <v>503</v>
      </c>
      <c r="AZ60" s="108" t="s">
        <v>503</v>
      </c>
      <c r="BA60" s="108" t="s">
        <v>503</v>
      </c>
      <c r="BB60" s="108" t="s">
        <v>503</v>
      </c>
      <c r="BC60" s="108" t="s">
        <v>503</v>
      </c>
      <c r="BD60" s="108" t="s">
        <v>503</v>
      </c>
      <c r="BE60" s="108" t="s">
        <v>503</v>
      </c>
      <c r="BF60" s="108" t="s">
        <v>503</v>
      </c>
      <c r="BG60" s="108" t="s">
        <v>503</v>
      </c>
      <c r="BH60" s="108" t="s">
        <v>503</v>
      </c>
      <c r="BI60" s="108" t="s">
        <v>503</v>
      </c>
      <c r="BJ60" s="108" t="s">
        <v>503</v>
      </c>
      <c r="BK60" s="108" t="s">
        <v>503</v>
      </c>
      <c r="BL60" s="108" t="s">
        <v>503</v>
      </c>
      <c r="BM60" s="108" t="s">
        <v>503</v>
      </c>
      <c r="BN60" s="108" t="s">
        <v>503</v>
      </c>
      <c r="BO60" s="108" t="s">
        <v>503</v>
      </c>
      <c r="BP60" s="108" t="s">
        <v>503</v>
      </c>
      <c r="BQ60" s="108" t="s">
        <v>503</v>
      </c>
      <c r="BR60" s="108" t="s">
        <v>503</v>
      </c>
      <c r="BS60" s="108" t="s">
        <v>503</v>
      </c>
      <c r="BT60" s="108" t="s">
        <v>503</v>
      </c>
      <c r="BU60" s="108" t="s">
        <v>503</v>
      </c>
      <c r="BV60" s="108" t="s">
        <v>503</v>
      </c>
      <c r="BW60" s="108" t="s">
        <v>503</v>
      </c>
      <c r="BX60" s="108" t="s">
        <v>503</v>
      </c>
      <c r="BY60" s="108" t="s">
        <v>503</v>
      </c>
      <c r="BZ60" s="77">
        <v>510000</v>
      </c>
      <c r="CA60" s="117">
        <f>+BZ60*19%</f>
        <v>96900</v>
      </c>
      <c r="CB60" s="71">
        <f>+BZ60+CA60</f>
        <v>606900</v>
      </c>
      <c r="CC60" s="108" t="s">
        <v>503</v>
      </c>
      <c r="CD60" s="108" t="s">
        <v>503</v>
      </c>
      <c r="CE60" s="108" t="s">
        <v>503</v>
      </c>
      <c r="CF60" s="108" t="s">
        <v>503</v>
      </c>
      <c r="CG60" s="108" t="s">
        <v>503</v>
      </c>
      <c r="CH60" s="108" t="s">
        <v>503</v>
      </c>
      <c r="CI60" s="108" t="s">
        <v>503</v>
      </c>
      <c r="CJ60" s="108" t="s">
        <v>503</v>
      </c>
      <c r="CK60" s="108" t="s">
        <v>503</v>
      </c>
      <c r="CL60" s="108" t="s">
        <v>503</v>
      </c>
      <c r="CM60" s="108" t="s">
        <v>503</v>
      </c>
      <c r="CN60" s="108" t="s">
        <v>503</v>
      </c>
      <c r="CO60" s="108" t="s">
        <v>503</v>
      </c>
      <c r="CP60" s="108" t="s">
        <v>503</v>
      </c>
      <c r="CQ60" s="108" t="s">
        <v>503</v>
      </c>
      <c r="CR60" s="108" t="s">
        <v>503</v>
      </c>
      <c r="CS60" s="108" t="s">
        <v>503</v>
      </c>
      <c r="CT60" s="108" t="s">
        <v>503</v>
      </c>
      <c r="CU60" s="108" t="s">
        <v>503</v>
      </c>
      <c r="CV60" s="108" t="s">
        <v>503</v>
      </c>
      <c r="CW60" s="108" t="s">
        <v>503</v>
      </c>
      <c r="CX60" s="108" t="s">
        <v>503</v>
      </c>
      <c r="CY60" s="108" t="s">
        <v>503</v>
      </c>
      <c r="CZ60" s="108" t="s">
        <v>503</v>
      </c>
      <c r="DA60" s="108" t="s">
        <v>503</v>
      </c>
      <c r="DB60" s="108" t="s">
        <v>503</v>
      </c>
      <c r="DC60" s="108" t="s">
        <v>503</v>
      </c>
      <c r="DD60" s="108" t="s">
        <v>503</v>
      </c>
      <c r="DE60" s="108" t="s">
        <v>503</v>
      </c>
      <c r="DF60" s="108" t="s">
        <v>503</v>
      </c>
      <c r="DG60" s="108" t="s">
        <v>503</v>
      </c>
      <c r="DH60" s="108" t="s">
        <v>503</v>
      </c>
      <c r="DI60" s="108" t="s">
        <v>503</v>
      </c>
      <c r="DJ60" s="108" t="s">
        <v>503</v>
      </c>
      <c r="DK60" s="108" t="s">
        <v>503</v>
      </c>
      <c r="DL60" s="108" t="s">
        <v>503</v>
      </c>
      <c r="DM60" s="108" t="s">
        <v>503</v>
      </c>
      <c r="DN60" s="108" t="s">
        <v>503</v>
      </c>
      <c r="DO60" s="108" t="s">
        <v>503</v>
      </c>
      <c r="DP60" s="108" t="s">
        <v>669</v>
      </c>
      <c r="DQ60" s="108" t="s">
        <v>669</v>
      </c>
      <c r="DR60" s="108" t="s">
        <v>669</v>
      </c>
      <c r="DS60" s="108" t="s">
        <v>669</v>
      </c>
      <c r="DT60" s="108" t="s">
        <v>669</v>
      </c>
      <c r="DU60" s="108" t="s">
        <v>669</v>
      </c>
      <c r="DV60" s="108" t="s">
        <v>503</v>
      </c>
      <c r="DW60" s="108" t="s">
        <v>503</v>
      </c>
      <c r="DX60" s="108" t="s">
        <v>503</v>
      </c>
      <c r="DY60" s="108" t="s">
        <v>503</v>
      </c>
      <c r="DZ60" s="108" t="s">
        <v>503</v>
      </c>
      <c r="EA60" s="108" t="s">
        <v>503</v>
      </c>
      <c r="EB60" s="108" t="s">
        <v>503</v>
      </c>
      <c r="EC60" s="108" t="s">
        <v>503</v>
      </c>
      <c r="ED60" s="108" t="s">
        <v>503</v>
      </c>
      <c r="EE60" s="108" t="s">
        <v>503</v>
      </c>
      <c r="EF60" s="108" t="s">
        <v>503</v>
      </c>
      <c r="EG60" s="108" t="s">
        <v>503</v>
      </c>
      <c r="EH60" s="108" t="s">
        <v>503</v>
      </c>
      <c r="EI60" s="108" t="s">
        <v>503</v>
      </c>
      <c r="EJ60" s="108" t="s">
        <v>503</v>
      </c>
      <c r="EK60" s="108" t="s">
        <v>503</v>
      </c>
      <c r="EL60" s="108" t="s">
        <v>503</v>
      </c>
      <c r="EM60" s="108" t="s">
        <v>503</v>
      </c>
      <c r="EN60" s="108" t="s">
        <v>503</v>
      </c>
      <c r="EO60" s="108" t="s">
        <v>503</v>
      </c>
      <c r="EP60" s="108" t="s">
        <v>503</v>
      </c>
      <c r="EQ60" s="108" t="s">
        <v>502</v>
      </c>
      <c r="ER60" s="108" t="s">
        <v>502</v>
      </c>
      <c r="ES60" s="108" t="s">
        <v>502</v>
      </c>
      <c r="ET60" s="108" t="s">
        <v>502</v>
      </c>
      <c r="EU60" s="108" t="s">
        <v>502</v>
      </c>
      <c r="EV60" s="108" t="s">
        <v>502</v>
      </c>
      <c r="EW60" s="108" t="s">
        <v>502</v>
      </c>
      <c r="EX60" s="108" t="s">
        <v>502</v>
      </c>
      <c r="EY60" s="108" t="s">
        <v>502</v>
      </c>
      <c r="EZ60" s="71">
        <v>430000</v>
      </c>
      <c r="FA60" s="71">
        <f t="shared" si="25"/>
        <v>81700</v>
      </c>
      <c r="FB60" s="71">
        <f t="shared" si="26"/>
        <v>511700</v>
      </c>
      <c r="FC60" s="108" t="s">
        <v>502</v>
      </c>
      <c r="FD60" s="108" t="s">
        <v>502</v>
      </c>
      <c r="FE60" s="108" t="s">
        <v>502</v>
      </c>
      <c r="FF60" s="108" t="s">
        <v>503</v>
      </c>
      <c r="FG60" s="108" t="s">
        <v>503</v>
      </c>
      <c r="FH60" s="108" t="s">
        <v>503</v>
      </c>
      <c r="FI60" s="108" t="s">
        <v>503</v>
      </c>
      <c r="FJ60" s="108" t="s">
        <v>503</v>
      </c>
      <c r="FK60" s="108" t="s">
        <v>503</v>
      </c>
      <c r="FL60" s="108" t="s">
        <v>503</v>
      </c>
      <c r="FM60" s="108" t="s">
        <v>503</v>
      </c>
      <c r="FN60" s="108" t="s">
        <v>503</v>
      </c>
      <c r="FO60" s="108" t="s">
        <v>502</v>
      </c>
      <c r="FP60" s="108" t="s">
        <v>502</v>
      </c>
      <c r="FQ60" s="108" t="s">
        <v>502</v>
      </c>
      <c r="FR60" s="108" t="s">
        <v>502</v>
      </c>
      <c r="FS60" s="108" t="s">
        <v>502</v>
      </c>
      <c r="FT60" s="108" t="s">
        <v>502</v>
      </c>
      <c r="FU60" s="108" t="s">
        <v>502</v>
      </c>
      <c r="FV60" s="108" t="s">
        <v>502</v>
      </c>
      <c r="FW60" s="108" t="s">
        <v>502</v>
      </c>
      <c r="FX60" s="108" t="s">
        <v>503</v>
      </c>
      <c r="FY60" s="108" t="s">
        <v>503</v>
      </c>
      <c r="FZ60" s="108" t="s">
        <v>503</v>
      </c>
      <c r="GA60" s="108" t="s">
        <v>503</v>
      </c>
      <c r="GB60" s="108" t="s">
        <v>503</v>
      </c>
      <c r="GC60" s="108" t="s">
        <v>503</v>
      </c>
      <c r="GD60" s="108" t="s">
        <v>503</v>
      </c>
      <c r="GE60" s="108" t="s">
        <v>503</v>
      </c>
      <c r="GF60" s="108" t="s">
        <v>503</v>
      </c>
      <c r="GG60" s="108" t="s">
        <v>669</v>
      </c>
      <c r="GH60" s="108" t="s">
        <v>669</v>
      </c>
      <c r="GI60" s="108" t="s">
        <v>669</v>
      </c>
      <c r="GJ60" s="108" t="s">
        <v>669</v>
      </c>
      <c r="GK60" s="108" t="s">
        <v>669</v>
      </c>
      <c r="GL60" s="108" t="s">
        <v>669</v>
      </c>
      <c r="GM60" s="108" t="s">
        <v>502</v>
      </c>
      <c r="GN60" s="108" t="s">
        <v>502</v>
      </c>
      <c r="GO60" s="108" t="s">
        <v>502</v>
      </c>
      <c r="GP60" s="108" t="s">
        <v>664</v>
      </c>
      <c r="GQ60" s="108" t="s">
        <v>664</v>
      </c>
      <c r="GR60" s="108" t="s">
        <v>664</v>
      </c>
      <c r="GS60" s="47">
        <f>470000/1.19</f>
        <v>394957.98319327732</v>
      </c>
      <c r="GT60" s="47">
        <f t="shared" si="23"/>
        <v>75042.016806722691</v>
      </c>
      <c r="GU60" s="69">
        <f t="shared" si="24"/>
        <v>470000</v>
      </c>
      <c r="GV60" s="108" t="s">
        <v>502</v>
      </c>
      <c r="GW60" s="108" t="s">
        <v>502</v>
      </c>
      <c r="GX60" s="108" t="s">
        <v>502</v>
      </c>
      <c r="GY60" s="108" t="s">
        <v>664</v>
      </c>
      <c r="GZ60" s="108" t="s">
        <v>664</v>
      </c>
      <c r="HA60" s="108" t="s">
        <v>664</v>
      </c>
      <c r="HB60" s="108" t="s">
        <v>664</v>
      </c>
      <c r="HC60" s="108" t="s">
        <v>664</v>
      </c>
      <c r="HD60" s="108" t="s">
        <v>664</v>
      </c>
      <c r="HE60" s="108" t="s">
        <v>664</v>
      </c>
      <c r="HF60" s="108" t="s">
        <v>664</v>
      </c>
      <c r="HG60" s="108" t="s">
        <v>664</v>
      </c>
      <c r="HH60" s="108" t="s">
        <v>664</v>
      </c>
      <c r="HI60" s="108" t="s">
        <v>664</v>
      </c>
      <c r="HJ60" s="108" t="s">
        <v>664</v>
      </c>
      <c r="HK60" s="108" t="s">
        <v>664</v>
      </c>
      <c r="HL60" s="108" t="s">
        <v>664</v>
      </c>
      <c r="HM60" s="108" t="s">
        <v>664</v>
      </c>
      <c r="HN60" s="108" t="s">
        <v>664</v>
      </c>
      <c r="HO60" s="108" t="s">
        <v>664</v>
      </c>
      <c r="HP60" s="108" t="s">
        <v>664</v>
      </c>
      <c r="HQ60" s="108" t="s">
        <v>503</v>
      </c>
      <c r="HR60" s="108" t="s">
        <v>503</v>
      </c>
      <c r="HS60" s="108" t="s">
        <v>503</v>
      </c>
      <c r="HT60" s="108" t="s">
        <v>502</v>
      </c>
      <c r="HU60" s="108" t="s">
        <v>502</v>
      </c>
      <c r="HV60" s="108" t="s">
        <v>502</v>
      </c>
      <c r="HW60" s="108" t="s">
        <v>503</v>
      </c>
      <c r="HX60" s="108" t="s">
        <v>503</v>
      </c>
      <c r="HY60" s="108" t="s">
        <v>503</v>
      </c>
      <c r="HZ60" s="118" t="s">
        <v>502</v>
      </c>
      <c r="IA60" s="118" t="s">
        <v>502</v>
      </c>
      <c r="IB60" s="118" t="s">
        <v>502</v>
      </c>
      <c r="IC60" s="118" t="s">
        <v>502</v>
      </c>
      <c r="ID60" s="118" t="s">
        <v>502</v>
      </c>
      <c r="IE60" s="118" t="s">
        <v>502</v>
      </c>
      <c r="IF60" s="118" t="s">
        <v>502</v>
      </c>
      <c r="IG60" s="118" t="s">
        <v>502</v>
      </c>
      <c r="IH60" s="118" t="s">
        <v>502</v>
      </c>
      <c r="II60" s="118" t="s">
        <v>502</v>
      </c>
      <c r="IJ60" s="118" t="s">
        <v>502</v>
      </c>
      <c r="IK60" s="118" t="s">
        <v>502</v>
      </c>
      <c r="IL60" s="118" t="s">
        <v>502</v>
      </c>
      <c r="IM60" s="118" t="s">
        <v>502</v>
      </c>
      <c r="IN60" s="118" t="s">
        <v>502</v>
      </c>
      <c r="IO60" s="120" t="s">
        <v>503</v>
      </c>
      <c r="IP60" s="120" t="s">
        <v>503</v>
      </c>
      <c r="IQ60" s="120" t="s">
        <v>503</v>
      </c>
      <c r="IR60" s="118" t="s">
        <v>669</v>
      </c>
      <c r="IS60" s="118" t="s">
        <v>669</v>
      </c>
      <c r="IT60" s="118" t="s">
        <v>669</v>
      </c>
      <c r="IU60" s="120" t="s">
        <v>503</v>
      </c>
      <c r="IV60" s="120" t="s">
        <v>503</v>
      </c>
      <c r="IW60" s="120" t="s">
        <v>503</v>
      </c>
      <c r="IX60" s="120" t="s">
        <v>503</v>
      </c>
      <c r="IY60" s="120" t="s">
        <v>503</v>
      </c>
      <c r="IZ60" s="120" t="s">
        <v>503</v>
      </c>
      <c r="JA60" s="120" t="s">
        <v>503</v>
      </c>
      <c r="JB60" s="120" t="s">
        <v>503</v>
      </c>
      <c r="JC60" s="120" t="s">
        <v>503</v>
      </c>
      <c r="JD60" s="120" t="s">
        <v>664</v>
      </c>
      <c r="JE60" s="120" t="s">
        <v>664</v>
      </c>
      <c r="JF60" s="120" t="s">
        <v>664</v>
      </c>
      <c r="JG60" s="118" t="s">
        <v>502</v>
      </c>
      <c r="JH60" s="118" t="s">
        <v>502</v>
      </c>
      <c r="JI60" s="118" t="s">
        <v>502</v>
      </c>
      <c r="JJ60" s="118" t="s">
        <v>502</v>
      </c>
      <c r="JK60" s="118" t="s">
        <v>502</v>
      </c>
      <c r="JL60" s="118" t="s">
        <v>502</v>
      </c>
      <c r="JM60" s="118" t="s">
        <v>502</v>
      </c>
      <c r="JN60" s="118" t="s">
        <v>502</v>
      </c>
      <c r="JO60" s="118" t="s">
        <v>502</v>
      </c>
      <c r="JP60" s="110">
        <v>458900</v>
      </c>
      <c r="JQ60" s="111">
        <v>548281.53161599999</v>
      </c>
      <c r="JR60" s="112">
        <f t="shared" si="0"/>
        <v>3</v>
      </c>
      <c r="JS60" s="113">
        <f t="shared" si="1"/>
        <v>529533.33333333337</v>
      </c>
      <c r="JT60" s="114">
        <f t="shared" si="2"/>
        <v>529550</v>
      </c>
      <c r="JU60" s="84"/>
    </row>
    <row r="61" spans="1:281" ht="101.25" customHeight="1" x14ac:dyDescent="0.2">
      <c r="A61" s="98">
        <v>159</v>
      </c>
      <c r="B61" s="99">
        <v>159</v>
      </c>
      <c r="C61" s="39" t="s">
        <v>12</v>
      </c>
      <c r="D61" s="100" t="s">
        <v>31</v>
      </c>
      <c r="E61" s="39">
        <v>26101400</v>
      </c>
      <c r="F61" s="168" t="s">
        <v>185</v>
      </c>
      <c r="G61" s="102" t="s">
        <v>51</v>
      </c>
      <c r="H61" s="103" t="s">
        <v>501</v>
      </c>
      <c r="I61" s="108" t="s">
        <v>503</v>
      </c>
      <c r="J61" s="108" t="s">
        <v>503</v>
      </c>
      <c r="K61" s="108" t="s">
        <v>503</v>
      </c>
      <c r="L61" s="118" t="s">
        <v>502</v>
      </c>
      <c r="M61" s="118" t="s">
        <v>502</v>
      </c>
      <c r="N61" s="118" t="s">
        <v>502</v>
      </c>
      <c r="O61" s="108" t="s">
        <v>503</v>
      </c>
      <c r="P61" s="108" t="s">
        <v>503</v>
      </c>
      <c r="Q61" s="108" t="s">
        <v>503</v>
      </c>
      <c r="R61" s="108" t="s">
        <v>503</v>
      </c>
      <c r="S61" s="108" t="s">
        <v>503</v>
      </c>
      <c r="T61" s="108" t="s">
        <v>503</v>
      </c>
      <c r="U61" s="118" t="s">
        <v>502</v>
      </c>
      <c r="V61" s="118" t="s">
        <v>502</v>
      </c>
      <c r="W61" s="118" t="s">
        <v>502</v>
      </c>
      <c r="X61" s="108" t="s">
        <v>503</v>
      </c>
      <c r="Y61" s="108" t="s">
        <v>503</v>
      </c>
      <c r="Z61" s="108" t="s">
        <v>503</v>
      </c>
      <c r="AA61" s="108" t="s">
        <v>503</v>
      </c>
      <c r="AB61" s="108" t="s">
        <v>503</v>
      </c>
      <c r="AC61" s="108" t="s">
        <v>503</v>
      </c>
      <c r="AD61" s="108" t="s">
        <v>503</v>
      </c>
      <c r="AE61" s="108" t="s">
        <v>503</v>
      </c>
      <c r="AF61" s="108" t="s">
        <v>503</v>
      </c>
      <c r="AG61" s="108" t="s">
        <v>503</v>
      </c>
      <c r="AH61" s="108" t="s">
        <v>503</v>
      </c>
      <c r="AI61" s="108" t="s">
        <v>503</v>
      </c>
      <c r="AJ61" s="108" t="s">
        <v>503</v>
      </c>
      <c r="AK61" s="108" t="s">
        <v>503</v>
      </c>
      <c r="AL61" s="108" t="s">
        <v>503</v>
      </c>
      <c r="AM61" s="108" t="s">
        <v>503</v>
      </c>
      <c r="AN61" s="108" t="s">
        <v>503</v>
      </c>
      <c r="AO61" s="108" t="s">
        <v>503</v>
      </c>
      <c r="AP61" s="108" t="s">
        <v>503</v>
      </c>
      <c r="AQ61" s="108" t="s">
        <v>503</v>
      </c>
      <c r="AR61" s="108" t="s">
        <v>503</v>
      </c>
      <c r="AS61" s="71">
        <v>1200000</v>
      </c>
      <c r="AT61" s="117">
        <f>+AS61*19%</f>
        <v>228000</v>
      </c>
      <c r="AU61" s="71">
        <f>+AS61+AT61</f>
        <v>1428000</v>
      </c>
      <c r="AV61" s="108" t="s">
        <v>503</v>
      </c>
      <c r="AW61" s="108" t="s">
        <v>503</v>
      </c>
      <c r="AX61" s="108" t="s">
        <v>503</v>
      </c>
      <c r="AY61" s="108" t="s">
        <v>503</v>
      </c>
      <c r="AZ61" s="108" t="s">
        <v>503</v>
      </c>
      <c r="BA61" s="108" t="s">
        <v>503</v>
      </c>
      <c r="BB61" s="108" t="s">
        <v>503</v>
      </c>
      <c r="BC61" s="108" t="s">
        <v>503</v>
      </c>
      <c r="BD61" s="108" t="s">
        <v>503</v>
      </c>
      <c r="BE61" s="108" t="s">
        <v>503</v>
      </c>
      <c r="BF61" s="108" t="s">
        <v>503</v>
      </c>
      <c r="BG61" s="108" t="s">
        <v>503</v>
      </c>
      <c r="BH61" s="108" t="s">
        <v>503</v>
      </c>
      <c r="BI61" s="108" t="s">
        <v>503</v>
      </c>
      <c r="BJ61" s="108" t="s">
        <v>503</v>
      </c>
      <c r="BK61" s="108" t="s">
        <v>503</v>
      </c>
      <c r="BL61" s="108" t="s">
        <v>503</v>
      </c>
      <c r="BM61" s="108" t="s">
        <v>503</v>
      </c>
      <c r="BN61" s="108" t="s">
        <v>503</v>
      </c>
      <c r="BO61" s="108" t="s">
        <v>503</v>
      </c>
      <c r="BP61" s="108" t="s">
        <v>503</v>
      </c>
      <c r="BQ61" s="108" t="s">
        <v>503</v>
      </c>
      <c r="BR61" s="108" t="s">
        <v>503</v>
      </c>
      <c r="BS61" s="108" t="s">
        <v>503</v>
      </c>
      <c r="BT61" s="108" t="s">
        <v>503</v>
      </c>
      <c r="BU61" s="108" t="s">
        <v>503</v>
      </c>
      <c r="BV61" s="108" t="s">
        <v>503</v>
      </c>
      <c r="BW61" s="108" t="s">
        <v>503</v>
      </c>
      <c r="BX61" s="108" t="s">
        <v>503</v>
      </c>
      <c r="BY61" s="108" t="s">
        <v>503</v>
      </c>
      <c r="BZ61" s="108" t="s">
        <v>503</v>
      </c>
      <c r="CA61" s="108" t="s">
        <v>503</v>
      </c>
      <c r="CB61" s="108" t="s">
        <v>503</v>
      </c>
      <c r="CC61" s="108" t="s">
        <v>503</v>
      </c>
      <c r="CD61" s="108" t="s">
        <v>503</v>
      </c>
      <c r="CE61" s="108" t="s">
        <v>503</v>
      </c>
      <c r="CF61" s="108" t="s">
        <v>503</v>
      </c>
      <c r="CG61" s="108" t="s">
        <v>503</v>
      </c>
      <c r="CH61" s="108" t="s">
        <v>503</v>
      </c>
      <c r="CI61" s="108" t="s">
        <v>503</v>
      </c>
      <c r="CJ61" s="108" t="s">
        <v>503</v>
      </c>
      <c r="CK61" s="108" t="s">
        <v>503</v>
      </c>
      <c r="CL61" s="108" t="s">
        <v>503</v>
      </c>
      <c r="CM61" s="108" t="s">
        <v>503</v>
      </c>
      <c r="CN61" s="108" t="s">
        <v>503</v>
      </c>
      <c r="CO61" s="108" t="s">
        <v>503</v>
      </c>
      <c r="CP61" s="108" t="s">
        <v>503</v>
      </c>
      <c r="CQ61" s="108" t="s">
        <v>503</v>
      </c>
      <c r="CR61" s="108" t="s">
        <v>503</v>
      </c>
      <c r="CS61" s="108" t="s">
        <v>503</v>
      </c>
      <c r="CT61" s="108" t="s">
        <v>503</v>
      </c>
      <c r="CU61" s="108" t="s">
        <v>503</v>
      </c>
      <c r="CV61" s="108" t="s">
        <v>503</v>
      </c>
      <c r="CW61" s="108" t="s">
        <v>503</v>
      </c>
      <c r="CX61" s="108" t="s">
        <v>503</v>
      </c>
      <c r="CY61" s="108" t="s">
        <v>503</v>
      </c>
      <c r="CZ61" s="108" t="s">
        <v>503</v>
      </c>
      <c r="DA61" s="108" t="s">
        <v>503</v>
      </c>
      <c r="DB61" s="108" t="s">
        <v>503</v>
      </c>
      <c r="DC61" s="108" t="s">
        <v>503</v>
      </c>
      <c r="DD61" s="108" t="s">
        <v>503</v>
      </c>
      <c r="DE61" s="108" t="s">
        <v>503</v>
      </c>
      <c r="DF61" s="108" t="s">
        <v>503</v>
      </c>
      <c r="DG61" s="108" t="s">
        <v>503</v>
      </c>
      <c r="DH61" s="108" t="s">
        <v>503</v>
      </c>
      <c r="DI61" s="108" t="s">
        <v>503</v>
      </c>
      <c r="DJ61" s="108" t="s">
        <v>503</v>
      </c>
      <c r="DK61" s="108" t="s">
        <v>503</v>
      </c>
      <c r="DL61" s="108" t="s">
        <v>503</v>
      </c>
      <c r="DM61" s="108" t="s">
        <v>503</v>
      </c>
      <c r="DN61" s="108" t="s">
        <v>503</v>
      </c>
      <c r="DO61" s="108" t="s">
        <v>503</v>
      </c>
      <c r="DP61" s="108" t="s">
        <v>669</v>
      </c>
      <c r="DQ61" s="108" t="s">
        <v>669</v>
      </c>
      <c r="DR61" s="108" t="s">
        <v>669</v>
      </c>
      <c r="DS61" s="108" t="s">
        <v>669</v>
      </c>
      <c r="DT61" s="108" t="s">
        <v>669</v>
      </c>
      <c r="DU61" s="108" t="s">
        <v>669</v>
      </c>
      <c r="DV61" s="108" t="s">
        <v>503</v>
      </c>
      <c r="DW61" s="108" t="s">
        <v>503</v>
      </c>
      <c r="DX61" s="108" t="s">
        <v>503</v>
      </c>
      <c r="DY61" s="108" t="s">
        <v>503</v>
      </c>
      <c r="DZ61" s="108" t="s">
        <v>503</v>
      </c>
      <c r="EA61" s="108" t="s">
        <v>503</v>
      </c>
      <c r="EB61" s="108" t="s">
        <v>503</v>
      </c>
      <c r="EC61" s="108" t="s">
        <v>503</v>
      </c>
      <c r="ED61" s="108" t="s">
        <v>503</v>
      </c>
      <c r="EE61" s="108" t="s">
        <v>503</v>
      </c>
      <c r="EF61" s="108" t="s">
        <v>503</v>
      </c>
      <c r="EG61" s="108" t="s">
        <v>503</v>
      </c>
      <c r="EH61" s="108" t="s">
        <v>503</v>
      </c>
      <c r="EI61" s="108" t="s">
        <v>503</v>
      </c>
      <c r="EJ61" s="108" t="s">
        <v>503</v>
      </c>
      <c r="EK61" s="108" t="s">
        <v>503</v>
      </c>
      <c r="EL61" s="108" t="s">
        <v>503</v>
      </c>
      <c r="EM61" s="108" t="s">
        <v>503</v>
      </c>
      <c r="EN61" s="108" t="s">
        <v>503</v>
      </c>
      <c r="EO61" s="108" t="s">
        <v>503</v>
      </c>
      <c r="EP61" s="108" t="s">
        <v>503</v>
      </c>
      <c r="EQ61" s="108" t="s">
        <v>502</v>
      </c>
      <c r="ER61" s="108" t="s">
        <v>502</v>
      </c>
      <c r="ES61" s="108" t="s">
        <v>502</v>
      </c>
      <c r="ET61" s="108" t="s">
        <v>502</v>
      </c>
      <c r="EU61" s="108" t="s">
        <v>502</v>
      </c>
      <c r="EV61" s="108" t="s">
        <v>502</v>
      </c>
      <c r="EW61" s="108" t="s">
        <v>502</v>
      </c>
      <c r="EX61" s="108" t="s">
        <v>502</v>
      </c>
      <c r="EY61" s="108" t="s">
        <v>502</v>
      </c>
      <c r="EZ61" s="71">
        <v>1100000</v>
      </c>
      <c r="FA61" s="71">
        <f t="shared" si="25"/>
        <v>209000</v>
      </c>
      <c r="FB61" s="71">
        <f t="shared" si="26"/>
        <v>1309000</v>
      </c>
      <c r="FC61" s="108" t="s">
        <v>502</v>
      </c>
      <c r="FD61" s="108" t="s">
        <v>502</v>
      </c>
      <c r="FE61" s="108" t="s">
        <v>502</v>
      </c>
      <c r="FF61" s="108" t="s">
        <v>503</v>
      </c>
      <c r="FG61" s="108" t="s">
        <v>503</v>
      </c>
      <c r="FH61" s="108" t="s">
        <v>503</v>
      </c>
      <c r="FI61" s="108" t="s">
        <v>503</v>
      </c>
      <c r="FJ61" s="108" t="s">
        <v>503</v>
      </c>
      <c r="FK61" s="108" t="s">
        <v>503</v>
      </c>
      <c r="FL61" s="108" t="s">
        <v>503</v>
      </c>
      <c r="FM61" s="108" t="s">
        <v>503</v>
      </c>
      <c r="FN61" s="108" t="s">
        <v>503</v>
      </c>
      <c r="FO61" s="108" t="s">
        <v>502</v>
      </c>
      <c r="FP61" s="108" t="s">
        <v>502</v>
      </c>
      <c r="FQ61" s="108" t="s">
        <v>502</v>
      </c>
      <c r="FR61" s="108" t="s">
        <v>502</v>
      </c>
      <c r="FS61" s="108" t="s">
        <v>502</v>
      </c>
      <c r="FT61" s="108" t="s">
        <v>502</v>
      </c>
      <c r="FU61" s="108" t="s">
        <v>502</v>
      </c>
      <c r="FV61" s="108" t="s">
        <v>502</v>
      </c>
      <c r="FW61" s="108" t="s">
        <v>502</v>
      </c>
      <c r="FX61" s="108" t="s">
        <v>503</v>
      </c>
      <c r="FY61" s="108" t="s">
        <v>503</v>
      </c>
      <c r="FZ61" s="108" t="s">
        <v>503</v>
      </c>
      <c r="GA61" s="108" t="s">
        <v>503</v>
      </c>
      <c r="GB61" s="108" t="s">
        <v>503</v>
      </c>
      <c r="GC61" s="108" t="s">
        <v>503</v>
      </c>
      <c r="GD61" s="108" t="s">
        <v>503</v>
      </c>
      <c r="GE61" s="108" t="s">
        <v>503</v>
      </c>
      <c r="GF61" s="108" t="s">
        <v>503</v>
      </c>
      <c r="GG61" s="108" t="s">
        <v>669</v>
      </c>
      <c r="GH61" s="108" t="s">
        <v>669</v>
      </c>
      <c r="GI61" s="108" t="s">
        <v>669</v>
      </c>
      <c r="GJ61" s="108" t="s">
        <v>669</v>
      </c>
      <c r="GK61" s="108" t="s">
        <v>669</v>
      </c>
      <c r="GL61" s="108" t="s">
        <v>669</v>
      </c>
      <c r="GM61" s="108" t="s">
        <v>502</v>
      </c>
      <c r="GN61" s="108" t="s">
        <v>502</v>
      </c>
      <c r="GO61" s="108" t="s">
        <v>502</v>
      </c>
      <c r="GP61" s="108" t="s">
        <v>664</v>
      </c>
      <c r="GQ61" s="108" t="s">
        <v>664</v>
      </c>
      <c r="GR61" s="108" t="s">
        <v>664</v>
      </c>
      <c r="GS61" s="47">
        <f>900000/1.19</f>
        <v>756302.52100840339</v>
      </c>
      <c r="GT61" s="47">
        <f t="shared" si="23"/>
        <v>143697.47899159664</v>
      </c>
      <c r="GU61" s="69">
        <f t="shared" si="24"/>
        <v>900000</v>
      </c>
      <c r="GV61" s="108" t="s">
        <v>502</v>
      </c>
      <c r="GW61" s="108" t="s">
        <v>502</v>
      </c>
      <c r="GX61" s="108" t="s">
        <v>502</v>
      </c>
      <c r="GY61" s="108" t="s">
        <v>664</v>
      </c>
      <c r="GZ61" s="108" t="s">
        <v>664</v>
      </c>
      <c r="HA61" s="108" t="s">
        <v>664</v>
      </c>
      <c r="HB61" s="108" t="s">
        <v>664</v>
      </c>
      <c r="HC61" s="108" t="s">
        <v>664</v>
      </c>
      <c r="HD61" s="108" t="s">
        <v>664</v>
      </c>
      <c r="HE61" s="108" t="s">
        <v>664</v>
      </c>
      <c r="HF61" s="108" t="s">
        <v>664</v>
      </c>
      <c r="HG61" s="108" t="s">
        <v>664</v>
      </c>
      <c r="HH61" s="108" t="s">
        <v>664</v>
      </c>
      <c r="HI61" s="108" t="s">
        <v>664</v>
      </c>
      <c r="HJ61" s="108" t="s">
        <v>664</v>
      </c>
      <c r="HK61" s="108" t="s">
        <v>664</v>
      </c>
      <c r="HL61" s="108" t="s">
        <v>664</v>
      </c>
      <c r="HM61" s="108" t="s">
        <v>664</v>
      </c>
      <c r="HN61" s="108" t="s">
        <v>664</v>
      </c>
      <c r="HO61" s="108" t="s">
        <v>664</v>
      </c>
      <c r="HP61" s="108" t="s">
        <v>664</v>
      </c>
      <c r="HQ61" s="108" t="s">
        <v>503</v>
      </c>
      <c r="HR61" s="108" t="s">
        <v>503</v>
      </c>
      <c r="HS61" s="108" t="s">
        <v>503</v>
      </c>
      <c r="HT61" s="108" t="s">
        <v>502</v>
      </c>
      <c r="HU61" s="108" t="s">
        <v>502</v>
      </c>
      <c r="HV61" s="108" t="s">
        <v>502</v>
      </c>
      <c r="HW61" s="118">
        <v>1200000</v>
      </c>
      <c r="HX61" s="118">
        <f>+HW61*19%</f>
        <v>228000</v>
      </c>
      <c r="HY61" s="118">
        <f>+HW61+HX61</f>
        <v>1428000</v>
      </c>
      <c r="HZ61" s="118" t="s">
        <v>502</v>
      </c>
      <c r="IA61" s="118" t="s">
        <v>502</v>
      </c>
      <c r="IB61" s="118" t="s">
        <v>502</v>
      </c>
      <c r="IC61" s="118" t="s">
        <v>502</v>
      </c>
      <c r="ID61" s="118" t="s">
        <v>502</v>
      </c>
      <c r="IE61" s="118" t="s">
        <v>502</v>
      </c>
      <c r="IF61" s="118" t="s">
        <v>502</v>
      </c>
      <c r="IG61" s="118" t="s">
        <v>502</v>
      </c>
      <c r="IH61" s="118" t="s">
        <v>502</v>
      </c>
      <c r="II61" s="118" t="s">
        <v>502</v>
      </c>
      <c r="IJ61" s="118" t="s">
        <v>502</v>
      </c>
      <c r="IK61" s="118" t="s">
        <v>502</v>
      </c>
      <c r="IL61" s="118" t="s">
        <v>502</v>
      </c>
      <c r="IM61" s="118" t="s">
        <v>502</v>
      </c>
      <c r="IN61" s="118" t="s">
        <v>502</v>
      </c>
      <c r="IO61" s="120" t="s">
        <v>503</v>
      </c>
      <c r="IP61" s="120" t="s">
        <v>503</v>
      </c>
      <c r="IQ61" s="120" t="s">
        <v>503</v>
      </c>
      <c r="IR61" s="118" t="s">
        <v>669</v>
      </c>
      <c r="IS61" s="118" t="s">
        <v>669</v>
      </c>
      <c r="IT61" s="118" t="s">
        <v>669</v>
      </c>
      <c r="IU61" s="120" t="s">
        <v>503</v>
      </c>
      <c r="IV61" s="120" t="s">
        <v>503</v>
      </c>
      <c r="IW61" s="120" t="s">
        <v>503</v>
      </c>
      <c r="IX61" s="120" t="s">
        <v>503</v>
      </c>
      <c r="IY61" s="120" t="s">
        <v>503</v>
      </c>
      <c r="IZ61" s="120" t="s">
        <v>503</v>
      </c>
      <c r="JA61" s="120" t="s">
        <v>503</v>
      </c>
      <c r="JB61" s="120" t="s">
        <v>503</v>
      </c>
      <c r="JC61" s="120" t="s">
        <v>503</v>
      </c>
      <c r="JD61" s="120" t="s">
        <v>664</v>
      </c>
      <c r="JE61" s="120" t="s">
        <v>664</v>
      </c>
      <c r="JF61" s="120" t="s">
        <v>664</v>
      </c>
      <c r="JG61" s="118" t="s">
        <v>502</v>
      </c>
      <c r="JH61" s="118" t="s">
        <v>502</v>
      </c>
      <c r="JI61" s="118" t="s">
        <v>502</v>
      </c>
      <c r="JJ61" s="118" t="s">
        <v>502</v>
      </c>
      <c r="JK61" s="118" t="s">
        <v>502</v>
      </c>
      <c r="JL61" s="118" t="s">
        <v>502</v>
      </c>
      <c r="JM61" s="118" t="s">
        <v>502</v>
      </c>
      <c r="JN61" s="118" t="s">
        <v>502</v>
      </c>
      <c r="JO61" s="118" t="s">
        <v>502</v>
      </c>
      <c r="JP61" s="110">
        <v>970550</v>
      </c>
      <c r="JQ61" s="111">
        <v>1159587.362192</v>
      </c>
      <c r="JR61" s="112">
        <f t="shared" si="0"/>
        <v>4</v>
      </c>
      <c r="JS61" s="113">
        <f t="shared" si="1"/>
        <v>1266250</v>
      </c>
      <c r="JT61" s="114">
        <f t="shared" si="2"/>
        <v>1266250</v>
      </c>
      <c r="JU61" s="84"/>
    </row>
    <row r="62" spans="1:281" ht="101.25" customHeight="1" x14ac:dyDescent="0.2">
      <c r="A62" s="98">
        <v>160</v>
      </c>
      <c r="B62" s="99">
        <v>160</v>
      </c>
      <c r="C62" s="39" t="s">
        <v>12</v>
      </c>
      <c r="D62" s="100" t="s">
        <v>682</v>
      </c>
      <c r="E62" s="39">
        <v>26101400</v>
      </c>
      <c r="F62" s="101" t="s">
        <v>186</v>
      </c>
      <c r="G62" s="102" t="s">
        <v>51</v>
      </c>
      <c r="H62" s="103" t="s">
        <v>501</v>
      </c>
      <c r="I62" s="108" t="s">
        <v>503</v>
      </c>
      <c r="J62" s="108" t="s">
        <v>503</v>
      </c>
      <c r="K62" s="108" t="s">
        <v>503</v>
      </c>
      <c r="L62" s="118" t="s">
        <v>502</v>
      </c>
      <c r="M62" s="118" t="s">
        <v>502</v>
      </c>
      <c r="N62" s="118" t="s">
        <v>502</v>
      </c>
      <c r="O62" s="108" t="s">
        <v>503</v>
      </c>
      <c r="P62" s="108" t="s">
        <v>503</v>
      </c>
      <c r="Q62" s="108" t="s">
        <v>503</v>
      </c>
      <c r="R62" s="108" t="s">
        <v>503</v>
      </c>
      <c r="S62" s="108" t="s">
        <v>503</v>
      </c>
      <c r="T62" s="108" t="s">
        <v>503</v>
      </c>
      <c r="U62" s="118" t="s">
        <v>502</v>
      </c>
      <c r="V62" s="118" t="s">
        <v>502</v>
      </c>
      <c r="W62" s="118" t="s">
        <v>502</v>
      </c>
      <c r="X62" s="108" t="s">
        <v>503</v>
      </c>
      <c r="Y62" s="108" t="s">
        <v>503</v>
      </c>
      <c r="Z62" s="108" t="s">
        <v>503</v>
      </c>
      <c r="AA62" s="108" t="s">
        <v>503</v>
      </c>
      <c r="AB62" s="108" t="s">
        <v>503</v>
      </c>
      <c r="AC62" s="108" t="s">
        <v>503</v>
      </c>
      <c r="AD62" s="108" t="s">
        <v>503</v>
      </c>
      <c r="AE62" s="108" t="s">
        <v>503</v>
      </c>
      <c r="AF62" s="108" t="s">
        <v>503</v>
      </c>
      <c r="AG62" s="108" t="s">
        <v>503</v>
      </c>
      <c r="AH62" s="108" t="s">
        <v>503</v>
      </c>
      <c r="AI62" s="108" t="s">
        <v>503</v>
      </c>
      <c r="AJ62" s="108" t="s">
        <v>503</v>
      </c>
      <c r="AK62" s="108" t="s">
        <v>503</v>
      </c>
      <c r="AL62" s="108" t="s">
        <v>503</v>
      </c>
      <c r="AM62" s="108" t="s">
        <v>503</v>
      </c>
      <c r="AN62" s="108" t="s">
        <v>503</v>
      </c>
      <c r="AO62" s="108" t="s">
        <v>503</v>
      </c>
      <c r="AP62" s="108" t="s">
        <v>503</v>
      </c>
      <c r="AQ62" s="108" t="s">
        <v>503</v>
      </c>
      <c r="AR62" s="108" t="s">
        <v>503</v>
      </c>
      <c r="AS62" s="108" t="s">
        <v>503</v>
      </c>
      <c r="AT62" s="108" t="s">
        <v>503</v>
      </c>
      <c r="AU62" s="108" t="s">
        <v>503</v>
      </c>
      <c r="AV62" s="108" t="s">
        <v>503</v>
      </c>
      <c r="AW62" s="108" t="s">
        <v>503</v>
      </c>
      <c r="AX62" s="108" t="s">
        <v>503</v>
      </c>
      <c r="AY62" s="108" t="s">
        <v>503</v>
      </c>
      <c r="AZ62" s="108" t="s">
        <v>503</v>
      </c>
      <c r="BA62" s="108" t="s">
        <v>503</v>
      </c>
      <c r="BB62" s="108" t="s">
        <v>503</v>
      </c>
      <c r="BC62" s="108" t="s">
        <v>503</v>
      </c>
      <c r="BD62" s="108" t="s">
        <v>503</v>
      </c>
      <c r="BE62" s="108" t="s">
        <v>503</v>
      </c>
      <c r="BF62" s="108" t="s">
        <v>503</v>
      </c>
      <c r="BG62" s="108" t="s">
        <v>503</v>
      </c>
      <c r="BH62" s="108" t="s">
        <v>503</v>
      </c>
      <c r="BI62" s="108" t="s">
        <v>503</v>
      </c>
      <c r="BJ62" s="108" t="s">
        <v>503</v>
      </c>
      <c r="BK62" s="108" t="s">
        <v>503</v>
      </c>
      <c r="BL62" s="108" t="s">
        <v>503</v>
      </c>
      <c r="BM62" s="108" t="s">
        <v>503</v>
      </c>
      <c r="BN62" s="108" t="s">
        <v>503</v>
      </c>
      <c r="BO62" s="108" t="s">
        <v>503</v>
      </c>
      <c r="BP62" s="108" t="s">
        <v>503</v>
      </c>
      <c r="BQ62" s="108" t="s">
        <v>503</v>
      </c>
      <c r="BR62" s="108" t="s">
        <v>503</v>
      </c>
      <c r="BS62" s="108" t="s">
        <v>503</v>
      </c>
      <c r="BT62" s="108" t="s">
        <v>503</v>
      </c>
      <c r="BU62" s="108" t="s">
        <v>503</v>
      </c>
      <c r="BV62" s="108" t="s">
        <v>503</v>
      </c>
      <c r="BW62" s="108" t="s">
        <v>503</v>
      </c>
      <c r="BX62" s="108" t="s">
        <v>503</v>
      </c>
      <c r="BY62" s="108" t="s">
        <v>503</v>
      </c>
      <c r="BZ62" s="77">
        <v>2900000</v>
      </c>
      <c r="CA62" s="117">
        <f>+BZ62*19%</f>
        <v>551000</v>
      </c>
      <c r="CB62" s="71">
        <f>+BZ62+CA62</f>
        <v>3451000</v>
      </c>
      <c r="CC62" s="108" t="s">
        <v>503</v>
      </c>
      <c r="CD62" s="108" t="s">
        <v>503</v>
      </c>
      <c r="CE62" s="108" t="s">
        <v>503</v>
      </c>
      <c r="CF62" s="108" t="s">
        <v>503</v>
      </c>
      <c r="CG62" s="108" t="s">
        <v>503</v>
      </c>
      <c r="CH62" s="108" t="s">
        <v>503</v>
      </c>
      <c r="CI62" s="108" t="s">
        <v>503</v>
      </c>
      <c r="CJ62" s="108" t="s">
        <v>503</v>
      </c>
      <c r="CK62" s="108" t="s">
        <v>503</v>
      </c>
      <c r="CL62" s="108" t="s">
        <v>503</v>
      </c>
      <c r="CM62" s="108" t="s">
        <v>503</v>
      </c>
      <c r="CN62" s="108" t="s">
        <v>503</v>
      </c>
      <c r="CO62" s="108" t="s">
        <v>503</v>
      </c>
      <c r="CP62" s="108" t="s">
        <v>503</v>
      </c>
      <c r="CQ62" s="108" t="s">
        <v>503</v>
      </c>
      <c r="CR62" s="108" t="s">
        <v>503</v>
      </c>
      <c r="CS62" s="108" t="s">
        <v>503</v>
      </c>
      <c r="CT62" s="108" t="s">
        <v>503</v>
      </c>
      <c r="CU62" s="108" t="s">
        <v>503</v>
      </c>
      <c r="CV62" s="108" t="s">
        <v>503</v>
      </c>
      <c r="CW62" s="108" t="s">
        <v>503</v>
      </c>
      <c r="CX62" s="108" t="s">
        <v>503</v>
      </c>
      <c r="CY62" s="108" t="s">
        <v>503</v>
      </c>
      <c r="CZ62" s="108" t="s">
        <v>503</v>
      </c>
      <c r="DA62" s="108" t="s">
        <v>503</v>
      </c>
      <c r="DB62" s="108" t="s">
        <v>503</v>
      </c>
      <c r="DC62" s="108" t="s">
        <v>503</v>
      </c>
      <c r="DD62" s="108" t="s">
        <v>503</v>
      </c>
      <c r="DE62" s="108" t="s">
        <v>503</v>
      </c>
      <c r="DF62" s="108" t="s">
        <v>503</v>
      </c>
      <c r="DG62" s="108" t="s">
        <v>503</v>
      </c>
      <c r="DH62" s="108" t="s">
        <v>503</v>
      </c>
      <c r="DI62" s="108" t="s">
        <v>503</v>
      </c>
      <c r="DJ62" s="108" t="s">
        <v>503</v>
      </c>
      <c r="DK62" s="108" t="s">
        <v>503</v>
      </c>
      <c r="DL62" s="108" t="s">
        <v>503</v>
      </c>
      <c r="DM62" s="108" t="s">
        <v>503</v>
      </c>
      <c r="DN62" s="108" t="s">
        <v>503</v>
      </c>
      <c r="DO62" s="108" t="s">
        <v>503</v>
      </c>
      <c r="DP62" s="108" t="s">
        <v>669</v>
      </c>
      <c r="DQ62" s="108" t="s">
        <v>669</v>
      </c>
      <c r="DR62" s="108" t="s">
        <v>669</v>
      </c>
      <c r="DS62" s="108" t="s">
        <v>669</v>
      </c>
      <c r="DT62" s="108" t="s">
        <v>669</v>
      </c>
      <c r="DU62" s="108" t="s">
        <v>669</v>
      </c>
      <c r="DV62" s="108" t="s">
        <v>503</v>
      </c>
      <c r="DW62" s="108" t="s">
        <v>503</v>
      </c>
      <c r="DX62" s="108" t="s">
        <v>503</v>
      </c>
      <c r="DY62" s="108" t="s">
        <v>503</v>
      </c>
      <c r="DZ62" s="108" t="s">
        <v>503</v>
      </c>
      <c r="EA62" s="108" t="s">
        <v>503</v>
      </c>
      <c r="EB62" s="108" t="s">
        <v>503</v>
      </c>
      <c r="EC62" s="108" t="s">
        <v>503</v>
      </c>
      <c r="ED62" s="108" t="s">
        <v>503</v>
      </c>
      <c r="EE62" s="108" t="s">
        <v>503</v>
      </c>
      <c r="EF62" s="108" t="s">
        <v>503</v>
      </c>
      <c r="EG62" s="108" t="s">
        <v>503</v>
      </c>
      <c r="EH62" s="108" t="s">
        <v>503</v>
      </c>
      <c r="EI62" s="108" t="s">
        <v>503</v>
      </c>
      <c r="EJ62" s="108" t="s">
        <v>503</v>
      </c>
      <c r="EK62" s="108" t="s">
        <v>503</v>
      </c>
      <c r="EL62" s="108" t="s">
        <v>503</v>
      </c>
      <c r="EM62" s="108" t="s">
        <v>503</v>
      </c>
      <c r="EN62" s="108" t="s">
        <v>503</v>
      </c>
      <c r="EO62" s="108" t="s">
        <v>503</v>
      </c>
      <c r="EP62" s="108" t="s">
        <v>503</v>
      </c>
      <c r="EQ62" s="108" t="s">
        <v>502</v>
      </c>
      <c r="ER62" s="108" t="s">
        <v>502</v>
      </c>
      <c r="ES62" s="108" t="s">
        <v>502</v>
      </c>
      <c r="ET62" s="108" t="s">
        <v>502</v>
      </c>
      <c r="EU62" s="108" t="s">
        <v>502</v>
      </c>
      <c r="EV62" s="108" t="s">
        <v>502</v>
      </c>
      <c r="EW62" s="108" t="s">
        <v>502</v>
      </c>
      <c r="EX62" s="108" t="s">
        <v>502</v>
      </c>
      <c r="EY62" s="108" t="s">
        <v>502</v>
      </c>
      <c r="EZ62" s="71">
        <v>1300000</v>
      </c>
      <c r="FA62" s="71">
        <f t="shared" si="25"/>
        <v>247000</v>
      </c>
      <c r="FB62" s="71">
        <f t="shared" si="26"/>
        <v>1547000</v>
      </c>
      <c r="FC62" s="108" t="s">
        <v>502</v>
      </c>
      <c r="FD62" s="108" t="s">
        <v>502</v>
      </c>
      <c r="FE62" s="108" t="s">
        <v>502</v>
      </c>
      <c r="FF62" s="108" t="s">
        <v>503</v>
      </c>
      <c r="FG62" s="108" t="s">
        <v>503</v>
      </c>
      <c r="FH62" s="108" t="s">
        <v>503</v>
      </c>
      <c r="FI62" s="108" t="s">
        <v>503</v>
      </c>
      <c r="FJ62" s="108" t="s">
        <v>503</v>
      </c>
      <c r="FK62" s="108" t="s">
        <v>503</v>
      </c>
      <c r="FL62" s="108" t="s">
        <v>503</v>
      </c>
      <c r="FM62" s="108" t="s">
        <v>503</v>
      </c>
      <c r="FN62" s="108" t="s">
        <v>503</v>
      </c>
      <c r="FO62" s="108" t="s">
        <v>502</v>
      </c>
      <c r="FP62" s="108" t="s">
        <v>502</v>
      </c>
      <c r="FQ62" s="108" t="s">
        <v>502</v>
      </c>
      <c r="FR62" s="108" t="s">
        <v>502</v>
      </c>
      <c r="FS62" s="108" t="s">
        <v>502</v>
      </c>
      <c r="FT62" s="108" t="s">
        <v>502</v>
      </c>
      <c r="FU62" s="108" t="s">
        <v>502</v>
      </c>
      <c r="FV62" s="108" t="s">
        <v>502</v>
      </c>
      <c r="FW62" s="108" t="s">
        <v>502</v>
      </c>
      <c r="FX62" s="108" t="s">
        <v>503</v>
      </c>
      <c r="FY62" s="108" t="s">
        <v>503</v>
      </c>
      <c r="FZ62" s="108" t="s">
        <v>503</v>
      </c>
      <c r="GA62" s="108" t="s">
        <v>503</v>
      </c>
      <c r="GB62" s="108" t="s">
        <v>503</v>
      </c>
      <c r="GC62" s="108" t="s">
        <v>503</v>
      </c>
      <c r="GD62" s="108" t="s">
        <v>503</v>
      </c>
      <c r="GE62" s="108" t="s">
        <v>503</v>
      </c>
      <c r="GF62" s="108" t="s">
        <v>503</v>
      </c>
      <c r="GG62" s="108" t="s">
        <v>669</v>
      </c>
      <c r="GH62" s="108" t="s">
        <v>669</v>
      </c>
      <c r="GI62" s="108" t="s">
        <v>669</v>
      </c>
      <c r="GJ62" s="47">
        <v>2038762</v>
      </c>
      <c r="GK62" s="47">
        <f>+GJ62*19%</f>
        <v>387364.78</v>
      </c>
      <c r="GL62" s="47">
        <f>+GJ62+GK62</f>
        <v>2426126.7800000003</v>
      </c>
      <c r="GM62" s="71">
        <f>525000+650000+450000</f>
        <v>1625000</v>
      </c>
      <c r="GN62" s="71">
        <f>+GM62*19%</f>
        <v>308750</v>
      </c>
      <c r="GO62" s="71">
        <f>+GM62+GN62</f>
        <v>1933750</v>
      </c>
      <c r="GP62" s="108" t="s">
        <v>664</v>
      </c>
      <c r="GQ62" s="108" t="s">
        <v>664</v>
      </c>
      <c r="GR62" s="108" t="s">
        <v>664</v>
      </c>
      <c r="GS62" s="108" t="s">
        <v>503</v>
      </c>
      <c r="GT62" s="108" t="s">
        <v>503</v>
      </c>
      <c r="GU62" s="108" t="s">
        <v>503</v>
      </c>
      <c r="GV62" s="108" t="s">
        <v>502</v>
      </c>
      <c r="GW62" s="108" t="s">
        <v>502</v>
      </c>
      <c r="GX62" s="108" t="s">
        <v>502</v>
      </c>
      <c r="GY62" s="108" t="s">
        <v>664</v>
      </c>
      <c r="GZ62" s="108" t="s">
        <v>664</v>
      </c>
      <c r="HA62" s="108" t="s">
        <v>664</v>
      </c>
      <c r="HB62" s="108" t="s">
        <v>664</v>
      </c>
      <c r="HC62" s="108" t="s">
        <v>664</v>
      </c>
      <c r="HD62" s="108" t="s">
        <v>664</v>
      </c>
      <c r="HE62" s="108" t="s">
        <v>664</v>
      </c>
      <c r="HF62" s="108" t="s">
        <v>664</v>
      </c>
      <c r="HG62" s="108" t="s">
        <v>664</v>
      </c>
      <c r="HH62" s="108" t="s">
        <v>664</v>
      </c>
      <c r="HI62" s="108" t="s">
        <v>664</v>
      </c>
      <c r="HJ62" s="108" t="s">
        <v>664</v>
      </c>
      <c r="HK62" s="108" t="s">
        <v>664</v>
      </c>
      <c r="HL62" s="108" t="s">
        <v>664</v>
      </c>
      <c r="HM62" s="108" t="s">
        <v>664</v>
      </c>
      <c r="HN62" s="108" t="s">
        <v>664</v>
      </c>
      <c r="HO62" s="108" t="s">
        <v>664</v>
      </c>
      <c r="HP62" s="108" t="s">
        <v>664</v>
      </c>
      <c r="HQ62" s="108" t="s">
        <v>503</v>
      </c>
      <c r="HR62" s="108" t="s">
        <v>503</v>
      </c>
      <c r="HS62" s="108" t="s">
        <v>503</v>
      </c>
      <c r="HT62" s="108" t="s">
        <v>502</v>
      </c>
      <c r="HU62" s="108" t="s">
        <v>502</v>
      </c>
      <c r="HV62" s="108" t="s">
        <v>502</v>
      </c>
      <c r="HW62" s="118">
        <v>1500000</v>
      </c>
      <c r="HX62" s="118">
        <f>+HW62*19%</f>
        <v>285000</v>
      </c>
      <c r="HY62" s="118">
        <f>+HW62+HX62</f>
        <v>1785000</v>
      </c>
      <c r="HZ62" s="118" t="s">
        <v>502</v>
      </c>
      <c r="IA62" s="118" t="s">
        <v>502</v>
      </c>
      <c r="IB62" s="118" t="s">
        <v>502</v>
      </c>
      <c r="IC62" s="118" t="s">
        <v>502</v>
      </c>
      <c r="ID62" s="118" t="s">
        <v>502</v>
      </c>
      <c r="IE62" s="118" t="s">
        <v>502</v>
      </c>
      <c r="IF62" s="118" t="s">
        <v>502</v>
      </c>
      <c r="IG62" s="118" t="s">
        <v>502</v>
      </c>
      <c r="IH62" s="118" t="s">
        <v>502</v>
      </c>
      <c r="II62" s="118" t="s">
        <v>502</v>
      </c>
      <c r="IJ62" s="118" t="s">
        <v>502</v>
      </c>
      <c r="IK62" s="118" t="s">
        <v>502</v>
      </c>
      <c r="IL62" s="118" t="s">
        <v>502</v>
      </c>
      <c r="IM62" s="118" t="s">
        <v>502</v>
      </c>
      <c r="IN62" s="118" t="s">
        <v>502</v>
      </c>
      <c r="IO62" s="120" t="s">
        <v>503</v>
      </c>
      <c r="IP62" s="120" t="s">
        <v>503</v>
      </c>
      <c r="IQ62" s="120" t="s">
        <v>503</v>
      </c>
      <c r="IR62" s="118" t="s">
        <v>669</v>
      </c>
      <c r="IS62" s="118" t="s">
        <v>669</v>
      </c>
      <c r="IT62" s="118" t="s">
        <v>669</v>
      </c>
      <c r="IU62" s="120" t="s">
        <v>503</v>
      </c>
      <c r="IV62" s="120" t="s">
        <v>503</v>
      </c>
      <c r="IW62" s="120" t="s">
        <v>503</v>
      </c>
      <c r="IX62" s="120" t="s">
        <v>503</v>
      </c>
      <c r="IY62" s="120" t="s">
        <v>503</v>
      </c>
      <c r="IZ62" s="120" t="s">
        <v>503</v>
      </c>
      <c r="JA62" s="120" t="s">
        <v>503</v>
      </c>
      <c r="JB62" s="120" t="s">
        <v>503</v>
      </c>
      <c r="JC62" s="120" t="s">
        <v>503</v>
      </c>
      <c r="JD62" s="120" t="s">
        <v>664</v>
      </c>
      <c r="JE62" s="120" t="s">
        <v>664</v>
      </c>
      <c r="JF62" s="120" t="s">
        <v>664</v>
      </c>
      <c r="JG62" s="118" t="s">
        <v>502</v>
      </c>
      <c r="JH62" s="118" t="s">
        <v>502</v>
      </c>
      <c r="JI62" s="118" t="s">
        <v>502</v>
      </c>
      <c r="JJ62" s="118" t="s">
        <v>502</v>
      </c>
      <c r="JK62" s="118" t="s">
        <v>502</v>
      </c>
      <c r="JL62" s="118" t="s">
        <v>502</v>
      </c>
      <c r="JM62" s="118" t="s">
        <v>502</v>
      </c>
      <c r="JN62" s="118" t="s">
        <v>502</v>
      </c>
      <c r="JO62" s="118" t="s">
        <v>502</v>
      </c>
      <c r="JP62" s="110" t="e">
        <v>#N/A</v>
      </c>
      <c r="JQ62" s="111" t="e">
        <v>#N/A</v>
      </c>
      <c r="JR62" s="112">
        <f t="shared" si="0"/>
        <v>5</v>
      </c>
      <c r="JS62" s="113">
        <f t="shared" si="1"/>
        <v>2228575.3560000001</v>
      </c>
      <c r="JT62" s="114">
        <f t="shared" si="2"/>
        <v>2228600</v>
      </c>
      <c r="JU62" s="84"/>
    </row>
    <row r="63" spans="1:281" ht="101.25" customHeight="1" x14ac:dyDescent="0.2">
      <c r="A63" s="98">
        <v>161</v>
      </c>
      <c r="B63" s="99">
        <v>161</v>
      </c>
      <c r="C63" s="39" t="s">
        <v>12</v>
      </c>
      <c r="D63" s="100" t="s">
        <v>683</v>
      </c>
      <c r="E63" s="39">
        <v>26101400</v>
      </c>
      <c r="F63" s="168" t="s">
        <v>187</v>
      </c>
      <c r="G63" s="102" t="s">
        <v>51</v>
      </c>
      <c r="H63" s="103" t="s">
        <v>501</v>
      </c>
      <c r="I63" s="108" t="s">
        <v>503</v>
      </c>
      <c r="J63" s="108" t="s">
        <v>503</v>
      </c>
      <c r="K63" s="108" t="s">
        <v>503</v>
      </c>
      <c r="L63" s="118" t="s">
        <v>502</v>
      </c>
      <c r="M63" s="118" t="s">
        <v>502</v>
      </c>
      <c r="N63" s="118" t="s">
        <v>502</v>
      </c>
      <c r="O63" s="108" t="s">
        <v>503</v>
      </c>
      <c r="P63" s="108" t="s">
        <v>503</v>
      </c>
      <c r="Q63" s="108" t="s">
        <v>503</v>
      </c>
      <c r="R63" s="108" t="s">
        <v>503</v>
      </c>
      <c r="S63" s="108" t="s">
        <v>503</v>
      </c>
      <c r="T63" s="108" t="s">
        <v>503</v>
      </c>
      <c r="U63" s="118" t="s">
        <v>502</v>
      </c>
      <c r="V63" s="118" t="s">
        <v>502</v>
      </c>
      <c r="W63" s="118" t="s">
        <v>502</v>
      </c>
      <c r="X63" s="108" t="s">
        <v>503</v>
      </c>
      <c r="Y63" s="108" t="s">
        <v>503</v>
      </c>
      <c r="Z63" s="108" t="s">
        <v>503</v>
      </c>
      <c r="AA63" s="108" t="s">
        <v>503</v>
      </c>
      <c r="AB63" s="108" t="s">
        <v>503</v>
      </c>
      <c r="AC63" s="108" t="s">
        <v>503</v>
      </c>
      <c r="AD63" s="108" t="s">
        <v>503</v>
      </c>
      <c r="AE63" s="108" t="s">
        <v>503</v>
      </c>
      <c r="AF63" s="108" t="s">
        <v>503</v>
      </c>
      <c r="AG63" s="108" t="s">
        <v>503</v>
      </c>
      <c r="AH63" s="108" t="s">
        <v>503</v>
      </c>
      <c r="AI63" s="108" t="s">
        <v>503</v>
      </c>
      <c r="AJ63" s="108" t="s">
        <v>503</v>
      </c>
      <c r="AK63" s="108" t="s">
        <v>503</v>
      </c>
      <c r="AL63" s="108" t="s">
        <v>503</v>
      </c>
      <c r="AM63" s="108" t="s">
        <v>503</v>
      </c>
      <c r="AN63" s="108" t="s">
        <v>503</v>
      </c>
      <c r="AO63" s="108" t="s">
        <v>503</v>
      </c>
      <c r="AP63" s="108" t="s">
        <v>503</v>
      </c>
      <c r="AQ63" s="108" t="s">
        <v>503</v>
      </c>
      <c r="AR63" s="108" t="s">
        <v>503</v>
      </c>
      <c r="AS63" s="71">
        <v>2200000</v>
      </c>
      <c r="AT63" s="117">
        <f>+AS63*19%</f>
        <v>418000</v>
      </c>
      <c r="AU63" s="71">
        <f>+AS63+AT63</f>
        <v>2618000</v>
      </c>
      <c r="AV63" s="108" t="s">
        <v>503</v>
      </c>
      <c r="AW63" s="108" t="s">
        <v>503</v>
      </c>
      <c r="AX63" s="108" t="s">
        <v>503</v>
      </c>
      <c r="AY63" s="108" t="s">
        <v>503</v>
      </c>
      <c r="AZ63" s="108" t="s">
        <v>503</v>
      </c>
      <c r="BA63" s="108" t="s">
        <v>503</v>
      </c>
      <c r="BB63" s="108" t="s">
        <v>503</v>
      </c>
      <c r="BC63" s="108" t="s">
        <v>503</v>
      </c>
      <c r="BD63" s="108" t="s">
        <v>503</v>
      </c>
      <c r="BE63" s="108" t="s">
        <v>503</v>
      </c>
      <c r="BF63" s="108" t="s">
        <v>503</v>
      </c>
      <c r="BG63" s="108" t="s">
        <v>503</v>
      </c>
      <c r="BH63" s="108" t="s">
        <v>503</v>
      </c>
      <c r="BI63" s="108" t="s">
        <v>503</v>
      </c>
      <c r="BJ63" s="108" t="s">
        <v>503</v>
      </c>
      <c r="BK63" s="108" t="s">
        <v>503</v>
      </c>
      <c r="BL63" s="108" t="s">
        <v>503</v>
      </c>
      <c r="BM63" s="108" t="s">
        <v>503</v>
      </c>
      <c r="BN63" s="108" t="s">
        <v>503</v>
      </c>
      <c r="BO63" s="108" t="s">
        <v>503</v>
      </c>
      <c r="BP63" s="108" t="s">
        <v>503</v>
      </c>
      <c r="BQ63" s="108" t="s">
        <v>503</v>
      </c>
      <c r="BR63" s="108" t="s">
        <v>503</v>
      </c>
      <c r="BS63" s="108" t="s">
        <v>503</v>
      </c>
      <c r="BT63" s="108" t="s">
        <v>503</v>
      </c>
      <c r="BU63" s="108" t="s">
        <v>503</v>
      </c>
      <c r="BV63" s="108" t="s">
        <v>503</v>
      </c>
      <c r="BW63" s="108" t="s">
        <v>503</v>
      </c>
      <c r="BX63" s="108" t="s">
        <v>503</v>
      </c>
      <c r="BY63" s="108" t="s">
        <v>503</v>
      </c>
      <c r="BZ63" s="77">
        <v>3500000</v>
      </c>
      <c r="CA63" s="117">
        <f>+BZ63*19%</f>
        <v>665000</v>
      </c>
      <c r="CB63" s="71">
        <f>+BZ63+CA63</f>
        <v>4165000</v>
      </c>
      <c r="CC63" s="108" t="s">
        <v>503</v>
      </c>
      <c r="CD63" s="108" t="s">
        <v>503</v>
      </c>
      <c r="CE63" s="108" t="s">
        <v>503</v>
      </c>
      <c r="CF63" s="108" t="s">
        <v>503</v>
      </c>
      <c r="CG63" s="108" t="s">
        <v>503</v>
      </c>
      <c r="CH63" s="108" t="s">
        <v>503</v>
      </c>
      <c r="CI63" s="108" t="s">
        <v>503</v>
      </c>
      <c r="CJ63" s="108" t="s">
        <v>503</v>
      </c>
      <c r="CK63" s="108" t="s">
        <v>503</v>
      </c>
      <c r="CL63" s="108" t="s">
        <v>503</v>
      </c>
      <c r="CM63" s="108" t="s">
        <v>503</v>
      </c>
      <c r="CN63" s="108" t="s">
        <v>503</v>
      </c>
      <c r="CO63" s="108" t="s">
        <v>503</v>
      </c>
      <c r="CP63" s="108" t="s">
        <v>503</v>
      </c>
      <c r="CQ63" s="108" t="s">
        <v>503</v>
      </c>
      <c r="CR63" s="108" t="s">
        <v>503</v>
      </c>
      <c r="CS63" s="108" t="s">
        <v>503</v>
      </c>
      <c r="CT63" s="108" t="s">
        <v>503</v>
      </c>
      <c r="CU63" s="108" t="s">
        <v>503</v>
      </c>
      <c r="CV63" s="108" t="s">
        <v>503</v>
      </c>
      <c r="CW63" s="108" t="s">
        <v>503</v>
      </c>
      <c r="CX63" s="108" t="s">
        <v>503</v>
      </c>
      <c r="CY63" s="108" t="s">
        <v>503</v>
      </c>
      <c r="CZ63" s="108" t="s">
        <v>503</v>
      </c>
      <c r="DA63" s="108" t="s">
        <v>503</v>
      </c>
      <c r="DB63" s="108" t="s">
        <v>503</v>
      </c>
      <c r="DC63" s="108" t="s">
        <v>503</v>
      </c>
      <c r="DD63" s="108" t="s">
        <v>503</v>
      </c>
      <c r="DE63" s="108" t="s">
        <v>503</v>
      </c>
      <c r="DF63" s="108" t="s">
        <v>503</v>
      </c>
      <c r="DG63" s="108" t="s">
        <v>503</v>
      </c>
      <c r="DH63" s="108" t="s">
        <v>503</v>
      </c>
      <c r="DI63" s="108" t="s">
        <v>503</v>
      </c>
      <c r="DJ63" s="108" t="s">
        <v>503</v>
      </c>
      <c r="DK63" s="108" t="s">
        <v>503</v>
      </c>
      <c r="DL63" s="108" t="s">
        <v>503</v>
      </c>
      <c r="DM63" s="108" t="s">
        <v>503</v>
      </c>
      <c r="DN63" s="108" t="s">
        <v>503</v>
      </c>
      <c r="DO63" s="108" t="s">
        <v>503</v>
      </c>
      <c r="DP63" s="108" t="s">
        <v>669</v>
      </c>
      <c r="DQ63" s="108" t="s">
        <v>669</v>
      </c>
      <c r="DR63" s="108" t="s">
        <v>669</v>
      </c>
      <c r="DS63" s="108" t="s">
        <v>669</v>
      </c>
      <c r="DT63" s="108" t="s">
        <v>669</v>
      </c>
      <c r="DU63" s="108" t="s">
        <v>669</v>
      </c>
      <c r="DV63" s="108" t="s">
        <v>503</v>
      </c>
      <c r="DW63" s="108" t="s">
        <v>503</v>
      </c>
      <c r="DX63" s="108" t="s">
        <v>503</v>
      </c>
      <c r="DY63" s="108" t="s">
        <v>503</v>
      </c>
      <c r="DZ63" s="108" t="s">
        <v>503</v>
      </c>
      <c r="EA63" s="108" t="s">
        <v>503</v>
      </c>
      <c r="EB63" s="108" t="s">
        <v>503</v>
      </c>
      <c r="EC63" s="108" t="s">
        <v>503</v>
      </c>
      <c r="ED63" s="108" t="s">
        <v>503</v>
      </c>
      <c r="EE63" s="108" t="s">
        <v>503</v>
      </c>
      <c r="EF63" s="108" t="s">
        <v>503</v>
      </c>
      <c r="EG63" s="108" t="s">
        <v>503</v>
      </c>
      <c r="EH63" s="108" t="s">
        <v>503</v>
      </c>
      <c r="EI63" s="108" t="s">
        <v>503</v>
      </c>
      <c r="EJ63" s="108" t="s">
        <v>503</v>
      </c>
      <c r="EK63" s="108" t="s">
        <v>503</v>
      </c>
      <c r="EL63" s="108" t="s">
        <v>503</v>
      </c>
      <c r="EM63" s="108" t="s">
        <v>503</v>
      </c>
      <c r="EN63" s="108" t="s">
        <v>503</v>
      </c>
      <c r="EO63" s="108" t="s">
        <v>503</v>
      </c>
      <c r="EP63" s="108" t="s">
        <v>503</v>
      </c>
      <c r="EQ63" s="108" t="s">
        <v>502</v>
      </c>
      <c r="ER63" s="108" t="s">
        <v>502</v>
      </c>
      <c r="ES63" s="108" t="s">
        <v>502</v>
      </c>
      <c r="ET63" s="108" t="s">
        <v>502</v>
      </c>
      <c r="EU63" s="108" t="s">
        <v>502</v>
      </c>
      <c r="EV63" s="108" t="s">
        <v>502</v>
      </c>
      <c r="EW63" s="108" t="s">
        <v>502</v>
      </c>
      <c r="EX63" s="108" t="s">
        <v>502</v>
      </c>
      <c r="EY63" s="108" t="s">
        <v>502</v>
      </c>
      <c r="EZ63" s="71">
        <v>1600000</v>
      </c>
      <c r="FA63" s="71">
        <f t="shared" si="25"/>
        <v>304000</v>
      </c>
      <c r="FB63" s="71">
        <f t="shared" si="26"/>
        <v>1904000</v>
      </c>
      <c r="FC63" s="108" t="s">
        <v>502</v>
      </c>
      <c r="FD63" s="108" t="s">
        <v>502</v>
      </c>
      <c r="FE63" s="108" t="s">
        <v>502</v>
      </c>
      <c r="FF63" s="108" t="s">
        <v>503</v>
      </c>
      <c r="FG63" s="108" t="s">
        <v>503</v>
      </c>
      <c r="FH63" s="108" t="s">
        <v>503</v>
      </c>
      <c r="FI63" s="108" t="s">
        <v>503</v>
      </c>
      <c r="FJ63" s="108" t="s">
        <v>503</v>
      </c>
      <c r="FK63" s="108" t="s">
        <v>503</v>
      </c>
      <c r="FL63" s="108" t="s">
        <v>503</v>
      </c>
      <c r="FM63" s="108" t="s">
        <v>503</v>
      </c>
      <c r="FN63" s="108" t="s">
        <v>503</v>
      </c>
      <c r="FO63" s="108" t="s">
        <v>502</v>
      </c>
      <c r="FP63" s="108" t="s">
        <v>502</v>
      </c>
      <c r="FQ63" s="108" t="s">
        <v>502</v>
      </c>
      <c r="FR63" s="108" t="s">
        <v>502</v>
      </c>
      <c r="FS63" s="108" t="s">
        <v>502</v>
      </c>
      <c r="FT63" s="108" t="s">
        <v>502</v>
      </c>
      <c r="FU63" s="108" t="s">
        <v>502</v>
      </c>
      <c r="FV63" s="108" t="s">
        <v>502</v>
      </c>
      <c r="FW63" s="108" t="s">
        <v>502</v>
      </c>
      <c r="FX63" s="108" t="s">
        <v>503</v>
      </c>
      <c r="FY63" s="108" t="s">
        <v>503</v>
      </c>
      <c r="FZ63" s="108" t="s">
        <v>503</v>
      </c>
      <c r="GA63" s="108" t="s">
        <v>503</v>
      </c>
      <c r="GB63" s="108" t="s">
        <v>503</v>
      </c>
      <c r="GC63" s="108" t="s">
        <v>503</v>
      </c>
      <c r="GD63" s="108" t="s">
        <v>503</v>
      </c>
      <c r="GE63" s="108" t="s">
        <v>503</v>
      </c>
      <c r="GF63" s="108" t="s">
        <v>503</v>
      </c>
      <c r="GG63" s="108" t="s">
        <v>669</v>
      </c>
      <c r="GH63" s="108" t="s">
        <v>669</v>
      </c>
      <c r="GI63" s="108" t="s">
        <v>669</v>
      </c>
      <c r="GJ63" s="108" t="s">
        <v>669</v>
      </c>
      <c r="GK63" s="108" t="s">
        <v>669</v>
      </c>
      <c r="GL63" s="108" t="s">
        <v>669</v>
      </c>
      <c r="GM63" s="71">
        <f>550000+650000+450000</f>
        <v>1650000</v>
      </c>
      <c r="GN63" s="71">
        <f>+GM63*19%</f>
        <v>313500</v>
      </c>
      <c r="GO63" s="71">
        <f>+GM63+GN63</f>
        <v>1963500</v>
      </c>
      <c r="GP63" s="108" t="s">
        <v>664</v>
      </c>
      <c r="GQ63" s="108" t="s">
        <v>664</v>
      </c>
      <c r="GR63" s="108" t="s">
        <v>664</v>
      </c>
      <c r="GS63" s="108" t="s">
        <v>503</v>
      </c>
      <c r="GT63" s="108" t="s">
        <v>503</v>
      </c>
      <c r="GU63" s="108" t="s">
        <v>503</v>
      </c>
      <c r="GV63" s="108" t="s">
        <v>502</v>
      </c>
      <c r="GW63" s="108" t="s">
        <v>502</v>
      </c>
      <c r="GX63" s="108" t="s">
        <v>502</v>
      </c>
      <c r="GY63" s="108" t="s">
        <v>664</v>
      </c>
      <c r="GZ63" s="108" t="s">
        <v>664</v>
      </c>
      <c r="HA63" s="108" t="s">
        <v>664</v>
      </c>
      <c r="HB63" s="108" t="s">
        <v>664</v>
      </c>
      <c r="HC63" s="108" t="s">
        <v>664</v>
      </c>
      <c r="HD63" s="108" t="s">
        <v>664</v>
      </c>
      <c r="HE63" s="108" t="s">
        <v>664</v>
      </c>
      <c r="HF63" s="108" t="s">
        <v>664</v>
      </c>
      <c r="HG63" s="108" t="s">
        <v>664</v>
      </c>
      <c r="HH63" s="108" t="s">
        <v>664</v>
      </c>
      <c r="HI63" s="108" t="s">
        <v>664</v>
      </c>
      <c r="HJ63" s="108" t="s">
        <v>664</v>
      </c>
      <c r="HK63" s="108" t="s">
        <v>664</v>
      </c>
      <c r="HL63" s="108" t="s">
        <v>664</v>
      </c>
      <c r="HM63" s="108" t="s">
        <v>664</v>
      </c>
      <c r="HN63" s="108" t="s">
        <v>664</v>
      </c>
      <c r="HO63" s="108" t="s">
        <v>664</v>
      </c>
      <c r="HP63" s="108" t="s">
        <v>664</v>
      </c>
      <c r="HQ63" s="108" t="s">
        <v>503</v>
      </c>
      <c r="HR63" s="108" t="s">
        <v>503</v>
      </c>
      <c r="HS63" s="108" t="s">
        <v>503</v>
      </c>
      <c r="HT63" s="108" t="s">
        <v>502</v>
      </c>
      <c r="HU63" s="108" t="s">
        <v>502</v>
      </c>
      <c r="HV63" s="108" t="s">
        <v>502</v>
      </c>
      <c r="HW63" s="118">
        <v>1800000</v>
      </c>
      <c r="HX63" s="118">
        <f>+HW63*19%</f>
        <v>342000</v>
      </c>
      <c r="HY63" s="118">
        <f>+HW63+HX63</f>
        <v>2142000</v>
      </c>
      <c r="HZ63" s="118" t="s">
        <v>502</v>
      </c>
      <c r="IA63" s="118" t="s">
        <v>502</v>
      </c>
      <c r="IB63" s="118" t="s">
        <v>502</v>
      </c>
      <c r="IC63" s="118" t="s">
        <v>502</v>
      </c>
      <c r="ID63" s="118" t="s">
        <v>502</v>
      </c>
      <c r="IE63" s="118" t="s">
        <v>502</v>
      </c>
      <c r="IF63" s="118" t="s">
        <v>502</v>
      </c>
      <c r="IG63" s="118" t="s">
        <v>502</v>
      </c>
      <c r="IH63" s="118" t="s">
        <v>502</v>
      </c>
      <c r="II63" s="118" t="s">
        <v>502</v>
      </c>
      <c r="IJ63" s="118" t="s">
        <v>502</v>
      </c>
      <c r="IK63" s="118" t="s">
        <v>502</v>
      </c>
      <c r="IL63" s="118" t="s">
        <v>502</v>
      </c>
      <c r="IM63" s="118" t="s">
        <v>502</v>
      </c>
      <c r="IN63" s="118" t="s">
        <v>502</v>
      </c>
      <c r="IO63" s="120" t="s">
        <v>503</v>
      </c>
      <c r="IP63" s="120" t="s">
        <v>503</v>
      </c>
      <c r="IQ63" s="120" t="s">
        <v>503</v>
      </c>
      <c r="IR63" s="118" t="s">
        <v>669</v>
      </c>
      <c r="IS63" s="118" t="s">
        <v>669</v>
      </c>
      <c r="IT63" s="118" t="s">
        <v>669</v>
      </c>
      <c r="IU63" s="120" t="s">
        <v>503</v>
      </c>
      <c r="IV63" s="120" t="s">
        <v>503</v>
      </c>
      <c r="IW63" s="120" t="s">
        <v>503</v>
      </c>
      <c r="IX63" s="120" t="s">
        <v>503</v>
      </c>
      <c r="IY63" s="120" t="s">
        <v>503</v>
      </c>
      <c r="IZ63" s="120" t="s">
        <v>503</v>
      </c>
      <c r="JA63" s="120" t="s">
        <v>503</v>
      </c>
      <c r="JB63" s="120" t="s">
        <v>503</v>
      </c>
      <c r="JC63" s="120" t="s">
        <v>503</v>
      </c>
      <c r="JD63" s="120" t="s">
        <v>664</v>
      </c>
      <c r="JE63" s="120" t="s">
        <v>664</v>
      </c>
      <c r="JF63" s="120" t="s">
        <v>664</v>
      </c>
      <c r="JG63" s="118" t="s">
        <v>502</v>
      </c>
      <c r="JH63" s="118" t="s">
        <v>502</v>
      </c>
      <c r="JI63" s="118" t="s">
        <v>502</v>
      </c>
      <c r="JJ63" s="118" t="s">
        <v>502</v>
      </c>
      <c r="JK63" s="118" t="s">
        <v>502</v>
      </c>
      <c r="JL63" s="118" t="s">
        <v>502</v>
      </c>
      <c r="JM63" s="118" t="s">
        <v>502</v>
      </c>
      <c r="JN63" s="118" t="s">
        <v>502</v>
      </c>
      <c r="JO63" s="118" t="s">
        <v>502</v>
      </c>
      <c r="JP63" s="110" t="e">
        <v>#N/A</v>
      </c>
      <c r="JQ63" s="111" t="e">
        <v>#N/A</v>
      </c>
      <c r="JR63" s="112">
        <f t="shared" si="0"/>
        <v>5</v>
      </c>
      <c r="JS63" s="113">
        <f t="shared" si="1"/>
        <v>2558500</v>
      </c>
      <c r="JT63" s="114">
        <f t="shared" si="2"/>
        <v>2558500</v>
      </c>
      <c r="JU63" s="84"/>
    </row>
    <row r="64" spans="1:281" ht="101.25" customHeight="1" x14ac:dyDescent="0.2">
      <c r="A64" s="98">
        <v>162</v>
      </c>
      <c r="B64" s="99">
        <v>162</v>
      </c>
      <c r="C64" s="39" t="s">
        <v>12</v>
      </c>
      <c r="D64" s="100" t="s">
        <v>34</v>
      </c>
      <c r="E64" s="39">
        <v>26101400</v>
      </c>
      <c r="F64" s="168" t="s">
        <v>188</v>
      </c>
      <c r="G64" s="102" t="s">
        <v>51</v>
      </c>
      <c r="H64" s="103" t="s">
        <v>501</v>
      </c>
      <c r="I64" s="108" t="s">
        <v>503</v>
      </c>
      <c r="J64" s="108" t="s">
        <v>503</v>
      </c>
      <c r="K64" s="108" t="s">
        <v>503</v>
      </c>
      <c r="L64" s="118" t="s">
        <v>502</v>
      </c>
      <c r="M64" s="118" t="s">
        <v>502</v>
      </c>
      <c r="N64" s="118" t="s">
        <v>502</v>
      </c>
      <c r="O64" s="108" t="s">
        <v>503</v>
      </c>
      <c r="P64" s="108" t="s">
        <v>503</v>
      </c>
      <c r="Q64" s="108" t="s">
        <v>503</v>
      </c>
      <c r="R64" s="108" t="s">
        <v>503</v>
      </c>
      <c r="S64" s="108" t="s">
        <v>503</v>
      </c>
      <c r="T64" s="108" t="s">
        <v>503</v>
      </c>
      <c r="U64" s="118" t="s">
        <v>502</v>
      </c>
      <c r="V64" s="118" t="s">
        <v>502</v>
      </c>
      <c r="W64" s="118" t="s">
        <v>502</v>
      </c>
      <c r="X64" s="108" t="s">
        <v>503</v>
      </c>
      <c r="Y64" s="108" t="s">
        <v>503</v>
      </c>
      <c r="Z64" s="108" t="s">
        <v>503</v>
      </c>
      <c r="AA64" s="108" t="s">
        <v>503</v>
      </c>
      <c r="AB64" s="108" t="s">
        <v>503</v>
      </c>
      <c r="AC64" s="108" t="s">
        <v>503</v>
      </c>
      <c r="AD64" s="108" t="s">
        <v>503</v>
      </c>
      <c r="AE64" s="108" t="s">
        <v>503</v>
      </c>
      <c r="AF64" s="108" t="s">
        <v>503</v>
      </c>
      <c r="AG64" s="108" t="s">
        <v>503</v>
      </c>
      <c r="AH64" s="108" t="s">
        <v>503</v>
      </c>
      <c r="AI64" s="108" t="s">
        <v>503</v>
      </c>
      <c r="AJ64" s="108" t="s">
        <v>503</v>
      </c>
      <c r="AK64" s="108" t="s">
        <v>503</v>
      </c>
      <c r="AL64" s="108" t="s">
        <v>503</v>
      </c>
      <c r="AM64" s="108" t="s">
        <v>503</v>
      </c>
      <c r="AN64" s="108" t="s">
        <v>503</v>
      </c>
      <c r="AO64" s="108" t="s">
        <v>503</v>
      </c>
      <c r="AP64" s="108" t="s">
        <v>503</v>
      </c>
      <c r="AQ64" s="108" t="s">
        <v>503</v>
      </c>
      <c r="AR64" s="108" t="s">
        <v>503</v>
      </c>
      <c r="AS64" s="108" t="s">
        <v>503</v>
      </c>
      <c r="AT64" s="108" t="s">
        <v>503</v>
      </c>
      <c r="AU64" s="108" t="s">
        <v>503</v>
      </c>
      <c r="AV64" s="108" t="s">
        <v>503</v>
      </c>
      <c r="AW64" s="108" t="s">
        <v>503</v>
      </c>
      <c r="AX64" s="108" t="s">
        <v>503</v>
      </c>
      <c r="AY64" s="108" t="s">
        <v>503</v>
      </c>
      <c r="AZ64" s="108" t="s">
        <v>503</v>
      </c>
      <c r="BA64" s="108" t="s">
        <v>503</v>
      </c>
      <c r="BB64" s="108" t="s">
        <v>503</v>
      </c>
      <c r="BC64" s="108" t="s">
        <v>503</v>
      </c>
      <c r="BD64" s="108" t="s">
        <v>503</v>
      </c>
      <c r="BE64" s="108" t="s">
        <v>503</v>
      </c>
      <c r="BF64" s="108" t="s">
        <v>503</v>
      </c>
      <c r="BG64" s="108" t="s">
        <v>503</v>
      </c>
      <c r="BH64" s="108" t="s">
        <v>503</v>
      </c>
      <c r="BI64" s="108" t="s">
        <v>503</v>
      </c>
      <c r="BJ64" s="108" t="s">
        <v>503</v>
      </c>
      <c r="BK64" s="108" t="s">
        <v>503</v>
      </c>
      <c r="BL64" s="108" t="s">
        <v>503</v>
      </c>
      <c r="BM64" s="108" t="s">
        <v>503</v>
      </c>
      <c r="BN64" s="108" t="s">
        <v>503</v>
      </c>
      <c r="BO64" s="108" t="s">
        <v>503</v>
      </c>
      <c r="BP64" s="108" t="s">
        <v>503</v>
      </c>
      <c r="BQ64" s="108" t="s">
        <v>503</v>
      </c>
      <c r="BR64" s="108" t="s">
        <v>503</v>
      </c>
      <c r="BS64" s="108" t="s">
        <v>503</v>
      </c>
      <c r="BT64" s="108" t="s">
        <v>503</v>
      </c>
      <c r="BU64" s="108" t="s">
        <v>503</v>
      </c>
      <c r="BV64" s="108" t="s">
        <v>503</v>
      </c>
      <c r="BW64" s="108" t="s">
        <v>503</v>
      </c>
      <c r="BX64" s="108" t="s">
        <v>503</v>
      </c>
      <c r="BY64" s="108" t="s">
        <v>503</v>
      </c>
      <c r="BZ64" s="77">
        <v>3800000</v>
      </c>
      <c r="CA64" s="117">
        <f>+BZ64*19%</f>
        <v>722000</v>
      </c>
      <c r="CB64" s="71">
        <f>+BZ64+CA64</f>
        <v>4522000</v>
      </c>
      <c r="CC64" s="108" t="s">
        <v>503</v>
      </c>
      <c r="CD64" s="108" t="s">
        <v>503</v>
      </c>
      <c r="CE64" s="108" t="s">
        <v>503</v>
      </c>
      <c r="CF64" s="108" t="s">
        <v>503</v>
      </c>
      <c r="CG64" s="108" t="s">
        <v>503</v>
      </c>
      <c r="CH64" s="108" t="s">
        <v>503</v>
      </c>
      <c r="CI64" s="108" t="s">
        <v>503</v>
      </c>
      <c r="CJ64" s="108" t="s">
        <v>503</v>
      </c>
      <c r="CK64" s="108" t="s">
        <v>503</v>
      </c>
      <c r="CL64" s="108" t="s">
        <v>503</v>
      </c>
      <c r="CM64" s="108" t="s">
        <v>503</v>
      </c>
      <c r="CN64" s="108" t="s">
        <v>503</v>
      </c>
      <c r="CO64" s="108" t="s">
        <v>503</v>
      </c>
      <c r="CP64" s="108" t="s">
        <v>503</v>
      </c>
      <c r="CQ64" s="108" t="s">
        <v>503</v>
      </c>
      <c r="CR64" s="108" t="s">
        <v>503</v>
      </c>
      <c r="CS64" s="108" t="s">
        <v>503</v>
      </c>
      <c r="CT64" s="108" t="s">
        <v>503</v>
      </c>
      <c r="CU64" s="108" t="s">
        <v>503</v>
      </c>
      <c r="CV64" s="108" t="s">
        <v>503</v>
      </c>
      <c r="CW64" s="108" t="s">
        <v>503</v>
      </c>
      <c r="CX64" s="108" t="s">
        <v>503</v>
      </c>
      <c r="CY64" s="108" t="s">
        <v>503</v>
      </c>
      <c r="CZ64" s="108" t="s">
        <v>503</v>
      </c>
      <c r="DA64" s="108" t="s">
        <v>503</v>
      </c>
      <c r="DB64" s="108" t="s">
        <v>503</v>
      </c>
      <c r="DC64" s="108" t="s">
        <v>503</v>
      </c>
      <c r="DD64" s="108" t="s">
        <v>503</v>
      </c>
      <c r="DE64" s="108" t="s">
        <v>503</v>
      </c>
      <c r="DF64" s="108" t="s">
        <v>503</v>
      </c>
      <c r="DG64" s="108" t="s">
        <v>503</v>
      </c>
      <c r="DH64" s="108" t="s">
        <v>503</v>
      </c>
      <c r="DI64" s="108" t="s">
        <v>503</v>
      </c>
      <c r="DJ64" s="108" t="s">
        <v>503</v>
      </c>
      <c r="DK64" s="108" t="s">
        <v>503</v>
      </c>
      <c r="DL64" s="108" t="s">
        <v>503</v>
      </c>
      <c r="DM64" s="108" t="s">
        <v>503</v>
      </c>
      <c r="DN64" s="108" t="s">
        <v>503</v>
      </c>
      <c r="DO64" s="108" t="s">
        <v>503</v>
      </c>
      <c r="DP64" s="108" t="s">
        <v>669</v>
      </c>
      <c r="DQ64" s="108" t="s">
        <v>669</v>
      </c>
      <c r="DR64" s="108" t="s">
        <v>669</v>
      </c>
      <c r="DS64" s="108" t="s">
        <v>669</v>
      </c>
      <c r="DT64" s="108" t="s">
        <v>669</v>
      </c>
      <c r="DU64" s="108" t="s">
        <v>669</v>
      </c>
      <c r="DV64" s="108" t="s">
        <v>503</v>
      </c>
      <c r="DW64" s="108" t="s">
        <v>503</v>
      </c>
      <c r="DX64" s="108" t="s">
        <v>503</v>
      </c>
      <c r="DY64" s="108" t="s">
        <v>503</v>
      </c>
      <c r="DZ64" s="108" t="s">
        <v>503</v>
      </c>
      <c r="EA64" s="108" t="s">
        <v>503</v>
      </c>
      <c r="EB64" s="108" t="s">
        <v>503</v>
      </c>
      <c r="EC64" s="108" t="s">
        <v>503</v>
      </c>
      <c r="ED64" s="108" t="s">
        <v>503</v>
      </c>
      <c r="EE64" s="108" t="s">
        <v>503</v>
      </c>
      <c r="EF64" s="108" t="s">
        <v>503</v>
      </c>
      <c r="EG64" s="108" t="s">
        <v>503</v>
      </c>
      <c r="EH64" s="108" t="s">
        <v>503</v>
      </c>
      <c r="EI64" s="108" t="s">
        <v>503</v>
      </c>
      <c r="EJ64" s="108" t="s">
        <v>503</v>
      </c>
      <c r="EK64" s="108" t="s">
        <v>503</v>
      </c>
      <c r="EL64" s="108" t="s">
        <v>503</v>
      </c>
      <c r="EM64" s="108" t="s">
        <v>503</v>
      </c>
      <c r="EN64" s="108" t="s">
        <v>503</v>
      </c>
      <c r="EO64" s="108" t="s">
        <v>503</v>
      </c>
      <c r="EP64" s="108" t="s">
        <v>503</v>
      </c>
      <c r="EQ64" s="108" t="s">
        <v>502</v>
      </c>
      <c r="ER64" s="108" t="s">
        <v>502</v>
      </c>
      <c r="ES64" s="108" t="s">
        <v>502</v>
      </c>
      <c r="ET64" s="108" t="s">
        <v>502</v>
      </c>
      <c r="EU64" s="108" t="s">
        <v>502</v>
      </c>
      <c r="EV64" s="108" t="s">
        <v>502</v>
      </c>
      <c r="EW64" s="108" t="s">
        <v>502</v>
      </c>
      <c r="EX64" s="108" t="s">
        <v>502</v>
      </c>
      <c r="EY64" s="108" t="s">
        <v>502</v>
      </c>
      <c r="EZ64" s="71">
        <v>2000000</v>
      </c>
      <c r="FA64" s="71">
        <f t="shared" si="25"/>
        <v>380000</v>
      </c>
      <c r="FB64" s="71">
        <f t="shared" si="26"/>
        <v>2380000</v>
      </c>
      <c r="FC64" s="108" t="s">
        <v>502</v>
      </c>
      <c r="FD64" s="108" t="s">
        <v>502</v>
      </c>
      <c r="FE64" s="108" t="s">
        <v>502</v>
      </c>
      <c r="FF64" s="108" t="s">
        <v>503</v>
      </c>
      <c r="FG64" s="108" t="s">
        <v>503</v>
      </c>
      <c r="FH64" s="108" t="s">
        <v>503</v>
      </c>
      <c r="FI64" s="108" t="s">
        <v>503</v>
      </c>
      <c r="FJ64" s="108" t="s">
        <v>503</v>
      </c>
      <c r="FK64" s="108" t="s">
        <v>503</v>
      </c>
      <c r="FL64" s="108" t="s">
        <v>503</v>
      </c>
      <c r="FM64" s="108" t="s">
        <v>503</v>
      </c>
      <c r="FN64" s="108" t="s">
        <v>503</v>
      </c>
      <c r="FO64" s="108" t="s">
        <v>502</v>
      </c>
      <c r="FP64" s="108" t="s">
        <v>502</v>
      </c>
      <c r="FQ64" s="108" t="s">
        <v>502</v>
      </c>
      <c r="FR64" s="108" t="s">
        <v>502</v>
      </c>
      <c r="FS64" s="108" t="s">
        <v>502</v>
      </c>
      <c r="FT64" s="108" t="s">
        <v>502</v>
      </c>
      <c r="FU64" s="108" t="s">
        <v>502</v>
      </c>
      <c r="FV64" s="108" t="s">
        <v>502</v>
      </c>
      <c r="FW64" s="108" t="s">
        <v>502</v>
      </c>
      <c r="FX64" s="108" t="s">
        <v>503</v>
      </c>
      <c r="FY64" s="108" t="s">
        <v>503</v>
      </c>
      <c r="FZ64" s="108" t="s">
        <v>503</v>
      </c>
      <c r="GA64" s="108" t="s">
        <v>503</v>
      </c>
      <c r="GB64" s="108" t="s">
        <v>503</v>
      </c>
      <c r="GC64" s="108" t="s">
        <v>503</v>
      </c>
      <c r="GD64" s="108" t="s">
        <v>503</v>
      </c>
      <c r="GE64" s="108" t="s">
        <v>503</v>
      </c>
      <c r="GF64" s="108" t="s">
        <v>503</v>
      </c>
      <c r="GG64" s="108" t="s">
        <v>669</v>
      </c>
      <c r="GH64" s="108" t="s">
        <v>669</v>
      </c>
      <c r="GI64" s="108" t="s">
        <v>669</v>
      </c>
      <c r="GJ64" s="108" t="s">
        <v>669</v>
      </c>
      <c r="GK64" s="108" t="s">
        <v>669</v>
      </c>
      <c r="GL64" s="108" t="s">
        <v>669</v>
      </c>
      <c r="GM64" s="108" t="s">
        <v>502</v>
      </c>
      <c r="GN64" s="108" t="s">
        <v>502</v>
      </c>
      <c r="GO64" s="108" t="s">
        <v>502</v>
      </c>
      <c r="GP64" s="108" t="s">
        <v>664</v>
      </c>
      <c r="GQ64" s="108" t="s">
        <v>664</v>
      </c>
      <c r="GR64" s="108" t="s">
        <v>664</v>
      </c>
      <c r="GS64" s="47">
        <f>1800000/1.19</f>
        <v>1512605.0420168068</v>
      </c>
      <c r="GT64" s="47">
        <f t="shared" si="23"/>
        <v>287394.95798319328</v>
      </c>
      <c r="GU64" s="69">
        <f t="shared" si="24"/>
        <v>1800000</v>
      </c>
      <c r="GV64" s="108" t="s">
        <v>502</v>
      </c>
      <c r="GW64" s="108" t="s">
        <v>502</v>
      </c>
      <c r="GX64" s="108" t="s">
        <v>502</v>
      </c>
      <c r="GY64" s="108" t="s">
        <v>664</v>
      </c>
      <c r="GZ64" s="108" t="s">
        <v>664</v>
      </c>
      <c r="HA64" s="108" t="s">
        <v>664</v>
      </c>
      <c r="HB64" s="108" t="s">
        <v>664</v>
      </c>
      <c r="HC64" s="108" t="s">
        <v>664</v>
      </c>
      <c r="HD64" s="108" t="s">
        <v>664</v>
      </c>
      <c r="HE64" s="108" t="s">
        <v>664</v>
      </c>
      <c r="HF64" s="108" t="s">
        <v>664</v>
      </c>
      <c r="HG64" s="108" t="s">
        <v>664</v>
      </c>
      <c r="HH64" s="108" t="s">
        <v>664</v>
      </c>
      <c r="HI64" s="108" t="s">
        <v>664</v>
      </c>
      <c r="HJ64" s="108" t="s">
        <v>664</v>
      </c>
      <c r="HK64" s="108" t="s">
        <v>664</v>
      </c>
      <c r="HL64" s="108" t="s">
        <v>664</v>
      </c>
      <c r="HM64" s="108" t="s">
        <v>664</v>
      </c>
      <c r="HN64" s="108" t="s">
        <v>664</v>
      </c>
      <c r="HO64" s="108" t="s">
        <v>664</v>
      </c>
      <c r="HP64" s="108" t="s">
        <v>664</v>
      </c>
      <c r="HQ64" s="108" t="s">
        <v>503</v>
      </c>
      <c r="HR64" s="108" t="s">
        <v>503</v>
      </c>
      <c r="HS64" s="108" t="s">
        <v>503</v>
      </c>
      <c r="HT64" s="108" t="s">
        <v>502</v>
      </c>
      <c r="HU64" s="108" t="s">
        <v>502</v>
      </c>
      <c r="HV64" s="108" t="s">
        <v>502</v>
      </c>
      <c r="HW64" s="118">
        <v>2000000</v>
      </c>
      <c r="HX64" s="118">
        <f>+HW64*19%</f>
        <v>380000</v>
      </c>
      <c r="HY64" s="118">
        <f>+HW64+HX64</f>
        <v>2380000</v>
      </c>
      <c r="HZ64" s="118" t="s">
        <v>502</v>
      </c>
      <c r="IA64" s="118" t="s">
        <v>502</v>
      </c>
      <c r="IB64" s="118" t="s">
        <v>502</v>
      </c>
      <c r="IC64" s="118" t="s">
        <v>502</v>
      </c>
      <c r="ID64" s="118" t="s">
        <v>502</v>
      </c>
      <c r="IE64" s="118" t="s">
        <v>502</v>
      </c>
      <c r="IF64" s="118" t="s">
        <v>502</v>
      </c>
      <c r="IG64" s="118" t="s">
        <v>502</v>
      </c>
      <c r="IH64" s="118" t="s">
        <v>502</v>
      </c>
      <c r="II64" s="118" t="s">
        <v>502</v>
      </c>
      <c r="IJ64" s="118" t="s">
        <v>502</v>
      </c>
      <c r="IK64" s="118" t="s">
        <v>502</v>
      </c>
      <c r="IL64" s="118" t="s">
        <v>502</v>
      </c>
      <c r="IM64" s="118" t="s">
        <v>502</v>
      </c>
      <c r="IN64" s="118" t="s">
        <v>502</v>
      </c>
      <c r="IO64" s="120" t="s">
        <v>503</v>
      </c>
      <c r="IP64" s="120" t="s">
        <v>503</v>
      </c>
      <c r="IQ64" s="120" t="s">
        <v>503</v>
      </c>
      <c r="IR64" s="118" t="s">
        <v>669</v>
      </c>
      <c r="IS64" s="118" t="s">
        <v>669</v>
      </c>
      <c r="IT64" s="118" t="s">
        <v>669</v>
      </c>
      <c r="IU64" s="120" t="s">
        <v>503</v>
      </c>
      <c r="IV64" s="120" t="s">
        <v>503</v>
      </c>
      <c r="IW64" s="120" t="s">
        <v>503</v>
      </c>
      <c r="IX64" s="120" t="s">
        <v>503</v>
      </c>
      <c r="IY64" s="120" t="s">
        <v>503</v>
      </c>
      <c r="IZ64" s="120" t="s">
        <v>503</v>
      </c>
      <c r="JA64" s="120" t="s">
        <v>503</v>
      </c>
      <c r="JB64" s="120" t="s">
        <v>503</v>
      </c>
      <c r="JC64" s="120" t="s">
        <v>503</v>
      </c>
      <c r="JD64" s="120" t="s">
        <v>664</v>
      </c>
      <c r="JE64" s="120" t="s">
        <v>664</v>
      </c>
      <c r="JF64" s="120" t="s">
        <v>664</v>
      </c>
      <c r="JG64" s="118" t="s">
        <v>502</v>
      </c>
      <c r="JH64" s="118" t="s">
        <v>502</v>
      </c>
      <c r="JI64" s="118" t="s">
        <v>502</v>
      </c>
      <c r="JJ64" s="118" t="s">
        <v>502</v>
      </c>
      <c r="JK64" s="118" t="s">
        <v>502</v>
      </c>
      <c r="JL64" s="118" t="s">
        <v>502</v>
      </c>
      <c r="JM64" s="118" t="s">
        <v>502</v>
      </c>
      <c r="JN64" s="118" t="s">
        <v>502</v>
      </c>
      <c r="JO64" s="118" t="s">
        <v>502</v>
      </c>
      <c r="JP64" s="110">
        <v>1850950</v>
      </c>
      <c r="JQ64" s="111">
        <v>2211465.8987680003</v>
      </c>
      <c r="JR64" s="112">
        <f t="shared" si="0"/>
        <v>4</v>
      </c>
      <c r="JS64" s="113">
        <f t="shared" si="1"/>
        <v>2770500</v>
      </c>
      <c r="JT64" s="114">
        <f t="shared" si="2"/>
        <v>2770500</v>
      </c>
      <c r="JU64" s="84"/>
    </row>
    <row r="65" spans="1:281" ht="101.25" customHeight="1" x14ac:dyDescent="0.2">
      <c r="A65" s="98">
        <v>163</v>
      </c>
      <c r="B65" s="99">
        <v>163</v>
      </c>
      <c r="C65" s="39" t="s">
        <v>12</v>
      </c>
      <c r="D65" s="100" t="s">
        <v>35</v>
      </c>
      <c r="E65" s="39">
        <v>80141900</v>
      </c>
      <c r="F65" s="168" t="s">
        <v>189</v>
      </c>
      <c r="G65" s="102" t="s">
        <v>51</v>
      </c>
      <c r="H65" s="103" t="s">
        <v>501</v>
      </c>
      <c r="I65" s="108" t="s">
        <v>503</v>
      </c>
      <c r="J65" s="108" t="s">
        <v>503</v>
      </c>
      <c r="K65" s="108" t="s">
        <v>503</v>
      </c>
      <c r="L65" s="118" t="s">
        <v>502</v>
      </c>
      <c r="M65" s="118" t="s">
        <v>502</v>
      </c>
      <c r="N65" s="118" t="s">
        <v>502</v>
      </c>
      <c r="O65" s="108" t="s">
        <v>503</v>
      </c>
      <c r="P65" s="108" t="s">
        <v>503</v>
      </c>
      <c r="Q65" s="108" t="s">
        <v>503</v>
      </c>
      <c r="R65" s="108" t="s">
        <v>503</v>
      </c>
      <c r="S65" s="108" t="s">
        <v>503</v>
      </c>
      <c r="T65" s="108" t="s">
        <v>503</v>
      </c>
      <c r="U65" s="118" t="s">
        <v>502</v>
      </c>
      <c r="V65" s="118" t="s">
        <v>502</v>
      </c>
      <c r="W65" s="118" t="s">
        <v>502</v>
      </c>
      <c r="X65" s="108" t="s">
        <v>503</v>
      </c>
      <c r="Y65" s="108" t="s">
        <v>503</v>
      </c>
      <c r="Z65" s="108" t="s">
        <v>503</v>
      </c>
      <c r="AA65" s="108" t="s">
        <v>503</v>
      </c>
      <c r="AB65" s="108" t="s">
        <v>503</v>
      </c>
      <c r="AC65" s="108" t="s">
        <v>503</v>
      </c>
      <c r="AD65" s="108" t="s">
        <v>503</v>
      </c>
      <c r="AE65" s="108" t="s">
        <v>503</v>
      </c>
      <c r="AF65" s="108" t="s">
        <v>503</v>
      </c>
      <c r="AG65" s="108" t="s">
        <v>503</v>
      </c>
      <c r="AH65" s="108" t="s">
        <v>503</v>
      </c>
      <c r="AI65" s="108" t="s">
        <v>503</v>
      </c>
      <c r="AJ65" s="108" t="s">
        <v>503</v>
      </c>
      <c r="AK65" s="108" t="s">
        <v>503</v>
      </c>
      <c r="AL65" s="108" t="s">
        <v>503</v>
      </c>
      <c r="AM65" s="108" t="s">
        <v>503</v>
      </c>
      <c r="AN65" s="108" t="s">
        <v>503</v>
      </c>
      <c r="AO65" s="108" t="s">
        <v>503</v>
      </c>
      <c r="AP65" s="108" t="s">
        <v>503</v>
      </c>
      <c r="AQ65" s="108" t="s">
        <v>503</v>
      </c>
      <c r="AR65" s="108" t="s">
        <v>503</v>
      </c>
      <c r="AS65" s="108" t="s">
        <v>503</v>
      </c>
      <c r="AT65" s="108" t="s">
        <v>503</v>
      </c>
      <c r="AU65" s="108" t="s">
        <v>503</v>
      </c>
      <c r="AV65" s="108" t="s">
        <v>503</v>
      </c>
      <c r="AW65" s="108" t="s">
        <v>503</v>
      </c>
      <c r="AX65" s="108" t="s">
        <v>503</v>
      </c>
      <c r="AY65" s="108" t="s">
        <v>503</v>
      </c>
      <c r="AZ65" s="108" t="s">
        <v>503</v>
      </c>
      <c r="BA65" s="108" t="s">
        <v>503</v>
      </c>
      <c r="BB65" s="108" t="s">
        <v>503</v>
      </c>
      <c r="BC65" s="108" t="s">
        <v>503</v>
      </c>
      <c r="BD65" s="108" t="s">
        <v>503</v>
      </c>
      <c r="BE65" s="108" t="s">
        <v>503</v>
      </c>
      <c r="BF65" s="108" t="s">
        <v>503</v>
      </c>
      <c r="BG65" s="108" t="s">
        <v>503</v>
      </c>
      <c r="BH65" s="108" t="s">
        <v>503</v>
      </c>
      <c r="BI65" s="108" t="s">
        <v>503</v>
      </c>
      <c r="BJ65" s="108" t="s">
        <v>503</v>
      </c>
      <c r="BK65" s="108" t="s">
        <v>503</v>
      </c>
      <c r="BL65" s="108" t="s">
        <v>503</v>
      </c>
      <c r="BM65" s="108" t="s">
        <v>503</v>
      </c>
      <c r="BN65" s="108" t="s">
        <v>503</v>
      </c>
      <c r="BO65" s="108" t="s">
        <v>503</v>
      </c>
      <c r="BP65" s="108" t="s">
        <v>503</v>
      </c>
      <c r="BQ65" s="108" t="s">
        <v>503</v>
      </c>
      <c r="BR65" s="108" t="s">
        <v>503</v>
      </c>
      <c r="BS65" s="108" t="s">
        <v>503</v>
      </c>
      <c r="BT65" s="108" t="s">
        <v>503</v>
      </c>
      <c r="BU65" s="108" t="s">
        <v>503</v>
      </c>
      <c r="BV65" s="108" t="s">
        <v>503</v>
      </c>
      <c r="BW65" s="108" t="s">
        <v>503</v>
      </c>
      <c r="BX65" s="108" t="s">
        <v>503</v>
      </c>
      <c r="BY65" s="108" t="s">
        <v>503</v>
      </c>
      <c r="BZ65" s="108" t="s">
        <v>503</v>
      </c>
      <c r="CA65" s="108" t="s">
        <v>503</v>
      </c>
      <c r="CB65" s="108" t="s">
        <v>503</v>
      </c>
      <c r="CC65" s="108" t="s">
        <v>503</v>
      </c>
      <c r="CD65" s="108" t="s">
        <v>503</v>
      </c>
      <c r="CE65" s="108" t="s">
        <v>503</v>
      </c>
      <c r="CF65" s="108" t="s">
        <v>503</v>
      </c>
      <c r="CG65" s="108" t="s">
        <v>503</v>
      </c>
      <c r="CH65" s="108" t="s">
        <v>503</v>
      </c>
      <c r="CI65" s="108" t="s">
        <v>503</v>
      </c>
      <c r="CJ65" s="108" t="s">
        <v>503</v>
      </c>
      <c r="CK65" s="108" t="s">
        <v>503</v>
      </c>
      <c r="CL65" s="108" t="s">
        <v>503</v>
      </c>
      <c r="CM65" s="108" t="s">
        <v>503</v>
      </c>
      <c r="CN65" s="108" t="s">
        <v>503</v>
      </c>
      <c r="CO65" s="108" t="s">
        <v>503</v>
      </c>
      <c r="CP65" s="108" t="s">
        <v>503</v>
      </c>
      <c r="CQ65" s="108" t="s">
        <v>503</v>
      </c>
      <c r="CR65" s="108" t="s">
        <v>503</v>
      </c>
      <c r="CS65" s="108" t="s">
        <v>503</v>
      </c>
      <c r="CT65" s="108" t="s">
        <v>503</v>
      </c>
      <c r="CU65" s="108" t="s">
        <v>503</v>
      </c>
      <c r="CV65" s="108" t="s">
        <v>503</v>
      </c>
      <c r="CW65" s="108" t="s">
        <v>503</v>
      </c>
      <c r="CX65" s="108" t="s">
        <v>503</v>
      </c>
      <c r="CY65" s="108" t="s">
        <v>503</v>
      </c>
      <c r="CZ65" s="108" t="s">
        <v>503</v>
      </c>
      <c r="DA65" s="108" t="s">
        <v>503</v>
      </c>
      <c r="DB65" s="108" t="s">
        <v>503</v>
      </c>
      <c r="DC65" s="108" t="s">
        <v>503</v>
      </c>
      <c r="DD65" s="108" t="s">
        <v>503</v>
      </c>
      <c r="DE65" s="108" t="s">
        <v>503</v>
      </c>
      <c r="DF65" s="108" t="s">
        <v>503</v>
      </c>
      <c r="DG65" s="108" t="s">
        <v>503</v>
      </c>
      <c r="DH65" s="108" t="s">
        <v>503</v>
      </c>
      <c r="DI65" s="108" t="s">
        <v>503</v>
      </c>
      <c r="DJ65" s="108" t="s">
        <v>503</v>
      </c>
      <c r="DK65" s="108" t="s">
        <v>503</v>
      </c>
      <c r="DL65" s="108" t="s">
        <v>503</v>
      </c>
      <c r="DM65" s="108" t="s">
        <v>503</v>
      </c>
      <c r="DN65" s="108" t="s">
        <v>503</v>
      </c>
      <c r="DO65" s="108" t="s">
        <v>503</v>
      </c>
      <c r="DP65" s="108" t="s">
        <v>669</v>
      </c>
      <c r="DQ65" s="108" t="s">
        <v>669</v>
      </c>
      <c r="DR65" s="108" t="s">
        <v>669</v>
      </c>
      <c r="DS65" s="108" t="s">
        <v>669</v>
      </c>
      <c r="DT65" s="108" t="s">
        <v>669</v>
      </c>
      <c r="DU65" s="108" t="s">
        <v>669</v>
      </c>
      <c r="DV65" s="108" t="s">
        <v>503</v>
      </c>
      <c r="DW65" s="108" t="s">
        <v>503</v>
      </c>
      <c r="DX65" s="108" t="s">
        <v>503</v>
      </c>
      <c r="DY65" s="108" t="s">
        <v>503</v>
      </c>
      <c r="DZ65" s="108" t="s">
        <v>503</v>
      </c>
      <c r="EA65" s="108" t="s">
        <v>503</v>
      </c>
      <c r="EB65" s="108" t="s">
        <v>503</v>
      </c>
      <c r="EC65" s="108" t="s">
        <v>503</v>
      </c>
      <c r="ED65" s="108" t="s">
        <v>503</v>
      </c>
      <c r="EE65" s="108" t="s">
        <v>503</v>
      </c>
      <c r="EF65" s="108" t="s">
        <v>503</v>
      </c>
      <c r="EG65" s="108" t="s">
        <v>503</v>
      </c>
      <c r="EH65" s="108" t="s">
        <v>503</v>
      </c>
      <c r="EI65" s="108" t="s">
        <v>503</v>
      </c>
      <c r="EJ65" s="108" t="s">
        <v>503</v>
      </c>
      <c r="EK65" s="108" t="s">
        <v>503</v>
      </c>
      <c r="EL65" s="108" t="s">
        <v>503</v>
      </c>
      <c r="EM65" s="108" t="s">
        <v>503</v>
      </c>
      <c r="EN65" s="108" t="s">
        <v>503</v>
      </c>
      <c r="EO65" s="108" t="s">
        <v>503</v>
      </c>
      <c r="EP65" s="108" t="s">
        <v>503</v>
      </c>
      <c r="EQ65" s="108" t="s">
        <v>502</v>
      </c>
      <c r="ER65" s="108" t="s">
        <v>502</v>
      </c>
      <c r="ES65" s="108" t="s">
        <v>502</v>
      </c>
      <c r="ET65" s="108" t="s">
        <v>502</v>
      </c>
      <c r="EU65" s="108" t="s">
        <v>502</v>
      </c>
      <c r="EV65" s="108" t="s">
        <v>502</v>
      </c>
      <c r="EW65" s="108" t="s">
        <v>502</v>
      </c>
      <c r="EX65" s="108" t="s">
        <v>502</v>
      </c>
      <c r="EY65" s="108" t="s">
        <v>502</v>
      </c>
      <c r="EZ65" s="108" t="s">
        <v>503</v>
      </c>
      <c r="FA65" s="108" t="s">
        <v>503</v>
      </c>
      <c r="FB65" s="108" t="s">
        <v>503</v>
      </c>
      <c r="FC65" s="108" t="s">
        <v>502</v>
      </c>
      <c r="FD65" s="108" t="s">
        <v>502</v>
      </c>
      <c r="FE65" s="108" t="s">
        <v>502</v>
      </c>
      <c r="FF65" s="108" t="s">
        <v>503</v>
      </c>
      <c r="FG65" s="108" t="s">
        <v>503</v>
      </c>
      <c r="FH65" s="108" t="s">
        <v>503</v>
      </c>
      <c r="FI65" s="108" t="s">
        <v>503</v>
      </c>
      <c r="FJ65" s="108" t="s">
        <v>503</v>
      </c>
      <c r="FK65" s="108" t="s">
        <v>503</v>
      </c>
      <c r="FL65" s="108" t="s">
        <v>503</v>
      </c>
      <c r="FM65" s="108" t="s">
        <v>503</v>
      </c>
      <c r="FN65" s="108" t="s">
        <v>503</v>
      </c>
      <c r="FO65" s="108" t="s">
        <v>502</v>
      </c>
      <c r="FP65" s="108" t="s">
        <v>502</v>
      </c>
      <c r="FQ65" s="108" t="s">
        <v>502</v>
      </c>
      <c r="FR65" s="108" t="s">
        <v>502</v>
      </c>
      <c r="FS65" s="108" t="s">
        <v>502</v>
      </c>
      <c r="FT65" s="108" t="s">
        <v>502</v>
      </c>
      <c r="FU65" s="108" t="s">
        <v>502</v>
      </c>
      <c r="FV65" s="108" t="s">
        <v>502</v>
      </c>
      <c r="FW65" s="108" t="s">
        <v>502</v>
      </c>
      <c r="FX65" s="108" t="s">
        <v>503</v>
      </c>
      <c r="FY65" s="108" t="s">
        <v>503</v>
      </c>
      <c r="FZ65" s="108" t="s">
        <v>503</v>
      </c>
      <c r="GA65" s="108" t="s">
        <v>503</v>
      </c>
      <c r="GB65" s="108" t="s">
        <v>503</v>
      </c>
      <c r="GC65" s="108" t="s">
        <v>503</v>
      </c>
      <c r="GD65" s="108" t="s">
        <v>503</v>
      </c>
      <c r="GE65" s="108" t="s">
        <v>503</v>
      </c>
      <c r="GF65" s="108" t="s">
        <v>503</v>
      </c>
      <c r="GG65" s="108" t="s">
        <v>669</v>
      </c>
      <c r="GH65" s="108" t="s">
        <v>669</v>
      </c>
      <c r="GI65" s="108" t="s">
        <v>669</v>
      </c>
      <c r="GJ65" s="108" t="s">
        <v>669</v>
      </c>
      <c r="GK65" s="108" t="s">
        <v>669</v>
      </c>
      <c r="GL65" s="108" t="s">
        <v>669</v>
      </c>
      <c r="GM65" s="108" t="s">
        <v>502</v>
      </c>
      <c r="GN65" s="108" t="s">
        <v>502</v>
      </c>
      <c r="GO65" s="108" t="s">
        <v>502</v>
      </c>
      <c r="GP65" s="108" t="s">
        <v>664</v>
      </c>
      <c r="GQ65" s="108" t="s">
        <v>664</v>
      </c>
      <c r="GR65" s="108" t="s">
        <v>664</v>
      </c>
      <c r="GS65" s="47">
        <f>18000/1.19</f>
        <v>15126.050420168069</v>
      </c>
      <c r="GT65" s="47">
        <f t="shared" si="23"/>
        <v>2873.9495798319331</v>
      </c>
      <c r="GU65" s="69">
        <f t="shared" si="24"/>
        <v>18000</v>
      </c>
      <c r="GV65" s="108" t="s">
        <v>502</v>
      </c>
      <c r="GW65" s="108" t="s">
        <v>502</v>
      </c>
      <c r="GX65" s="108" t="s">
        <v>502</v>
      </c>
      <c r="GY65" s="108" t="s">
        <v>664</v>
      </c>
      <c r="GZ65" s="108" t="s">
        <v>664</v>
      </c>
      <c r="HA65" s="108" t="s">
        <v>664</v>
      </c>
      <c r="HB65" s="108" t="s">
        <v>664</v>
      </c>
      <c r="HC65" s="108" t="s">
        <v>664</v>
      </c>
      <c r="HD65" s="108" t="s">
        <v>664</v>
      </c>
      <c r="HE65" s="108" t="s">
        <v>664</v>
      </c>
      <c r="HF65" s="108" t="s">
        <v>664</v>
      </c>
      <c r="HG65" s="108" t="s">
        <v>664</v>
      </c>
      <c r="HH65" s="108" t="s">
        <v>664</v>
      </c>
      <c r="HI65" s="108" t="s">
        <v>664</v>
      </c>
      <c r="HJ65" s="108" t="s">
        <v>664</v>
      </c>
      <c r="HK65" s="108" t="s">
        <v>664</v>
      </c>
      <c r="HL65" s="108" t="s">
        <v>664</v>
      </c>
      <c r="HM65" s="108" t="s">
        <v>664</v>
      </c>
      <c r="HN65" s="108" t="s">
        <v>664</v>
      </c>
      <c r="HO65" s="108" t="s">
        <v>664</v>
      </c>
      <c r="HP65" s="108" t="s">
        <v>664</v>
      </c>
      <c r="HQ65" s="108" t="s">
        <v>503</v>
      </c>
      <c r="HR65" s="108" t="s">
        <v>503</v>
      </c>
      <c r="HS65" s="108" t="s">
        <v>503</v>
      </c>
      <c r="HT65" s="108" t="s">
        <v>502</v>
      </c>
      <c r="HU65" s="108" t="s">
        <v>502</v>
      </c>
      <c r="HV65" s="108" t="s">
        <v>502</v>
      </c>
      <c r="HW65" s="118">
        <v>17500</v>
      </c>
      <c r="HX65" s="118">
        <f>+HW65*19%</f>
        <v>3325</v>
      </c>
      <c r="HY65" s="118">
        <f>+HW65+HX65</f>
        <v>20825</v>
      </c>
      <c r="HZ65" s="118" t="s">
        <v>502</v>
      </c>
      <c r="IA65" s="118" t="s">
        <v>502</v>
      </c>
      <c r="IB65" s="118" t="s">
        <v>502</v>
      </c>
      <c r="IC65" s="118" t="s">
        <v>502</v>
      </c>
      <c r="ID65" s="118" t="s">
        <v>502</v>
      </c>
      <c r="IE65" s="118" t="s">
        <v>502</v>
      </c>
      <c r="IF65" s="118" t="s">
        <v>502</v>
      </c>
      <c r="IG65" s="118" t="s">
        <v>502</v>
      </c>
      <c r="IH65" s="118" t="s">
        <v>502</v>
      </c>
      <c r="II65" s="118" t="s">
        <v>502</v>
      </c>
      <c r="IJ65" s="118" t="s">
        <v>502</v>
      </c>
      <c r="IK65" s="118" t="s">
        <v>502</v>
      </c>
      <c r="IL65" s="118" t="s">
        <v>502</v>
      </c>
      <c r="IM65" s="118" t="s">
        <v>502</v>
      </c>
      <c r="IN65" s="118" t="s">
        <v>502</v>
      </c>
      <c r="IO65" s="120" t="s">
        <v>503</v>
      </c>
      <c r="IP65" s="120" t="s">
        <v>503</v>
      </c>
      <c r="IQ65" s="120" t="s">
        <v>503</v>
      </c>
      <c r="IR65" s="118" t="s">
        <v>669</v>
      </c>
      <c r="IS65" s="118" t="s">
        <v>669</v>
      </c>
      <c r="IT65" s="118" t="s">
        <v>669</v>
      </c>
      <c r="IU65" s="120" t="s">
        <v>503</v>
      </c>
      <c r="IV65" s="120" t="s">
        <v>503</v>
      </c>
      <c r="IW65" s="120" t="s">
        <v>503</v>
      </c>
      <c r="IX65" s="120" t="s">
        <v>503</v>
      </c>
      <c r="IY65" s="120" t="s">
        <v>503</v>
      </c>
      <c r="IZ65" s="120" t="s">
        <v>503</v>
      </c>
      <c r="JA65" s="120" t="s">
        <v>503</v>
      </c>
      <c r="JB65" s="120" t="s">
        <v>503</v>
      </c>
      <c r="JC65" s="120" t="s">
        <v>503</v>
      </c>
      <c r="JD65" s="120" t="s">
        <v>664</v>
      </c>
      <c r="JE65" s="120" t="s">
        <v>664</v>
      </c>
      <c r="JF65" s="120" t="s">
        <v>664</v>
      </c>
      <c r="JG65" s="118" t="s">
        <v>502</v>
      </c>
      <c r="JH65" s="118" t="s">
        <v>502</v>
      </c>
      <c r="JI65" s="118" t="s">
        <v>502</v>
      </c>
      <c r="JJ65" s="118" t="s">
        <v>502</v>
      </c>
      <c r="JK65" s="118" t="s">
        <v>502</v>
      </c>
      <c r="JL65" s="118" t="s">
        <v>502</v>
      </c>
      <c r="JM65" s="118" t="s">
        <v>502</v>
      </c>
      <c r="JN65" s="118" t="s">
        <v>502</v>
      </c>
      <c r="JO65" s="118" t="s">
        <v>502</v>
      </c>
      <c r="JP65" s="110">
        <v>19250</v>
      </c>
      <c r="JQ65" s="111">
        <v>22999.388720000003</v>
      </c>
      <c r="JR65" s="112">
        <f t="shared" si="0"/>
        <v>2</v>
      </c>
      <c r="JS65" s="113">
        <f t="shared" si="1"/>
        <v>19412.5</v>
      </c>
      <c r="JT65" s="114">
        <f t="shared" si="2"/>
        <v>19450</v>
      </c>
      <c r="JU65" s="84"/>
    </row>
    <row r="66" spans="1:281" ht="101.25" customHeight="1" x14ac:dyDescent="0.2">
      <c r="A66" s="98">
        <v>164</v>
      </c>
      <c r="B66" s="99">
        <v>164</v>
      </c>
      <c r="C66" s="39" t="s">
        <v>12</v>
      </c>
      <c r="D66" s="100" t="s">
        <v>262</v>
      </c>
      <c r="E66" s="39">
        <v>90101600</v>
      </c>
      <c r="F66" s="129" t="s">
        <v>234</v>
      </c>
      <c r="G66" s="102" t="s">
        <v>86</v>
      </c>
      <c r="H66" s="103" t="s">
        <v>501</v>
      </c>
      <c r="I66" s="108" t="s">
        <v>503</v>
      </c>
      <c r="J66" s="108" t="s">
        <v>503</v>
      </c>
      <c r="K66" s="108" t="s">
        <v>503</v>
      </c>
      <c r="L66" s="118" t="s">
        <v>502</v>
      </c>
      <c r="M66" s="118" t="s">
        <v>502</v>
      </c>
      <c r="N66" s="118" t="s">
        <v>502</v>
      </c>
      <c r="O66" s="108" t="s">
        <v>503</v>
      </c>
      <c r="P66" s="108" t="s">
        <v>503</v>
      </c>
      <c r="Q66" s="108" t="s">
        <v>503</v>
      </c>
      <c r="R66" s="108" t="s">
        <v>503</v>
      </c>
      <c r="S66" s="108" t="s">
        <v>503</v>
      </c>
      <c r="T66" s="108" t="s">
        <v>503</v>
      </c>
      <c r="U66" s="118" t="s">
        <v>502</v>
      </c>
      <c r="V66" s="118" t="s">
        <v>502</v>
      </c>
      <c r="W66" s="118" t="s">
        <v>502</v>
      </c>
      <c r="X66" s="108" t="s">
        <v>503</v>
      </c>
      <c r="Y66" s="108" t="s">
        <v>503</v>
      </c>
      <c r="Z66" s="108" t="s">
        <v>503</v>
      </c>
      <c r="AA66" s="108" t="s">
        <v>503</v>
      </c>
      <c r="AB66" s="108" t="s">
        <v>503</v>
      </c>
      <c r="AC66" s="108" t="s">
        <v>503</v>
      </c>
      <c r="AD66" s="108" t="s">
        <v>503</v>
      </c>
      <c r="AE66" s="108" t="s">
        <v>503</v>
      </c>
      <c r="AF66" s="108" t="s">
        <v>503</v>
      </c>
      <c r="AG66" s="108" t="s">
        <v>503</v>
      </c>
      <c r="AH66" s="108" t="s">
        <v>503</v>
      </c>
      <c r="AI66" s="108" t="s">
        <v>503</v>
      </c>
      <c r="AJ66" s="108" t="s">
        <v>503</v>
      </c>
      <c r="AK66" s="108" t="s">
        <v>503</v>
      </c>
      <c r="AL66" s="108" t="s">
        <v>503</v>
      </c>
      <c r="AM66" s="108" t="s">
        <v>503</v>
      </c>
      <c r="AN66" s="108" t="s">
        <v>503</v>
      </c>
      <c r="AO66" s="108" t="s">
        <v>503</v>
      </c>
      <c r="AP66" s="108" t="s">
        <v>503</v>
      </c>
      <c r="AQ66" s="108" t="s">
        <v>503</v>
      </c>
      <c r="AR66" s="108" t="s">
        <v>503</v>
      </c>
      <c r="AS66" s="174">
        <v>9000</v>
      </c>
      <c r="AT66" s="117">
        <f>+AS66*8%</f>
        <v>720</v>
      </c>
      <c r="AU66" s="71">
        <f>+AS66+AT66</f>
        <v>9720</v>
      </c>
      <c r="AV66" s="108" t="s">
        <v>503</v>
      </c>
      <c r="AW66" s="108" t="s">
        <v>503</v>
      </c>
      <c r="AX66" s="108" t="s">
        <v>503</v>
      </c>
      <c r="AY66" s="108" t="s">
        <v>503</v>
      </c>
      <c r="AZ66" s="108" t="s">
        <v>503</v>
      </c>
      <c r="BA66" s="108" t="s">
        <v>503</v>
      </c>
      <c r="BB66" s="108" t="s">
        <v>503</v>
      </c>
      <c r="BC66" s="108" t="s">
        <v>503</v>
      </c>
      <c r="BD66" s="108" t="s">
        <v>503</v>
      </c>
      <c r="BE66" s="108" t="s">
        <v>503</v>
      </c>
      <c r="BF66" s="108" t="s">
        <v>503</v>
      </c>
      <c r="BG66" s="108" t="s">
        <v>503</v>
      </c>
      <c r="BH66" s="108" t="s">
        <v>503</v>
      </c>
      <c r="BI66" s="108" t="s">
        <v>503</v>
      </c>
      <c r="BJ66" s="108" t="s">
        <v>503</v>
      </c>
      <c r="BK66" s="108" t="s">
        <v>503</v>
      </c>
      <c r="BL66" s="108" t="s">
        <v>503</v>
      </c>
      <c r="BM66" s="108" t="s">
        <v>503</v>
      </c>
      <c r="BN66" s="108" t="s">
        <v>503</v>
      </c>
      <c r="BO66" s="108" t="s">
        <v>503</v>
      </c>
      <c r="BP66" s="108" t="s">
        <v>503</v>
      </c>
      <c r="BQ66" s="108" t="s">
        <v>503</v>
      </c>
      <c r="BR66" s="108" t="s">
        <v>503</v>
      </c>
      <c r="BS66" s="108" t="s">
        <v>503</v>
      </c>
      <c r="BT66" s="108" t="s">
        <v>503</v>
      </c>
      <c r="BU66" s="108" t="s">
        <v>503</v>
      </c>
      <c r="BV66" s="108" t="s">
        <v>503</v>
      </c>
      <c r="BW66" s="108" t="s">
        <v>503</v>
      </c>
      <c r="BX66" s="108" t="s">
        <v>503</v>
      </c>
      <c r="BY66" s="108" t="s">
        <v>503</v>
      </c>
      <c r="BZ66" s="108" t="s">
        <v>503</v>
      </c>
      <c r="CA66" s="108" t="s">
        <v>503</v>
      </c>
      <c r="CB66" s="108" t="s">
        <v>503</v>
      </c>
      <c r="CC66" s="108" t="s">
        <v>503</v>
      </c>
      <c r="CD66" s="108" t="s">
        <v>503</v>
      </c>
      <c r="CE66" s="108" t="s">
        <v>503</v>
      </c>
      <c r="CF66" s="108" t="s">
        <v>503</v>
      </c>
      <c r="CG66" s="108" t="s">
        <v>503</v>
      </c>
      <c r="CH66" s="108" t="s">
        <v>503</v>
      </c>
      <c r="CI66" s="108" t="s">
        <v>503</v>
      </c>
      <c r="CJ66" s="108" t="s">
        <v>503</v>
      </c>
      <c r="CK66" s="108" t="s">
        <v>503</v>
      </c>
      <c r="CL66" s="108" t="s">
        <v>503</v>
      </c>
      <c r="CM66" s="108" t="s">
        <v>503</v>
      </c>
      <c r="CN66" s="108" t="s">
        <v>503</v>
      </c>
      <c r="CO66" s="108" t="s">
        <v>503</v>
      </c>
      <c r="CP66" s="108" t="s">
        <v>503</v>
      </c>
      <c r="CQ66" s="108" t="s">
        <v>503</v>
      </c>
      <c r="CR66" s="108" t="s">
        <v>503</v>
      </c>
      <c r="CS66" s="108" t="s">
        <v>503</v>
      </c>
      <c r="CT66" s="108" t="s">
        <v>503</v>
      </c>
      <c r="CU66" s="108" t="s">
        <v>503</v>
      </c>
      <c r="CV66" s="108" t="s">
        <v>503</v>
      </c>
      <c r="CW66" s="108" t="s">
        <v>503</v>
      </c>
      <c r="CX66" s="108" t="s">
        <v>503</v>
      </c>
      <c r="CY66" s="108" t="s">
        <v>503</v>
      </c>
      <c r="CZ66" s="108" t="s">
        <v>503</v>
      </c>
      <c r="DA66" s="108" t="s">
        <v>503</v>
      </c>
      <c r="DB66" s="108" t="s">
        <v>503</v>
      </c>
      <c r="DC66" s="108" t="s">
        <v>503</v>
      </c>
      <c r="DD66" s="108" t="s">
        <v>503</v>
      </c>
      <c r="DE66" s="108" t="s">
        <v>503</v>
      </c>
      <c r="DF66" s="108" t="s">
        <v>503</v>
      </c>
      <c r="DG66" s="108" t="s">
        <v>503</v>
      </c>
      <c r="DH66" s="108" t="s">
        <v>503</v>
      </c>
      <c r="DI66" s="108" t="s">
        <v>503</v>
      </c>
      <c r="DJ66" s="108" t="s">
        <v>503</v>
      </c>
      <c r="DK66" s="108" t="s">
        <v>503</v>
      </c>
      <c r="DL66" s="108" t="s">
        <v>503</v>
      </c>
      <c r="DM66" s="108" t="s">
        <v>503</v>
      </c>
      <c r="DN66" s="108" t="s">
        <v>503</v>
      </c>
      <c r="DO66" s="108" t="s">
        <v>503</v>
      </c>
      <c r="DP66" s="108" t="s">
        <v>669</v>
      </c>
      <c r="DQ66" s="108" t="s">
        <v>669</v>
      </c>
      <c r="DR66" s="108" t="s">
        <v>669</v>
      </c>
      <c r="DS66" s="108" t="s">
        <v>669</v>
      </c>
      <c r="DT66" s="108" t="s">
        <v>669</v>
      </c>
      <c r="DU66" s="108" t="s">
        <v>669</v>
      </c>
      <c r="DV66" s="108" t="s">
        <v>503</v>
      </c>
      <c r="DW66" s="108" t="s">
        <v>503</v>
      </c>
      <c r="DX66" s="108" t="s">
        <v>503</v>
      </c>
      <c r="DY66" s="108" t="s">
        <v>503</v>
      </c>
      <c r="DZ66" s="108" t="s">
        <v>503</v>
      </c>
      <c r="EA66" s="108" t="s">
        <v>503</v>
      </c>
      <c r="EB66" s="108" t="s">
        <v>503</v>
      </c>
      <c r="EC66" s="108" t="s">
        <v>503</v>
      </c>
      <c r="ED66" s="108" t="s">
        <v>503</v>
      </c>
      <c r="EE66" s="108" t="s">
        <v>503</v>
      </c>
      <c r="EF66" s="108" t="s">
        <v>503</v>
      </c>
      <c r="EG66" s="108" t="s">
        <v>503</v>
      </c>
      <c r="EH66" s="108" t="s">
        <v>503</v>
      </c>
      <c r="EI66" s="108" t="s">
        <v>503</v>
      </c>
      <c r="EJ66" s="108" t="s">
        <v>503</v>
      </c>
      <c r="EK66" s="108" t="s">
        <v>503</v>
      </c>
      <c r="EL66" s="108" t="s">
        <v>503</v>
      </c>
      <c r="EM66" s="108" t="s">
        <v>503</v>
      </c>
      <c r="EN66" s="108" t="s">
        <v>503</v>
      </c>
      <c r="EO66" s="108" t="s">
        <v>503</v>
      </c>
      <c r="EP66" s="108" t="s">
        <v>503</v>
      </c>
      <c r="EQ66" s="108" t="s">
        <v>502</v>
      </c>
      <c r="ER66" s="108" t="s">
        <v>502</v>
      </c>
      <c r="ES66" s="108" t="s">
        <v>502</v>
      </c>
      <c r="ET66" s="108" t="s">
        <v>502</v>
      </c>
      <c r="EU66" s="108" t="s">
        <v>502</v>
      </c>
      <c r="EV66" s="108" t="s">
        <v>502</v>
      </c>
      <c r="EW66" s="175">
        <v>9100</v>
      </c>
      <c r="EX66" s="176">
        <f>+EW66*8%</f>
        <v>728</v>
      </c>
      <c r="EY66" s="71">
        <f>+EW66+EX66</f>
        <v>9828</v>
      </c>
      <c r="EZ66" s="71">
        <v>9100</v>
      </c>
      <c r="FA66" s="71">
        <f t="shared" ref="FA66:FA74" si="27">+EZ66*8%</f>
        <v>728</v>
      </c>
      <c r="FB66" s="71">
        <f t="shared" si="26"/>
        <v>9828</v>
      </c>
      <c r="FC66" s="108" t="s">
        <v>502</v>
      </c>
      <c r="FD66" s="108" t="s">
        <v>502</v>
      </c>
      <c r="FE66" s="108" t="s">
        <v>502</v>
      </c>
      <c r="FF66" s="108" t="s">
        <v>503</v>
      </c>
      <c r="FG66" s="108" t="s">
        <v>503</v>
      </c>
      <c r="FH66" s="108" t="s">
        <v>503</v>
      </c>
      <c r="FI66" s="108" t="s">
        <v>503</v>
      </c>
      <c r="FJ66" s="108" t="s">
        <v>503</v>
      </c>
      <c r="FK66" s="108" t="s">
        <v>503</v>
      </c>
      <c r="FL66" s="108" t="s">
        <v>503</v>
      </c>
      <c r="FM66" s="108" t="s">
        <v>503</v>
      </c>
      <c r="FN66" s="108" t="s">
        <v>503</v>
      </c>
      <c r="FO66" s="108" t="s">
        <v>502</v>
      </c>
      <c r="FP66" s="108" t="s">
        <v>502</v>
      </c>
      <c r="FQ66" s="108" t="s">
        <v>502</v>
      </c>
      <c r="FR66" s="108" t="s">
        <v>502</v>
      </c>
      <c r="FS66" s="108" t="s">
        <v>502</v>
      </c>
      <c r="FT66" s="108" t="s">
        <v>502</v>
      </c>
      <c r="FU66" s="108" t="s">
        <v>502</v>
      </c>
      <c r="FV66" s="108" t="s">
        <v>502</v>
      </c>
      <c r="FW66" s="108" t="s">
        <v>502</v>
      </c>
      <c r="FX66" s="108" t="s">
        <v>503</v>
      </c>
      <c r="FY66" s="108" t="s">
        <v>503</v>
      </c>
      <c r="FZ66" s="108" t="s">
        <v>503</v>
      </c>
      <c r="GA66" s="108" t="s">
        <v>503</v>
      </c>
      <c r="GB66" s="108" t="s">
        <v>503</v>
      </c>
      <c r="GC66" s="108" t="s">
        <v>503</v>
      </c>
      <c r="GD66" s="108" t="s">
        <v>503</v>
      </c>
      <c r="GE66" s="108" t="s">
        <v>503</v>
      </c>
      <c r="GF66" s="108" t="s">
        <v>503</v>
      </c>
      <c r="GG66" s="108" t="s">
        <v>669</v>
      </c>
      <c r="GH66" s="108" t="s">
        <v>669</v>
      </c>
      <c r="GI66" s="108" t="s">
        <v>669</v>
      </c>
      <c r="GJ66" s="108" t="s">
        <v>669</v>
      </c>
      <c r="GK66" s="108" t="s">
        <v>669</v>
      </c>
      <c r="GL66" s="108" t="s">
        <v>669</v>
      </c>
      <c r="GM66" s="108" t="s">
        <v>502</v>
      </c>
      <c r="GN66" s="108" t="s">
        <v>502</v>
      </c>
      <c r="GO66" s="108" t="s">
        <v>502</v>
      </c>
      <c r="GP66" s="108" t="s">
        <v>664</v>
      </c>
      <c r="GQ66" s="108" t="s">
        <v>664</v>
      </c>
      <c r="GR66" s="108" t="s">
        <v>664</v>
      </c>
      <c r="GS66" s="47">
        <f>8500/1.19</f>
        <v>7142.8571428571431</v>
      </c>
      <c r="GT66" s="47">
        <f t="shared" si="23"/>
        <v>1357.1428571428571</v>
      </c>
      <c r="GU66" s="69">
        <f t="shared" si="24"/>
        <v>8500</v>
      </c>
      <c r="GV66" s="108" t="s">
        <v>502</v>
      </c>
      <c r="GW66" s="108" t="s">
        <v>502</v>
      </c>
      <c r="GX66" s="108" t="s">
        <v>502</v>
      </c>
      <c r="GY66" s="108" t="s">
        <v>664</v>
      </c>
      <c r="GZ66" s="108" t="s">
        <v>664</v>
      </c>
      <c r="HA66" s="108" t="s">
        <v>664</v>
      </c>
      <c r="HB66" s="108" t="s">
        <v>664</v>
      </c>
      <c r="HC66" s="108" t="s">
        <v>664</v>
      </c>
      <c r="HD66" s="108" t="s">
        <v>664</v>
      </c>
      <c r="HE66" s="108" t="s">
        <v>664</v>
      </c>
      <c r="HF66" s="108" t="s">
        <v>664</v>
      </c>
      <c r="HG66" s="108" t="s">
        <v>664</v>
      </c>
      <c r="HH66" s="108" t="s">
        <v>664</v>
      </c>
      <c r="HI66" s="108" t="s">
        <v>664</v>
      </c>
      <c r="HJ66" s="108" t="s">
        <v>664</v>
      </c>
      <c r="HK66" s="108" t="s">
        <v>664</v>
      </c>
      <c r="HL66" s="108" t="s">
        <v>664</v>
      </c>
      <c r="HM66" s="108" t="s">
        <v>664</v>
      </c>
      <c r="HN66" s="108" t="s">
        <v>664</v>
      </c>
      <c r="HO66" s="108" t="s">
        <v>664</v>
      </c>
      <c r="HP66" s="108" t="s">
        <v>664</v>
      </c>
      <c r="HQ66" s="108" t="s">
        <v>503</v>
      </c>
      <c r="HR66" s="108" t="s">
        <v>503</v>
      </c>
      <c r="HS66" s="108" t="s">
        <v>503</v>
      </c>
      <c r="HT66" s="108" t="s">
        <v>502</v>
      </c>
      <c r="HU66" s="108" t="s">
        <v>502</v>
      </c>
      <c r="HV66" s="108" t="s">
        <v>502</v>
      </c>
      <c r="HW66" s="108" t="s">
        <v>502</v>
      </c>
      <c r="HX66" s="108" t="s">
        <v>502</v>
      </c>
      <c r="HY66" s="108" t="s">
        <v>502</v>
      </c>
      <c r="HZ66" s="118" t="s">
        <v>502</v>
      </c>
      <c r="IA66" s="118" t="s">
        <v>502</v>
      </c>
      <c r="IB66" s="118" t="s">
        <v>502</v>
      </c>
      <c r="IC66" s="118" t="s">
        <v>502</v>
      </c>
      <c r="ID66" s="118" t="s">
        <v>502</v>
      </c>
      <c r="IE66" s="118" t="s">
        <v>502</v>
      </c>
      <c r="IF66" s="118" t="s">
        <v>502</v>
      </c>
      <c r="IG66" s="118" t="s">
        <v>502</v>
      </c>
      <c r="IH66" s="118" t="s">
        <v>502</v>
      </c>
      <c r="II66" s="118" t="s">
        <v>502</v>
      </c>
      <c r="IJ66" s="118" t="s">
        <v>502</v>
      </c>
      <c r="IK66" s="118" t="s">
        <v>502</v>
      </c>
      <c r="IL66" s="118" t="s">
        <v>502</v>
      </c>
      <c r="IM66" s="118" t="s">
        <v>502</v>
      </c>
      <c r="IN66" s="118" t="s">
        <v>502</v>
      </c>
      <c r="IO66" s="120" t="s">
        <v>503</v>
      </c>
      <c r="IP66" s="120" t="s">
        <v>503</v>
      </c>
      <c r="IQ66" s="120" t="s">
        <v>503</v>
      </c>
      <c r="IR66" s="118" t="s">
        <v>669</v>
      </c>
      <c r="IS66" s="118" t="s">
        <v>669</v>
      </c>
      <c r="IT66" s="118" t="s">
        <v>669</v>
      </c>
      <c r="IU66" s="120" t="s">
        <v>503</v>
      </c>
      <c r="IV66" s="120" t="s">
        <v>503</v>
      </c>
      <c r="IW66" s="120" t="s">
        <v>503</v>
      </c>
      <c r="IX66" s="120" t="s">
        <v>503</v>
      </c>
      <c r="IY66" s="120" t="s">
        <v>503</v>
      </c>
      <c r="IZ66" s="120" t="s">
        <v>503</v>
      </c>
      <c r="JA66" s="120" t="s">
        <v>503</v>
      </c>
      <c r="JB66" s="120" t="s">
        <v>503</v>
      </c>
      <c r="JC66" s="120" t="s">
        <v>503</v>
      </c>
      <c r="JD66" s="120" t="s">
        <v>664</v>
      </c>
      <c r="JE66" s="120" t="s">
        <v>664</v>
      </c>
      <c r="JF66" s="120" t="s">
        <v>664</v>
      </c>
      <c r="JG66" s="118" t="s">
        <v>502</v>
      </c>
      <c r="JH66" s="118" t="s">
        <v>502</v>
      </c>
      <c r="JI66" s="118" t="s">
        <v>502</v>
      </c>
      <c r="JJ66" s="118" t="s">
        <v>502</v>
      </c>
      <c r="JK66" s="118" t="s">
        <v>502</v>
      </c>
      <c r="JL66" s="118" t="s">
        <v>502</v>
      </c>
      <c r="JM66" s="118" t="s">
        <v>502</v>
      </c>
      <c r="JN66" s="118" t="s">
        <v>502</v>
      </c>
      <c r="JO66" s="118" t="s">
        <v>502</v>
      </c>
      <c r="JP66" s="110">
        <v>6450</v>
      </c>
      <c r="JQ66" s="111">
        <v>7706.2886879999996</v>
      </c>
      <c r="JR66" s="112">
        <f t="shared" si="0"/>
        <v>4</v>
      </c>
      <c r="JS66" s="113">
        <f t="shared" si="1"/>
        <v>9469</v>
      </c>
      <c r="JT66" s="114">
        <f t="shared" si="2"/>
        <v>9500</v>
      </c>
      <c r="JU66" s="177"/>
    </row>
    <row r="67" spans="1:281" ht="101.25" customHeight="1" x14ac:dyDescent="0.2">
      <c r="A67" s="98">
        <v>165</v>
      </c>
      <c r="B67" s="99">
        <v>165</v>
      </c>
      <c r="C67" s="39" t="s">
        <v>12</v>
      </c>
      <c r="D67" s="100" t="s">
        <v>263</v>
      </c>
      <c r="E67" s="39">
        <v>90101600</v>
      </c>
      <c r="F67" s="129" t="s">
        <v>272</v>
      </c>
      <c r="G67" s="102" t="s">
        <v>86</v>
      </c>
      <c r="H67" s="103" t="s">
        <v>501</v>
      </c>
      <c r="I67" s="108" t="s">
        <v>503</v>
      </c>
      <c r="J67" s="108" t="s">
        <v>503</v>
      </c>
      <c r="K67" s="108" t="s">
        <v>503</v>
      </c>
      <c r="L67" s="118" t="s">
        <v>502</v>
      </c>
      <c r="M67" s="118" t="s">
        <v>502</v>
      </c>
      <c r="N67" s="118" t="s">
        <v>502</v>
      </c>
      <c r="O67" s="108" t="s">
        <v>503</v>
      </c>
      <c r="P67" s="108" t="s">
        <v>503</v>
      </c>
      <c r="Q67" s="108" t="s">
        <v>503</v>
      </c>
      <c r="R67" s="108" t="s">
        <v>503</v>
      </c>
      <c r="S67" s="108" t="s">
        <v>503</v>
      </c>
      <c r="T67" s="108" t="s">
        <v>503</v>
      </c>
      <c r="U67" s="118" t="s">
        <v>502</v>
      </c>
      <c r="V67" s="118" t="s">
        <v>502</v>
      </c>
      <c r="W67" s="118" t="s">
        <v>502</v>
      </c>
      <c r="X67" s="108" t="s">
        <v>503</v>
      </c>
      <c r="Y67" s="108" t="s">
        <v>503</v>
      </c>
      <c r="Z67" s="108" t="s">
        <v>503</v>
      </c>
      <c r="AA67" s="108" t="s">
        <v>503</v>
      </c>
      <c r="AB67" s="108" t="s">
        <v>503</v>
      </c>
      <c r="AC67" s="108" t="s">
        <v>503</v>
      </c>
      <c r="AD67" s="108" t="s">
        <v>503</v>
      </c>
      <c r="AE67" s="108" t="s">
        <v>503</v>
      </c>
      <c r="AF67" s="108" t="s">
        <v>503</v>
      </c>
      <c r="AG67" s="108" t="s">
        <v>503</v>
      </c>
      <c r="AH67" s="108" t="s">
        <v>503</v>
      </c>
      <c r="AI67" s="108" t="s">
        <v>503</v>
      </c>
      <c r="AJ67" s="108" t="s">
        <v>503</v>
      </c>
      <c r="AK67" s="108" t="s">
        <v>503</v>
      </c>
      <c r="AL67" s="108" t="s">
        <v>503</v>
      </c>
      <c r="AM67" s="108" t="s">
        <v>503</v>
      </c>
      <c r="AN67" s="108" t="s">
        <v>503</v>
      </c>
      <c r="AO67" s="108" t="s">
        <v>503</v>
      </c>
      <c r="AP67" s="108" t="s">
        <v>503</v>
      </c>
      <c r="AQ67" s="108" t="s">
        <v>503</v>
      </c>
      <c r="AR67" s="108" t="s">
        <v>503</v>
      </c>
      <c r="AS67" s="108" t="s">
        <v>503</v>
      </c>
      <c r="AT67" s="108" t="s">
        <v>503</v>
      </c>
      <c r="AU67" s="108" t="s">
        <v>503</v>
      </c>
      <c r="AV67" s="108" t="s">
        <v>503</v>
      </c>
      <c r="AW67" s="108" t="s">
        <v>503</v>
      </c>
      <c r="AX67" s="108" t="s">
        <v>503</v>
      </c>
      <c r="AY67" s="108" t="s">
        <v>503</v>
      </c>
      <c r="AZ67" s="108" t="s">
        <v>503</v>
      </c>
      <c r="BA67" s="108" t="s">
        <v>503</v>
      </c>
      <c r="BB67" s="108" t="s">
        <v>503</v>
      </c>
      <c r="BC67" s="108" t="s">
        <v>503</v>
      </c>
      <c r="BD67" s="108" t="s">
        <v>503</v>
      </c>
      <c r="BE67" s="108" t="s">
        <v>503</v>
      </c>
      <c r="BF67" s="108" t="s">
        <v>503</v>
      </c>
      <c r="BG67" s="108" t="s">
        <v>503</v>
      </c>
      <c r="BH67" s="108" t="s">
        <v>503</v>
      </c>
      <c r="BI67" s="108" t="s">
        <v>503</v>
      </c>
      <c r="BJ67" s="108" t="s">
        <v>503</v>
      </c>
      <c r="BK67" s="108" t="s">
        <v>503</v>
      </c>
      <c r="BL67" s="108" t="s">
        <v>503</v>
      </c>
      <c r="BM67" s="108" t="s">
        <v>503</v>
      </c>
      <c r="BN67" s="108" t="s">
        <v>503</v>
      </c>
      <c r="BO67" s="108" t="s">
        <v>503</v>
      </c>
      <c r="BP67" s="108" t="s">
        <v>503</v>
      </c>
      <c r="BQ67" s="108" t="s">
        <v>503</v>
      </c>
      <c r="BR67" s="108" t="s">
        <v>503</v>
      </c>
      <c r="BS67" s="108" t="s">
        <v>503</v>
      </c>
      <c r="BT67" s="108" t="s">
        <v>503</v>
      </c>
      <c r="BU67" s="108" t="s">
        <v>503</v>
      </c>
      <c r="BV67" s="108" t="s">
        <v>503</v>
      </c>
      <c r="BW67" s="108" t="s">
        <v>503</v>
      </c>
      <c r="BX67" s="108" t="s">
        <v>503</v>
      </c>
      <c r="BY67" s="108" t="s">
        <v>503</v>
      </c>
      <c r="BZ67" s="108" t="s">
        <v>503</v>
      </c>
      <c r="CA67" s="108" t="s">
        <v>503</v>
      </c>
      <c r="CB67" s="108" t="s">
        <v>503</v>
      </c>
      <c r="CC67" s="108" t="s">
        <v>503</v>
      </c>
      <c r="CD67" s="108" t="s">
        <v>503</v>
      </c>
      <c r="CE67" s="108" t="s">
        <v>503</v>
      </c>
      <c r="CF67" s="108" t="s">
        <v>503</v>
      </c>
      <c r="CG67" s="108" t="s">
        <v>503</v>
      </c>
      <c r="CH67" s="108" t="s">
        <v>503</v>
      </c>
      <c r="CI67" s="108" t="s">
        <v>503</v>
      </c>
      <c r="CJ67" s="108" t="s">
        <v>503</v>
      </c>
      <c r="CK67" s="108" t="s">
        <v>503</v>
      </c>
      <c r="CL67" s="108" t="s">
        <v>503</v>
      </c>
      <c r="CM67" s="108" t="s">
        <v>503</v>
      </c>
      <c r="CN67" s="108" t="s">
        <v>503</v>
      </c>
      <c r="CO67" s="108" t="s">
        <v>503</v>
      </c>
      <c r="CP67" s="108" t="s">
        <v>503</v>
      </c>
      <c r="CQ67" s="108" t="s">
        <v>503</v>
      </c>
      <c r="CR67" s="108" t="s">
        <v>503</v>
      </c>
      <c r="CS67" s="108" t="s">
        <v>503</v>
      </c>
      <c r="CT67" s="108" t="s">
        <v>503</v>
      </c>
      <c r="CU67" s="108" t="s">
        <v>503</v>
      </c>
      <c r="CV67" s="108" t="s">
        <v>503</v>
      </c>
      <c r="CW67" s="108" t="s">
        <v>503</v>
      </c>
      <c r="CX67" s="108" t="s">
        <v>503</v>
      </c>
      <c r="CY67" s="108" t="s">
        <v>503</v>
      </c>
      <c r="CZ67" s="108" t="s">
        <v>503</v>
      </c>
      <c r="DA67" s="108" t="s">
        <v>503</v>
      </c>
      <c r="DB67" s="108" t="s">
        <v>503</v>
      </c>
      <c r="DC67" s="108" t="s">
        <v>503</v>
      </c>
      <c r="DD67" s="108" t="s">
        <v>503</v>
      </c>
      <c r="DE67" s="108" t="s">
        <v>503</v>
      </c>
      <c r="DF67" s="108" t="s">
        <v>503</v>
      </c>
      <c r="DG67" s="108" t="s">
        <v>503</v>
      </c>
      <c r="DH67" s="108" t="s">
        <v>503</v>
      </c>
      <c r="DI67" s="108" t="s">
        <v>503</v>
      </c>
      <c r="DJ67" s="108" t="s">
        <v>503</v>
      </c>
      <c r="DK67" s="108" t="s">
        <v>503</v>
      </c>
      <c r="DL67" s="108" t="s">
        <v>503</v>
      </c>
      <c r="DM67" s="108" t="s">
        <v>503</v>
      </c>
      <c r="DN67" s="108" t="s">
        <v>503</v>
      </c>
      <c r="DO67" s="108" t="s">
        <v>503</v>
      </c>
      <c r="DP67" s="108" t="s">
        <v>669</v>
      </c>
      <c r="DQ67" s="108" t="s">
        <v>669</v>
      </c>
      <c r="DR67" s="108" t="s">
        <v>669</v>
      </c>
      <c r="DS67" s="108" t="s">
        <v>669</v>
      </c>
      <c r="DT67" s="108" t="s">
        <v>669</v>
      </c>
      <c r="DU67" s="108" t="s">
        <v>669</v>
      </c>
      <c r="DV67" s="108" t="s">
        <v>503</v>
      </c>
      <c r="DW67" s="108" t="s">
        <v>503</v>
      </c>
      <c r="DX67" s="108" t="s">
        <v>503</v>
      </c>
      <c r="DY67" s="108" t="s">
        <v>503</v>
      </c>
      <c r="DZ67" s="108" t="s">
        <v>503</v>
      </c>
      <c r="EA67" s="108" t="s">
        <v>503</v>
      </c>
      <c r="EB67" s="108" t="s">
        <v>503</v>
      </c>
      <c r="EC67" s="108" t="s">
        <v>503</v>
      </c>
      <c r="ED67" s="108" t="s">
        <v>503</v>
      </c>
      <c r="EE67" s="108" t="s">
        <v>503</v>
      </c>
      <c r="EF67" s="108" t="s">
        <v>503</v>
      </c>
      <c r="EG67" s="108" t="s">
        <v>503</v>
      </c>
      <c r="EH67" s="108" t="s">
        <v>503</v>
      </c>
      <c r="EI67" s="108" t="s">
        <v>503</v>
      </c>
      <c r="EJ67" s="108" t="s">
        <v>503</v>
      </c>
      <c r="EK67" s="108" t="s">
        <v>503</v>
      </c>
      <c r="EL67" s="108" t="s">
        <v>503</v>
      </c>
      <c r="EM67" s="108" t="s">
        <v>503</v>
      </c>
      <c r="EN67" s="108" t="s">
        <v>503</v>
      </c>
      <c r="EO67" s="108" t="s">
        <v>503</v>
      </c>
      <c r="EP67" s="108" t="s">
        <v>503</v>
      </c>
      <c r="EQ67" s="108" t="s">
        <v>502</v>
      </c>
      <c r="ER67" s="108" t="s">
        <v>502</v>
      </c>
      <c r="ES67" s="108" t="s">
        <v>502</v>
      </c>
      <c r="ET67" s="108" t="s">
        <v>502</v>
      </c>
      <c r="EU67" s="108" t="s">
        <v>502</v>
      </c>
      <c r="EV67" s="108" t="s">
        <v>502</v>
      </c>
      <c r="EW67" s="175">
        <v>11800</v>
      </c>
      <c r="EX67" s="176">
        <f t="shared" ref="EX67:EX78" si="28">+EW67*8%</f>
        <v>944</v>
      </c>
      <c r="EY67" s="71">
        <f t="shared" ref="EY67:EY78" si="29">+EW67+EX67</f>
        <v>12744</v>
      </c>
      <c r="EZ67" s="71">
        <v>11800</v>
      </c>
      <c r="FA67" s="71">
        <f t="shared" si="27"/>
        <v>944</v>
      </c>
      <c r="FB67" s="71">
        <f t="shared" si="26"/>
        <v>12744</v>
      </c>
      <c r="FC67" s="108" t="s">
        <v>502</v>
      </c>
      <c r="FD67" s="108" t="s">
        <v>502</v>
      </c>
      <c r="FE67" s="108" t="s">
        <v>502</v>
      </c>
      <c r="FF67" s="108" t="s">
        <v>503</v>
      </c>
      <c r="FG67" s="108" t="s">
        <v>503</v>
      </c>
      <c r="FH67" s="108" t="s">
        <v>503</v>
      </c>
      <c r="FI67" s="108" t="s">
        <v>503</v>
      </c>
      <c r="FJ67" s="108" t="s">
        <v>503</v>
      </c>
      <c r="FK67" s="108" t="s">
        <v>503</v>
      </c>
      <c r="FL67" s="108" t="s">
        <v>503</v>
      </c>
      <c r="FM67" s="108" t="s">
        <v>503</v>
      </c>
      <c r="FN67" s="108" t="s">
        <v>503</v>
      </c>
      <c r="FO67" s="108" t="s">
        <v>502</v>
      </c>
      <c r="FP67" s="108" t="s">
        <v>502</v>
      </c>
      <c r="FQ67" s="108" t="s">
        <v>502</v>
      </c>
      <c r="FR67" s="108" t="s">
        <v>502</v>
      </c>
      <c r="FS67" s="108" t="s">
        <v>502</v>
      </c>
      <c r="FT67" s="108" t="s">
        <v>502</v>
      </c>
      <c r="FU67" s="108" t="s">
        <v>502</v>
      </c>
      <c r="FV67" s="108" t="s">
        <v>502</v>
      </c>
      <c r="FW67" s="108" t="s">
        <v>502</v>
      </c>
      <c r="FX67" s="108" t="s">
        <v>503</v>
      </c>
      <c r="FY67" s="108" t="s">
        <v>503</v>
      </c>
      <c r="FZ67" s="108" t="s">
        <v>503</v>
      </c>
      <c r="GA67" s="108" t="s">
        <v>503</v>
      </c>
      <c r="GB67" s="108" t="s">
        <v>503</v>
      </c>
      <c r="GC67" s="108" t="s">
        <v>503</v>
      </c>
      <c r="GD67" s="108" t="s">
        <v>503</v>
      </c>
      <c r="GE67" s="108" t="s">
        <v>503</v>
      </c>
      <c r="GF67" s="108" t="s">
        <v>503</v>
      </c>
      <c r="GG67" s="108" t="s">
        <v>669</v>
      </c>
      <c r="GH67" s="108" t="s">
        <v>669</v>
      </c>
      <c r="GI67" s="108" t="s">
        <v>669</v>
      </c>
      <c r="GJ67" s="108" t="s">
        <v>669</v>
      </c>
      <c r="GK67" s="108" t="s">
        <v>669</v>
      </c>
      <c r="GL67" s="108" t="s">
        <v>669</v>
      </c>
      <c r="GM67" s="108" t="s">
        <v>502</v>
      </c>
      <c r="GN67" s="108" t="s">
        <v>502</v>
      </c>
      <c r="GO67" s="108" t="s">
        <v>502</v>
      </c>
      <c r="GP67" s="108" t="s">
        <v>664</v>
      </c>
      <c r="GQ67" s="108" t="s">
        <v>664</v>
      </c>
      <c r="GR67" s="108" t="s">
        <v>664</v>
      </c>
      <c r="GS67" s="47">
        <f>12000/1.08</f>
        <v>11111.111111111109</v>
      </c>
      <c r="GT67" s="47">
        <f>+GS67*8%</f>
        <v>888.8888888888888</v>
      </c>
      <c r="GU67" s="69">
        <f t="shared" si="24"/>
        <v>11999.999999999998</v>
      </c>
      <c r="GV67" s="108" t="s">
        <v>502</v>
      </c>
      <c r="GW67" s="108" t="s">
        <v>502</v>
      </c>
      <c r="GX67" s="108" t="s">
        <v>502</v>
      </c>
      <c r="GY67" s="108" t="s">
        <v>664</v>
      </c>
      <c r="GZ67" s="108" t="s">
        <v>664</v>
      </c>
      <c r="HA67" s="108" t="s">
        <v>664</v>
      </c>
      <c r="HB67" s="108" t="s">
        <v>664</v>
      </c>
      <c r="HC67" s="108" t="s">
        <v>664</v>
      </c>
      <c r="HD67" s="108" t="s">
        <v>664</v>
      </c>
      <c r="HE67" s="108" t="s">
        <v>664</v>
      </c>
      <c r="HF67" s="108" t="s">
        <v>664</v>
      </c>
      <c r="HG67" s="108" t="s">
        <v>664</v>
      </c>
      <c r="HH67" s="108" t="s">
        <v>664</v>
      </c>
      <c r="HI67" s="108" t="s">
        <v>664</v>
      </c>
      <c r="HJ67" s="108" t="s">
        <v>664</v>
      </c>
      <c r="HK67" s="108" t="s">
        <v>664</v>
      </c>
      <c r="HL67" s="108" t="s">
        <v>664</v>
      </c>
      <c r="HM67" s="108" t="s">
        <v>664</v>
      </c>
      <c r="HN67" s="108" t="s">
        <v>664</v>
      </c>
      <c r="HO67" s="108" t="s">
        <v>664</v>
      </c>
      <c r="HP67" s="108" t="s">
        <v>664</v>
      </c>
      <c r="HQ67" s="108" t="s">
        <v>503</v>
      </c>
      <c r="HR67" s="108" t="s">
        <v>503</v>
      </c>
      <c r="HS67" s="108" t="s">
        <v>503</v>
      </c>
      <c r="HT67" s="108" t="s">
        <v>502</v>
      </c>
      <c r="HU67" s="108" t="s">
        <v>502</v>
      </c>
      <c r="HV67" s="108" t="s">
        <v>502</v>
      </c>
      <c r="HW67" s="108" t="s">
        <v>502</v>
      </c>
      <c r="HX67" s="108" t="s">
        <v>502</v>
      </c>
      <c r="HY67" s="108" t="s">
        <v>502</v>
      </c>
      <c r="HZ67" s="118" t="s">
        <v>502</v>
      </c>
      <c r="IA67" s="118" t="s">
        <v>502</v>
      </c>
      <c r="IB67" s="118" t="s">
        <v>502</v>
      </c>
      <c r="IC67" s="118" t="s">
        <v>502</v>
      </c>
      <c r="ID67" s="118" t="s">
        <v>502</v>
      </c>
      <c r="IE67" s="118" t="s">
        <v>502</v>
      </c>
      <c r="IF67" s="118" t="s">
        <v>502</v>
      </c>
      <c r="IG67" s="118" t="s">
        <v>502</v>
      </c>
      <c r="IH67" s="118" t="s">
        <v>502</v>
      </c>
      <c r="II67" s="118" t="s">
        <v>502</v>
      </c>
      <c r="IJ67" s="118" t="s">
        <v>502</v>
      </c>
      <c r="IK67" s="118" t="s">
        <v>502</v>
      </c>
      <c r="IL67" s="118" t="s">
        <v>502</v>
      </c>
      <c r="IM67" s="118" t="s">
        <v>502</v>
      </c>
      <c r="IN67" s="118" t="s">
        <v>502</v>
      </c>
      <c r="IO67" s="120" t="s">
        <v>503</v>
      </c>
      <c r="IP67" s="120" t="s">
        <v>503</v>
      </c>
      <c r="IQ67" s="120" t="s">
        <v>503</v>
      </c>
      <c r="IR67" s="118" t="s">
        <v>669</v>
      </c>
      <c r="IS67" s="118" t="s">
        <v>669</v>
      </c>
      <c r="IT67" s="118" t="s">
        <v>669</v>
      </c>
      <c r="IU67" s="120" t="s">
        <v>503</v>
      </c>
      <c r="IV67" s="120" t="s">
        <v>503</v>
      </c>
      <c r="IW67" s="120" t="s">
        <v>503</v>
      </c>
      <c r="IX67" s="120" t="s">
        <v>503</v>
      </c>
      <c r="IY67" s="120" t="s">
        <v>503</v>
      </c>
      <c r="IZ67" s="120" t="s">
        <v>503</v>
      </c>
      <c r="JA67" s="120" t="s">
        <v>503</v>
      </c>
      <c r="JB67" s="120" t="s">
        <v>503</v>
      </c>
      <c r="JC67" s="120" t="s">
        <v>503</v>
      </c>
      <c r="JD67" s="120" t="s">
        <v>664</v>
      </c>
      <c r="JE67" s="120" t="s">
        <v>664</v>
      </c>
      <c r="JF67" s="120" t="s">
        <v>664</v>
      </c>
      <c r="JG67" s="118" t="s">
        <v>502</v>
      </c>
      <c r="JH67" s="118" t="s">
        <v>502</v>
      </c>
      <c r="JI67" s="118" t="s">
        <v>502</v>
      </c>
      <c r="JJ67" s="118" t="s">
        <v>502</v>
      </c>
      <c r="JK67" s="118" t="s">
        <v>502</v>
      </c>
      <c r="JL67" s="118" t="s">
        <v>502</v>
      </c>
      <c r="JM67" s="118" t="s">
        <v>502</v>
      </c>
      <c r="JN67" s="118" t="s">
        <v>502</v>
      </c>
      <c r="JO67" s="118" t="s">
        <v>502</v>
      </c>
      <c r="JP67" s="110">
        <v>6350</v>
      </c>
      <c r="JQ67" s="111">
        <v>7586.8113439999997</v>
      </c>
      <c r="JR67" s="112">
        <f t="shared" si="0"/>
        <v>3</v>
      </c>
      <c r="JS67" s="113">
        <f t="shared" si="1"/>
        <v>12496</v>
      </c>
      <c r="JT67" s="114">
        <f t="shared" si="2"/>
        <v>12500</v>
      </c>
      <c r="JU67" s="177"/>
    </row>
    <row r="68" spans="1:281" ht="101.25" customHeight="1" x14ac:dyDescent="0.2">
      <c r="A68" s="98">
        <v>166</v>
      </c>
      <c r="B68" s="99">
        <v>166</v>
      </c>
      <c r="C68" s="39" t="s">
        <v>12</v>
      </c>
      <c r="D68" s="100" t="s">
        <v>264</v>
      </c>
      <c r="E68" s="39">
        <v>90101600</v>
      </c>
      <c r="F68" s="129" t="s">
        <v>273</v>
      </c>
      <c r="G68" s="102" t="s">
        <v>86</v>
      </c>
      <c r="H68" s="103" t="s">
        <v>501</v>
      </c>
      <c r="I68" s="108" t="s">
        <v>503</v>
      </c>
      <c r="J68" s="108" t="s">
        <v>503</v>
      </c>
      <c r="K68" s="108" t="s">
        <v>503</v>
      </c>
      <c r="L68" s="118" t="s">
        <v>502</v>
      </c>
      <c r="M68" s="118" t="s">
        <v>502</v>
      </c>
      <c r="N68" s="118" t="s">
        <v>502</v>
      </c>
      <c r="O68" s="108" t="s">
        <v>503</v>
      </c>
      <c r="P68" s="108" t="s">
        <v>503</v>
      </c>
      <c r="Q68" s="108" t="s">
        <v>503</v>
      </c>
      <c r="R68" s="108" t="s">
        <v>503</v>
      </c>
      <c r="S68" s="108" t="s">
        <v>503</v>
      </c>
      <c r="T68" s="108" t="s">
        <v>503</v>
      </c>
      <c r="U68" s="118" t="s">
        <v>502</v>
      </c>
      <c r="V68" s="118" t="s">
        <v>502</v>
      </c>
      <c r="W68" s="118" t="s">
        <v>502</v>
      </c>
      <c r="X68" s="108" t="s">
        <v>503</v>
      </c>
      <c r="Y68" s="108" t="s">
        <v>503</v>
      </c>
      <c r="Z68" s="108" t="s">
        <v>503</v>
      </c>
      <c r="AA68" s="108" t="s">
        <v>503</v>
      </c>
      <c r="AB68" s="108" t="s">
        <v>503</v>
      </c>
      <c r="AC68" s="108" t="s">
        <v>503</v>
      </c>
      <c r="AD68" s="108" t="s">
        <v>503</v>
      </c>
      <c r="AE68" s="108" t="s">
        <v>503</v>
      </c>
      <c r="AF68" s="108" t="s">
        <v>503</v>
      </c>
      <c r="AG68" s="108" t="s">
        <v>503</v>
      </c>
      <c r="AH68" s="108" t="s">
        <v>503</v>
      </c>
      <c r="AI68" s="108" t="s">
        <v>503</v>
      </c>
      <c r="AJ68" s="108" t="s">
        <v>503</v>
      </c>
      <c r="AK68" s="108" t="s">
        <v>503</v>
      </c>
      <c r="AL68" s="108" t="s">
        <v>503</v>
      </c>
      <c r="AM68" s="108" t="s">
        <v>503</v>
      </c>
      <c r="AN68" s="108" t="s">
        <v>503</v>
      </c>
      <c r="AO68" s="108" t="s">
        <v>503</v>
      </c>
      <c r="AP68" s="108" t="s">
        <v>503</v>
      </c>
      <c r="AQ68" s="108" t="s">
        <v>503</v>
      </c>
      <c r="AR68" s="108" t="s">
        <v>503</v>
      </c>
      <c r="AS68" s="108" t="s">
        <v>503</v>
      </c>
      <c r="AT68" s="108" t="s">
        <v>503</v>
      </c>
      <c r="AU68" s="108" t="s">
        <v>503</v>
      </c>
      <c r="AV68" s="108" t="s">
        <v>503</v>
      </c>
      <c r="AW68" s="108" t="s">
        <v>503</v>
      </c>
      <c r="AX68" s="108" t="s">
        <v>503</v>
      </c>
      <c r="AY68" s="108" t="s">
        <v>503</v>
      </c>
      <c r="AZ68" s="108" t="s">
        <v>503</v>
      </c>
      <c r="BA68" s="108" t="s">
        <v>503</v>
      </c>
      <c r="BB68" s="108" t="s">
        <v>503</v>
      </c>
      <c r="BC68" s="108" t="s">
        <v>503</v>
      </c>
      <c r="BD68" s="108" t="s">
        <v>503</v>
      </c>
      <c r="BE68" s="108" t="s">
        <v>503</v>
      </c>
      <c r="BF68" s="108" t="s">
        <v>503</v>
      </c>
      <c r="BG68" s="108" t="s">
        <v>503</v>
      </c>
      <c r="BH68" s="108" t="s">
        <v>503</v>
      </c>
      <c r="BI68" s="108" t="s">
        <v>503</v>
      </c>
      <c r="BJ68" s="108" t="s">
        <v>503</v>
      </c>
      <c r="BK68" s="108" t="s">
        <v>503</v>
      </c>
      <c r="BL68" s="108" t="s">
        <v>503</v>
      </c>
      <c r="BM68" s="108" t="s">
        <v>503</v>
      </c>
      <c r="BN68" s="108" t="s">
        <v>503</v>
      </c>
      <c r="BO68" s="108" t="s">
        <v>503</v>
      </c>
      <c r="BP68" s="108" t="s">
        <v>503</v>
      </c>
      <c r="BQ68" s="108" t="s">
        <v>503</v>
      </c>
      <c r="BR68" s="108" t="s">
        <v>503</v>
      </c>
      <c r="BS68" s="108" t="s">
        <v>503</v>
      </c>
      <c r="BT68" s="108" t="s">
        <v>503</v>
      </c>
      <c r="BU68" s="108" t="s">
        <v>503</v>
      </c>
      <c r="BV68" s="108" t="s">
        <v>503</v>
      </c>
      <c r="BW68" s="108" t="s">
        <v>503</v>
      </c>
      <c r="BX68" s="108" t="s">
        <v>503</v>
      </c>
      <c r="BY68" s="108" t="s">
        <v>503</v>
      </c>
      <c r="BZ68" s="108" t="s">
        <v>503</v>
      </c>
      <c r="CA68" s="108" t="s">
        <v>503</v>
      </c>
      <c r="CB68" s="108" t="s">
        <v>503</v>
      </c>
      <c r="CC68" s="108" t="s">
        <v>503</v>
      </c>
      <c r="CD68" s="108" t="s">
        <v>503</v>
      </c>
      <c r="CE68" s="108" t="s">
        <v>503</v>
      </c>
      <c r="CF68" s="108" t="s">
        <v>503</v>
      </c>
      <c r="CG68" s="108" t="s">
        <v>503</v>
      </c>
      <c r="CH68" s="108" t="s">
        <v>503</v>
      </c>
      <c r="CI68" s="108" t="s">
        <v>503</v>
      </c>
      <c r="CJ68" s="108" t="s">
        <v>503</v>
      </c>
      <c r="CK68" s="108" t="s">
        <v>503</v>
      </c>
      <c r="CL68" s="108" t="s">
        <v>503</v>
      </c>
      <c r="CM68" s="108" t="s">
        <v>503</v>
      </c>
      <c r="CN68" s="108" t="s">
        <v>503</v>
      </c>
      <c r="CO68" s="108" t="s">
        <v>503</v>
      </c>
      <c r="CP68" s="108" t="s">
        <v>503</v>
      </c>
      <c r="CQ68" s="108" t="s">
        <v>503</v>
      </c>
      <c r="CR68" s="108" t="s">
        <v>503</v>
      </c>
      <c r="CS68" s="108" t="s">
        <v>503</v>
      </c>
      <c r="CT68" s="108" t="s">
        <v>503</v>
      </c>
      <c r="CU68" s="108" t="s">
        <v>503</v>
      </c>
      <c r="CV68" s="108" t="s">
        <v>503</v>
      </c>
      <c r="CW68" s="108" t="s">
        <v>503</v>
      </c>
      <c r="CX68" s="108" t="s">
        <v>503</v>
      </c>
      <c r="CY68" s="108" t="s">
        <v>503</v>
      </c>
      <c r="CZ68" s="108" t="s">
        <v>503</v>
      </c>
      <c r="DA68" s="108" t="s">
        <v>503</v>
      </c>
      <c r="DB68" s="108" t="s">
        <v>503</v>
      </c>
      <c r="DC68" s="108" t="s">
        <v>503</v>
      </c>
      <c r="DD68" s="108" t="s">
        <v>503</v>
      </c>
      <c r="DE68" s="108" t="s">
        <v>503</v>
      </c>
      <c r="DF68" s="108" t="s">
        <v>503</v>
      </c>
      <c r="DG68" s="108" t="s">
        <v>503</v>
      </c>
      <c r="DH68" s="108" t="s">
        <v>503</v>
      </c>
      <c r="DI68" s="108" t="s">
        <v>503</v>
      </c>
      <c r="DJ68" s="108" t="s">
        <v>503</v>
      </c>
      <c r="DK68" s="108" t="s">
        <v>503</v>
      </c>
      <c r="DL68" s="108" t="s">
        <v>503</v>
      </c>
      <c r="DM68" s="108" t="s">
        <v>503</v>
      </c>
      <c r="DN68" s="108" t="s">
        <v>503</v>
      </c>
      <c r="DO68" s="108" t="s">
        <v>503</v>
      </c>
      <c r="DP68" s="108" t="s">
        <v>669</v>
      </c>
      <c r="DQ68" s="108" t="s">
        <v>669</v>
      </c>
      <c r="DR68" s="108" t="s">
        <v>669</v>
      </c>
      <c r="DS68" s="108" t="s">
        <v>669</v>
      </c>
      <c r="DT68" s="108" t="s">
        <v>669</v>
      </c>
      <c r="DU68" s="108" t="s">
        <v>669</v>
      </c>
      <c r="DV68" s="108" t="s">
        <v>503</v>
      </c>
      <c r="DW68" s="108" t="s">
        <v>503</v>
      </c>
      <c r="DX68" s="108" t="s">
        <v>503</v>
      </c>
      <c r="DY68" s="108" t="s">
        <v>503</v>
      </c>
      <c r="DZ68" s="108" t="s">
        <v>503</v>
      </c>
      <c r="EA68" s="108" t="s">
        <v>503</v>
      </c>
      <c r="EB68" s="108" t="s">
        <v>503</v>
      </c>
      <c r="EC68" s="108" t="s">
        <v>503</v>
      </c>
      <c r="ED68" s="108" t="s">
        <v>503</v>
      </c>
      <c r="EE68" s="108" t="s">
        <v>503</v>
      </c>
      <c r="EF68" s="108" t="s">
        <v>503</v>
      </c>
      <c r="EG68" s="108" t="s">
        <v>503</v>
      </c>
      <c r="EH68" s="108" t="s">
        <v>503</v>
      </c>
      <c r="EI68" s="108" t="s">
        <v>503</v>
      </c>
      <c r="EJ68" s="108" t="s">
        <v>503</v>
      </c>
      <c r="EK68" s="108" t="s">
        <v>503</v>
      </c>
      <c r="EL68" s="108" t="s">
        <v>503</v>
      </c>
      <c r="EM68" s="108" t="s">
        <v>503</v>
      </c>
      <c r="EN68" s="108" t="s">
        <v>503</v>
      </c>
      <c r="EO68" s="108" t="s">
        <v>503</v>
      </c>
      <c r="EP68" s="108" t="s">
        <v>503</v>
      </c>
      <c r="EQ68" s="108" t="s">
        <v>502</v>
      </c>
      <c r="ER68" s="108" t="s">
        <v>502</v>
      </c>
      <c r="ES68" s="108" t="s">
        <v>502</v>
      </c>
      <c r="ET68" s="108" t="s">
        <v>502</v>
      </c>
      <c r="EU68" s="108" t="s">
        <v>502</v>
      </c>
      <c r="EV68" s="108" t="s">
        <v>502</v>
      </c>
      <c r="EW68" s="175">
        <v>13000</v>
      </c>
      <c r="EX68" s="176">
        <f t="shared" si="28"/>
        <v>1040</v>
      </c>
      <c r="EY68" s="71">
        <f t="shared" si="29"/>
        <v>14040</v>
      </c>
      <c r="EZ68" s="71">
        <v>13000</v>
      </c>
      <c r="FA68" s="71">
        <f t="shared" si="27"/>
        <v>1040</v>
      </c>
      <c r="FB68" s="71">
        <f t="shared" si="26"/>
        <v>14040</v>
      </c>
      <c r="FC68" s="108" t="s">
        <v>502</v>
      </c>
      <c r="FD68" s="108" t="s">
        <v>502</v>
      </c>
      <c r="FE68" s="108" t="s">
        <v>502</v>
      </c>
      <c r="FF68" s="108" t="s">
        <v>503</v>
      </c>
      <c r="FG68" s="108" t="s">
        <v>503</v>
      </c>
      <c r="FH68" s="108" t="s">
        <v>503</v>
      </c>
      <c r="FI68" s="108" t="s">
        <v>503</v>
      </c>
      <c r="FJ68" s="108" t="s">
        <v>503</v>
      </c>
      <c r="FK68" s="108" t="s">
        <v>503</v>
      </c>
      <c r="FL68" s="108" t="s">
        <v>503</v>
      </c>
      <c r="FM68" s="108" t="s">
        <v>503</v>
      </c>
      <c r="FN68" s="108" t="s">
        <v>503</v>
      </c>
      <c r="FO68" s="108" t="s">
        <v>502</v>
      </c>
      <c r="FP68" s="108" t="s">
        <v>502</v>
      </c>
      <c r="FQ68" s="108" t="s">
        <v>502</v>
      </c>
      <c r="FR68" s="108" t="s">
        <v>502</v>
      </c>
      <c r="FS68" s="108" t="s">
        <v>502</v>
      </c>
      <c r="FT68" s="108" t="s">
        <v>502</v>
      </c>
      <c r="FU68" s="108" t="s">
        <v>502</v>
      </c>
      <c r="FV68" s="108" t="s">
        <v>502</v>
      </c>
      <c r="FW68" s="108" t="s">
        <v>502</v>
      </c>
      <c r="FX68" s="108" t="s">
        <v>503</v>
      </c>
      <c r="FY68" s="108" t="s">
        <v>503</v>
      </c>
      <c r="FZ68" s="108" t="s">
        <v>503</v>
      </c>
      <c r="GA68" s="108" t="s">
        <v>503</v>
      </c>
      <c r="GB68" s="108" t="s">
        <v>503</v>
      </c>
      <c r="GC68" s="108" t="s">
        <v>503</v>
      </c>
      <c r="GD68" s="108" t="s">
        <v>503</v>
      </c>
      <c r="GE68" s="108" t="s">
        <v>503</v>
      </c>
      <c r="GF68" s="108" t="s">
        <v>503</v>
      </c>
      <c r="GG68" s="108" t="s">
        <v>669</v>
      </c>
      <c r="GH68" s="108" t="s">
        <v>669</v>
      </c>
      <c r="GI68" s="108" t="s">
        <v>669</v>
      </c>
      <c r="GJ68" s="108" t="s">
        <v>669</v>
      </c>
      <c r="GK68" s="108" t="s">
        <v>669</v>
      </c>
      <c r="GL68" s="108" t="s">
        <v>669</v>
      </c>
      <c r="GM68" s="108" t="s">
        <v>502</v>
      </c>
      <c r="GN68" s="108" t="s">
        <v>502</v>
      </c>
      <c r="GO68" s="108" t="s">
        <v>502</v>
      </c>
      <c r="GP68" s="108" t="s">
        <v>664</v>
      </c>
      <c r="GQ68" s="108" t="s">
        <v>664</v>
      </c>
      <c r="GR68" s="108" t="s">
        <v>664</v>
      </c>
      <c r="GS68" s="47">
        <f>16000/1.19</f>
        <v>13445.378151260506</v>
      </c>
      <c r="GT68" s="47">
        <f t="shared" si="23"/>
        <v>2554.6218487394963</v>
      </c>
      <c r="GU68" s="69">
        <f t="shared" si="24"/>
        <v>16000.000000000002</v>
      </c>
      <c r="GV68" s="108" t="s">
        <v>502</v>
      </c>
      <c r="GW68" s="108" t="s">
        <v>502</v>
      </c>
      <c r="GX68" s="108" t="s">
        <v>502</v>
      </c>
      <c r="GY68" s="108" t="s">
        <v>664</v>
      </c>
      <c r="GZ68" s="108" t="s">
        <v>664</v>
      </c>
      <c r="HA68" s="108" t="s">
        <v>664</v>
      </c>
      <c r="HB68" s="108" t="s">
        <v>664</v>
      </c>
      <c r="HC68" s="108" t="s">
        <v>664</v>
      </c>
      <c r="HD68" s="108" t="s">
        <v>664</v>
      </c>
      <c r="HE68" s="108" t="s">
        <v>664</v>
      </c>
      <c r="HF68" s="108" t="s">
        <v>664</v>
      </c>
      <c r="HG68" s="108" t="s">
        <v>664</v>
      </c>
      <c r="HH68" s="108" t="s">
        <v>664</v>
      </c>
      <c r="HI68" s="108" t="s">
        <v>664</v>
      </c>
      <c r="HJ68" s="108" t="s">
        <v>664</v>
      </c>
      <c r="HK68" s="108" t="s">
        <v>664</v>
      </c>
      <c r="HL68" s="108" t="s">
        <v>664</v>
      </c>
      <c r="HM68" s="108" t="s">
        <v>664</v>
      </c>
      <c r="HN68" s="108" t="s">
        <v>664</v>
      </c>
      <c r="HO68" s="108" t="s">
        <v>664</v>
      </c>
      <c r="HP68" s="108" t="s">
        <v>664</v>
      </c>
      <c r="HQ68" s="108" t="s">
        <v>503</v>
      </c>
      <c r="HR68" s="108" t="s">
        <v>503</v>
      </c>
      <c r="HS68" s="108" t="s">
        <v>503</v>
      </c>
      <c r="HT68" s="108" t="s">
        <v>502</v>
      </c>
      <c r="HU68" s="108" t="s">
        <v>502</v>
      </c>
      <c r="HV68" s="108" t="s">
        <v>502</v>
      </c>
      <c r="HW68" s="108" t="s">
        <v>502</v>
      </c>
      <c r="HX68" s="108" t="s">
        <v>502</v>
      </c>
      <c r="HY68" s="108" t="s">
        <v>502</v>
      </c>
      <c r="HZ68" s="118" t="s">
        <v>502</v>
      </c>
      <c r="IA68" s="118" t="s">
        <v>502</v>
      </c>
      <c r="IB68" s="118" t="s">
        <v>502</v>
      </c>
      <c r="IC68" s="118" t="s">
        <v>502</v>
      </c>
      <c r="ID68" s="118" t="s">
        <v>502</v>
      </c>
      <c r="IE68" s="118" t="s">
        <v>502</v>
      </c>
      <c r="IF68" s="118" t="s">
        <v>502</v>
      </c>
      <c r="IG68" s="118" t="s">
        <v>502</v>
      </c>
      <c r="IH68" s="118" t="s">
        <v>502</v>
      </c>
      <c r="II68" s="118" t="s">
        <v>502</v>
      </c>
      <c r="IJ68" s="118" t="s">
        <v>502</v>
      </c>
      <c r="IK68" s="118" t="s">
        <v>502</v>
      </c>
      <c r="IL68" s="118" t="s">
        <v>502</v>
      </c>
      <c r="IM68" s="118" t="s">
        <v>502</v>
      </c>
      <c r="IN68" s="118" t="s">
        <v>502</v>
      </c>
      <c r="IO68" s="120" t="s">
        <v>503</v>
      </c>
      <c r="IP68" s="120" t="s">
        <v>503</v>
      </c>
      <c r="IQ68" s="120" t="s">
        <v>503</v>
      </c>
      <c r="IR68" s="118" t="s">
        <v>669</v>
      </c>
      <c r="IS68" s="118" t="s">
        <v>669</v>
      </c>
      <c r="IT68" s="118" t="s">
        <v>669</v>
      </c>
      <c r="IU68" s="120" t="s">
        <v>503</v>
      </c>
      <c r="IV68" s="120" t="s">
        <v>503</v>
      </c>
      <c r="IW68" s="120" t="s">
        <v>503</v>
      </c>
      <c r="IX68" s="120" t="s">
        <v>503</v>
      </c>
      <c r="IY68" s="120" t="s">
        <v>503</v>
      </c>
      <c r="IZ68" s="120" t="s">
        <v>503</v>
      </c>
      <c r="JA68" s="120" t="s">
        <v>503</v>
      </c>
      <c r="JB68" s="120" t="s">
        <v>503</v>
      </c>
      <c r="JC68" s="120" t="s">
        <v>503</v>
      </c>
      <c r="JD68" s="120" t="s">
        <v>664</v>
      </c>
      <c r="JE68" s="120" t="s">
        <v>664</v>
      </c>
      <c r="JF68" s="120" t="s">
        <v>664</v>
      </c>
      <c r="JG68" s="118" t="s">
        <v>502</v>
      </c>
      <c r="JH68" s="118" t="s">
        <v>502</v>
      </c>
      <c r="JI68" s="118" t="s">
        <v>502</v>
      </c>
      <c r="JJ68" s="118" t="s">
        <v>502</v>
      </c>
      <c r="JK68" s="118" t="s">
        <v>502</v>
      </c>
      <c r="JL68" s="118" t="s">
        <v>502</v>
      </c>
      <c r="JM68" s="118" t="s">
        <v>502</v>
      </c>
      <c r="JN68" s="118" t="s">
        <v>502</v>
      </c>
      <c r="JO68" s="118" t="s">
        <v>502</v>
      </c>
      <c r="JP68" s="110">
        <v>7950</v>
      </c>
      <c r="JQ68" s="111">
        <v>9498.448848</v>
      </c>
      <c r="JR68" s="112">
        <f t="shared" si="0"/>
        <v>3</v>
      </c>
      <c r="JS68" s="113">
        <f t="shared" si="1"/>
        <v>14693.333333333334</v>
      </c>
      <c r="JT68" s="114">
        <f t="shared" si="2"/>
        <v>14700</v>
      </c>
      <c r="JU68" s="177"/>
    </row>
    <row r="69" spans="1:281" ht="101.25" customHeight="1" x14ac:dyDescent="0.2">
      <c r="A69" s="98">
        <v>167</v>
      </c>
      <c r="B69" s="99">
        <v>167</v>
      </c>
      <c r="C69" s="39" t="s">
        <v>12</v>
      </c>
      <c r="D69" s="100" t="s">
        <v>265</v>
      </c>
      <c r="E69" s="39">
        <v>90101600</v>
      </c>
      <c r="F69" s="129" t="s">
        <v>274</v>
      </c>
      <c r="G69" s="102" t="s">
        <v>86</v>
      </c>
      <c r="H69" s="103" t="s">
        <v>501</v>
      </c>
      <c r="I69" s="108" t="s">
        <v>503</v>
      </c>
      <c r="J69" s="108" t="s">
        <v>503</v>
      </c>
      <c r="K69" s="108" t="s">
        <v>503</v>
      </c>
      <c r="L69" s="118" t="s">
        <v>502</v>
      </c>
      <c r="M69" s="118" t="s">
        <v>502</v>
      </c>
      <c r="N69" s="118" t="s">
        <v>502</v>
      </c>
      <c r="O69" s="108" t="s">
        <v>503</v>
      </c>
      <c r="P69" s="108" t="s">
        <v>503</v>
      </c>
      <c r="Q69" s="108" t="s">
        <v>503</v>
      </c>
      <c r="R69" s="108" t="s">
        <v>503</v>
      </c>
      <c r="S69" s="108" t="s">
        <v>503</v>
      </c>
      <c r="T69" s="108" t="s">
        <v>503</v>
      </c>
      <c r="U69" s="118" t="s">
        <v>502</v>
      </c>
      <c r="V69" s="118" t="s">
        <v>502</v>
      </c>
      <c r="W69" s="118" t="s">
        <v>502</v>
      </c>
      <c r="X69" s="108" t="s">
        <v>503</v>
      </c>
      <c r="Y69" s="108" t="s">
        <v>503</v>
      </c>
      <c r="Z69" s="108" t="s">
        <v>503</v>
      </c>
      <c r="AA69" s="108" t="s">
        <v>503</v>
      </c>
      <c r="AB69" s="108" t="s">
        <v>503</v>
      </c>
      <c r="AC69" s="108" t="s">
        <v>503</v>
      </c>
      <c r="AD69" s="108" t="s">
        <v>503</v>
      </c>
      <c r="AE69" s="108" t="s">
        <v>503</v>
      </c>
      <c r="AF69" s="108" t="s">
        <v>503</v>
      </c>
      <c r="AG69" s="108" t="s">
        <v>503</v>
      </c>
      <c r="AH69" s="108" t="s">
        <v>503</v>
      </c>
      <c r="AI69" s="108" t="s">
        <v>503</v>
      </c>
      <c r="AJ69" s="108" t="s">
        <v>503</v>
      </c>
      <c r="AK69" s="108" t="s">
        <v>503</v>
      </c>
      <c r="AL69" s="108" t="s">
        <v>503</v>
      </c>
      <c r="AM69" s="108" t="s">
        <v>503</v>
      </c>
      <c r="AN69" s="108" t="s">
        <v>503</v>
      </c>
      <c r="AO69" s="108" t="s">
        <v>503</v>
      </c>
      <c r="AP69" s="108" t="s">
        <v>503</v>
      </c>
      <c r="AQ69" s="108" t="s">
        <v>503</v>
      </c>
      <c r="AR69" s="108" t="s">
        <v>503</v>
      </c>
      <c r="AS69" s="108" t="s">
        <v>503</v>
      </c>
      <c r="AT69" s="108" t="s">
        <v>503</v>
      </c>
      <c r="AU69" s="108" t="s">
        <v>503</v>
      </c>
      <c r="AV69" s="108" t="s">
        <v>503</v>
      </c>
      <c r="AW69" s="108" t="s">
        <v>503</v>
      </c>
      <c r="AX69" s="108" t="s">
        <v>503</v>
      </c>
      <c r="AY69" s="108" t="s">
        <v>503</v>
      </c>
      <c r="AZ69" s="108" t="s">
        <v>503</v>
      </c>
      <c r="BA69" s="108" t="s">
        <v>503</v>
      </c>
      <c r="BB69" s="108" t="s">
        <v>503</v>
      </c>
      <c r="BC69" s="108" t="s">
        <v>503</v>
      </c>
      <c r="BD69" s="108" t="s">
        <v>503</v>
      </c>
      <c r="BE69" s="108" t="s">
        <v>503</v>
      </c>
      <c r="BF69" s="108" t="s">
        <v>503</v>
      </c>
      <c r="BG69" s="108" t="s">
        <v>503</v>
      </c>
      <c r="BH69" s="108" t="s">
        <v>503</v>
      </c>
      <c r="BI69" s="108" t="s">
        <v>503</v>
      </c>
      <c r="BJ69" s="108" t="s">
        <v>503</v>
      </c>
      <c r="BK69" s="108" t="s">
        <v>503</v>
      </c>
      <c r="BL69" s="108" t="s">
        <v>503</v>
      </c>
      <c r="BM69" s="108" t="s">
        <v>503</v>
      </c>
      <c r="BN69" s="108" t="s">
        <v>503</v>
      </c>
      <c r="BO69" s="108" t="s">
        <v>503</v>
      </c>
      <c r="BP69" s="108" t="s">
        <v>503</v>
      </c>
      <c r="BQ69" s="108" t="s">
        <v>503</v>
      </c>
      <c r="BR69" s="108" t="s">
        <v>503</v>
      </c>
      <c r="BS69" s="108" t="s">
        <v>503</v>
      </c>
      <c r="BT69" s="108" t="s">
        <v>503</v>
      </c>
      <c r="BU69" s="108" t="s">
        <v>503</v>
      </c>
      <c r="BV69" s="108" t="s">
        <v>503</v>
      </c>
      <c r="BW69" s="108" t="s">
        <v>503</v>
      </c>
      <c r="BX69" s="108" t="s">
        <v>503</v>
      </c>
      <c r="BY69" s="108" t="s">
        <v>503</v>
      </c>
      <c r="BZ69" s="108" t="s">
        <v>503</v>
      </c>
      <c r="CA69" s="108" t="s">
        <v>503</v>
      </c>
      <c r="CB69" s="108" t="s">
        <v>503</v>
      </c>
      <c r="CC69" s="108" t="s">
        <v>503</v>
      </c>
      <c r="CD69" s="108" t="s">
        <v>503</v>
      </c>
      <c r="CE69" s="108" t="s">
        <v>503</v>
      </c>
      <c r="CF69" s="108" t="s">
        <v>503</v>
      </c>
      <c r="CG69" s="108" t="s">
        <v>503</v>
      </c>
      <c r="CH69" s="108" t="s">
        <v>503</v>
      </c>
      <c r="CI69" s="108" t="s">
        <v>503</v>
      </c>
      <c r="CJ69" s="108" t="s">
        <v>503</v>
      </c>
      <c r="CK69" s="108" t="s">
        <v>503</v>
      </c>
      <c r="CL69" s="108" t="s">
        <v>503</v>
      </c>
      <c r="CM69" s="108" t="s">
        <v>503</v>
      </c>
      <c r="CN69" s="108" t="s">
        <v>503</v>
      </c>
      <c r="CO69" s="108" t="s">
        <v>503</v>
      </c>
      <c r="CP69" s="108" t="s">
        <v>503</v>
      </c>
      <c r="CQ69" s="108" t="s">
        <v>503</v>
      </c>
      <c r="CR69" s="108" t="s">
        <v>503</v>
      </c>
      <c r="CS69" s="108" t="s">
        <v>503</v>
      </c>
      <c r="CT69" s="108" t="s">
        <v>503</v>
      </c>
      <c r="CU69" s="108" t="s">
        <v>503</v>
      </c>
      <c r="CV69" s="108" t="s">
        <v>503</v>
      </c>
      <c r="CW69" s="108" t="s">
        <v>503</v>
      </c>
      <c r="CX69" s="108" t="s">
        <v>503</v>
      </c>
      <c r="CY69" s="108" t="s">
        <v>503</v>
      </c>
      <c r="CZ69" s="108" t="s">
        <v>503</v>
      </c>
      <c r="DA69" s="108" t="s">
        <v>503</v>
      </c>
      <c r="DB69" s="108" t="s">
        <v>503</v>
      </c>
      <c r="DC69" s="108" t="s">
        <v>503</v>
      </c>
      <c r="DD69" s="108" t="s">
        <v>503</v>
      </c>
      <c r="DE69" s="108" t="s">
        <v>503</v>
      </c>
      <c r="DF69" s="108" t="s">
        <v>503</v>
      </c>
      <c r="DG69" s="108" t="s">
        <v>503</v>
      </c>
      <c r="DH69" s="108" t="s">
        <v>503</v>
      </c>
      <c r="DI69" s="108" t="s">
        <v>503</v>
      </c>
      <c r="DJ69" s="108" t="s">
        <v>503</v>
      </c>
      <c r="DK69" s="108" t="s">
        <v>503</v>
      </c>
      <c r="DL69" s="108" t="s">
        <v>503</v>
      </c>
      <c r="DM69" s="108" t="s">
        <v>503</v>
      </c>
      <c r="DN69" s="108" t="s">
        <v>503</v>
      </c>
      <c r="DO69" s="108" t="s">
        <v>503</v>
      </c>
      <c r="DP69" s="108" t="s">
        <v>669</v>
      </c>
      <c r="DQ69" s="108" t="s">
        <v>669</v>
      </c>
      <c r="DR69" s="108" t="s">
        <v>669</v>
      </c>
      <c r="DS69" s="108" t="s">
        <v>669</v>
      </c>
      <c r="DT69" s="108" t="s">
        <v>669</v>
      </c>
      <c r="DU69" s="108" t="s">
        <v>669</v>
      </c>
      <c r="DV69" s="108" t="s">
        <v>503</v>
      </c>
      <c r="DW69" s="108" t="s">
        <v>503</v>
      </c>
      <c r="DX69" s="108" t="s">
        <v>503</v>
      </c>
      <c r="DY69" s="108" t="s">
        <v>503</v>
      </c>
      <c r="DZ69" s="108" t="s">
        <v>503</v>
      </c>
      <c r="EA69" s="108" t="s">
        <v>503</v>
      </c>
      <c r="EB69" s="108" t="s">
        <v>503</v>
      </c>
      <c r="EC69" s="108" t="s">
        <v>503</v>
      </c>
      <c r="ED69" s="108" t="s">
        <v>503</v>
      </c>
      <c r="EE69" s="108" t="s">
        <v>503</v>
      </c>
      <c r="EF69" s="108" t="s">
        <v>503</v>
      </c>
      <c r="EG69" s="108" t="s">
        <v>503</v>
      </c>
      <c r="EH69" s="108" t="s">
        <v>503</v>
      </c>
      <c r="EI69" s="108" t="s">
        <v>503</v>
      </c>
      <c r="EJ69" s="108" t="s">
        <v>503</v>
      </c>
      <c r="EK69" s="108" t="s">
        <v>503</v>
      </c>
      <c r="EL69" s="108" t="s">
        <v>503</v>
      </c>
      <c r="EM69" s="108" t="s">
        <v>503</v>
      </c>
      <c r="EN69" s="108" t="s">
        <v>503</v>
      </c>
      <c r="EO69" s="108" t="s">
        <v>503</v>
      </c>
      <c r="EP69" s="108" t="s">
        <v>503</v>
      </c>
      <c r="EQ69" s="108" t="s">
        <v>502</v>
      </c>
      <c r="ER69" s="108" t="s">
        <v>502</v>
      </c>
      <c r="ES69" s="108" t="s">
        <v>502</v>
      </c>
      <c r="ET69" s="108" t="s">
        <v>502</v>
      </c>
      <c r="EU69" s="108" t="s">
        <v>502</v>
      </c>
      <c r="EV69" s="108" t="s">
        <v>502</v>
      </c>
      <c r="EW69" s="175">
        <v>13500</v>
      </c>
      <c r="EX69" s="176">
        <f t="shared" si="28"/>
        <v>1080</v>
      </c>
      <c r="EY69" s="71">
        <f t="shared" si="29"/>
        <v>14580</v>
      </c>
      <c r="EZ69" s="71">
        <v>13500</v>
      </c>
      <c r="FA69" s="71">
        <f t="shared" si="27"/>
        <v>1080</v>
      </c>
      <c r="FB69" s="71">
        <f t="shared" si="26"/>
        <v>14580</v>
      </c>
      <c r="FC69" s="108" t="s">
        <v>502</v>
      </c>
      <c r="FD69" s="108" t="s">
        <v>502</v>
      </c>
      <c r="FE69" s="108" t="s">
        <v>502</v>
      </c>
      <c r="FF69" s="108" t="s">
        <v>503</v>
      </c>
      <c r="FG69" s="108" t="s">
        <v>503</v>
      </c>
      <c r="FH69" s="108" t="s">
        <v>503</v>
      </c>
      <c r="FI69" s="108" t="s">
        <v>503</v>
      </c>
      <c r="FJ69" s="108" t="s">
        <v>503</v>
      </c>
      <c r="FK69" s="108" t="s">
        <v>503</v>
      </c>
      <c r="FL69" s="108" t="s">
        <v>503</v>
      </c>
      <c r="FM69" s="108" t="s">
        <v>503</v>
      </c>
      <c r="FN69" s="108" t="s">
        <v>503</v>
      </c>
      <c r="FO69" s="108" t="s">
        <v>502</v>
      </c>
      <c r="FP69" s="108" t="s">
        <v>502</v>
      </c>
      <c r="FQ69" s="108" t="s">
        <v>502</v>
      </c>
      <c r="FR69" s="108" t="s">
        <v>502</v>
      </c>
      <c r="FS69" s="108" t="s">
        <v>502</v>
      </c>
      <c r="FT69" s="108" t="s">
        <v>502</v>
      </c>
      <c r="FU69" s="108" t="s">
        <v>502</v>
      </c>
      <c r="FV69" s="108" t="s">
        <v>502</v>
      </c>
      <c r="FW69" s="108" t="s">
        <v>502</v>
      </c>
      <c r="FX69" s="108" t="s">
        <v>503</v>
      </c>
      <c r="FY69" s="108" t="s">
        <v>503</v>
      </c>
      <c r="FZ69" s="108" t="s">
        <v>503</v>
      </c>
      <c r="GA69" s="108" t="s">
        <v>503</v>
      </c>
      <c r="GB69" s="108" t="s">
        <v>503</v>
      </c>
      <c r="GC69" s="108" t="s">
        <v>503</v>
      </c>
      <c r="GD69" s="108" t="s">
        <v>503</v>
      </c>
      <c r="GE69" s="108" t="s">
        <v>503</v>
      </c>
      <c r="GF69" s="108" t="s">
        <v>503</v>
      </c>
      <c r="GG69" s="108" t="s">
        <v>669</v>
      </c>
      <c r="GH69" s="108" t="s">
        <v>669</v>
      </c>
      <c r="GI69" s="108" t="s">
        <v>669</v>
      </c>
      <c r="GJ69" s="108" t="s">
        <v>669</v>
      </c>
      <c r="GK69" s="108" t="s">
        <v>669</v>
      </c>
      <c r="GL69" s="108" t="s">
        <v>669</v>
      </c>
      <c r="GM69" s="108" t="s">
        <v>502</v>
      </c>
      <c r="GN69" s="108" t="s">
        <v>502</v>
      </c>
      <c r="GO69" s="108" t="s">
        <v>502</v>
      </c>
      <c r="GP69" s="108" t="s">
        <v>664</v>
      </c>
      <c r="GQ69" s="108" t="s">
        <v>664</v>
      </c>
      <c r="GR69" s="108" t="s">
        <v>664</v>
      </c>
      <c r="GS69" s="47">
        <f>19500/1.19</f>
        <v>16386.55462184874</v>
      </c>
      <c r="GT69" s="47">
        <f t="shared" si="23"/>
        <v>3113.4453781512607</v>
      </c>
      <c r="GU69" s="69">
        <f t="shared" si="24"/>
        <v>19500</v>
      </c>
      <c r="GV69" s="108" t="s">
        <v>502</v>
      </c>
      <c r="GW69" s="108" t="s">
        <v>502</v>
      </c>
      <c r="GX69" s="108" t="s">
        <v>502</v>
      </c>
      <c r="GY69" s="108" t="s">
        <v>664</v>
      </c>
      <c r="GZ69" s="108" t="s">
        <v>664</v>
      </c>
      <c r="HA69" s="108" t="s">
        <v>664</v>
      </c>
      <c r="HB69" s="108" t="s">
        <v>664</v>
      </c>
      <c r="HC69" s="108" t="s">
        <v>664</v>
      </c>
      <c r="HD69" s="108" t="s">
        <v>664</v>
      </c>
      <c r="HE69" s="108" t="s">
        <v>664</v>
      </c>
      <c r="HF69" s="108" t="s">
        <v>664</v>
      </c>
      <c r="HG69" s="108" t="s">
        <v>664</v>
      </c>
      <c r="HH69" s="108" t="s">
        <v>664</v>
      </c>
      <c r="HI69" s="108" t="s">
        <v>664</v>
      </c>
      <c r="HJ69" s="108" t="s">
        <v>664</v>
      </c>
      <c r="HK69" s="108" t="s">
        <v>664</v>
      </c>
      <c r="HL69" s="108" t="s">
        <v>664</v>
      </c>
      <c r="HM69" s="108" t="s">
        <v>664</v>
      </c>
      <c r="HN69" s="108" t="s">
        <v>664</v>
      </c>
      <c r="HO69" s="108" t="s">
        <v>664</v>
      </c>
      <c r="HP69" s="108" t="s">
        <v>664</v>
      </c>
      <c r="HQ69" s="108" t="s">
        <v>503</v>
      </c>
      <c r="HR69" s="108" t="s">
        <v>503</v>
      </c>
      <c r="HS69" s="108" t="s">
        <v>503</v>
      </c>
      <c r="HT69" s="108" t="s">
        <v>502</v>
      </c>
      <c r="HU69" s="108" t="s">
        <v>502</v>
      </c>
      <c r="HV69" s="108" t="s">
        <v>502</v>
      </c>
      <c r="HW69" s="108" t="s">
        <v>502</v>
      </c>
      <c r="HX69" s="108" t="s">
        <v>502</v>
      </c>
      <c r="HY69" s="108" t="s">
        <v>502</v>
      </c>
      <c r="HZ69" s="118" t="s">
        <v>502</v>
      </c>
      <c r="IA69" s="118" t="s">
        <v>502</v>
      </c>
      <c r="IB69" s="118" t="s">
        <v>502</v>
      </c>
      <c r="IC69" s="118" t="s">
        <v>502</v>
      </c>
      <c r="ID69" s="118" t="s">
        <v>502</v>
      </c>
      <c r="IE69" s="118" t="s">
        <v>502</v>
      </c>
      <c r="IF69" s="118" t="s">
        <v>502</v>
      </c>
      <c r="IG69" s="118" t="s">
        <v>502</v>
      </c>
      <c r="IH69" s="118" t="s">
        <v>502</v>
      </c>
      <c r="II69" s="118" t="s">
        <v>502</v>
      </c>
      <c r="IJ69" s="118" t="s">
        <v>502</v>
      </c>
      <c r="IK69" s="118" t="s">
        <v>502</v>
      </c>
      <c r="IL69" s="118" t="s">
        <v>502</v>
      </c>
      <c r="IM69" s="118" t="s">
        <v>502</v>
      </c>
      <c r="IN69" s="118" t="s">
        <v>502</v>
      </c>
      <c r="IO69" s="120" t="s">
        <v>503</v>
      </c>
      <c r="IP69" s="120" t="s">
        <v>503</v>
      </c>
      <c r="IQ69" s="120" t="s">
        <v>503</v>
      </c>
      <c r="IR69" s="118" t="s">
        <v>669</v>
      </c>
      <c r="IS69" s="118" t="s">
        <v>669</v>
      </c>
      <c r="IT69" s="118" t="s">
        <v>669</v>
      </c>
      <c r="IU69" s="120" t="s">
        <v>503</v>
      </c>
      <c r="IV69" s="120" t="s">
        <v>503</v>
      </c>
      <c r="IW69" s="120" t="s">
        <v>503</v>
      </c>
      <c r="IX69" s="120" t="s">
        <v>503</v>
      </c>
      <c r="IY69" s="120" t="s">
        <v>503</v>
      </c>
      <c r="IZ69" s="120" t="s">
        <v>503</v>
      </c>
      <c r="JA69" s="120" t="s">
        <v>503</v>
      </c>
      <c r="JB69" s="120" t="s">
        <v>503</v>
      </c>
      <c r="JC69" s="120" t="s">
        <v>503</v>
      </c>
      <c r="JD69" s="120" t="s">
        <v>664</v>
      </c>
      <c r="JE69" s="120" t="s">
        <v>664</v>
      </c>
      <c r="JF69" s="120" t="s">
        <v>664</v>
      </c>
      <c r="JG69" s="118" t="s">
        <v>502</v>
      </c>
      <c r="JH69" s="118" t="s">
        <v>502</v>
      </c>
      <c r="JI69" s="118" t="s">
        <v>502</v>
      </c>
      <c r="JJ69" s="118" t="s">
        <v>502</v>
      </c>
      <c r="JK69" s="118" t="s">
        <v>502</v>
      </c>
      <c r="JL69" s="118" t="s">
        <v>502</v>
      </c>
      <c r="JM69" s="118" t="s">
        <v>502</v>
      </c>
      <c r="JN69" s="118" t="s">
        <v>502</v>
      </c>
      <c r="JO69" s="118" t="s">
        <v>502</v>
      </c>
      <c r="JP69" s="110">
        <v>9800</v>
      </c>
      <c r="JQ69" s="111">
        <v>11708.779712</v>
      </c>
      <c r="JR69" s="112">
        <f t="shared" ref="JR69:JR104" si="30">COUNT(K69,N69,Q69,T69,W69,Z69,AC69,AF69,AI69,AL69,AO69,AR69,AU69,AX69,BA69,BD69,BG69,BJ69,BM69,BP69,BS69,BV69,BY69,CB69,CE69,CH69,CK69,CN69,CQ69,CT69,CW69,CZ69,DC69,DF69,DI69,DL69,DO69,DR69,DU69,DX69,EA69,ED69,EG69,EJ69,EM69,EP69,ES69,EV69,EY69,FB69,FE69,FH69,FK69,FN69,FQ69,FT69,FW69,FZ69,GC69,GF69,GI69,GL69,GO69,GR69,GU69,GX69,HA69,HD69,HG69,HJ69,HM69,HP69,HS69,HV69,HY69,IB69,IE69,IH69,IK69,IN69,IQ69,IT69,IW69,IZ69,JC69,JF69,JI69,JL69,JO69)</f>
        <v>3</v>
      </c>
      <c r="JS69" s="113">
        <f t="shared" ref="JS69:JS104" si="31">AVERAGE(K69,N69,Q69,T69,W69,Z69,AC69,AF69,AI69,AL69,AO69,AR69,AU69,AX69,BA69,BD69,BG69,BJ69,BM69,BP69,BS69,BV69,BY69,CB69,CE69,CH69,CK69,CN69,CQ69,CT69,CW69,CZ69,DC69,DF69,DI69,DL69,DO69,DR69,DU69,DX69,EA69,ED69,EG69,EJ69,EM69,EP69,ES69,EV69,EY69,FB69,FE69,FH69,FK69,FN69,FQ69,FT69,FW69,FZ69,GC69,GF69,GI69,GL69,GO69,GR69,GU69,GX69,HA69,HD69,HG69,HJ69,HM69,HP69,HS69,HV69,HY69,IB69,IE69,IH69,IK69,IN69,IQ69,IT69,IW69,IZ69,JC69,JF69,JI69,JL69,JO69)</f>
        <v>16220</v>
      </c>
      <c r="JT69" s="114">
        <f t="shared" ref="JT69:JT104" si="32">_xlfn.CEILING.MATH(JS69,50)</f>
        <v>16250</v>
      </c>
      <c r="JU69" s="177"/>
    </row>
    <row r="70" spans="1:281" ht="101.25" customHeight="1" x14ac:dyDescent="0.2">
      <c r="A70" s="98">
        <v>168</v>
      </c>
      <c r="B70" s="99">
        <v>168</v>
      </c>
      <c r="C70" s="39" t="s">
        <v>12</v>
      </c>
      <c r="D70" s="100" t="s">
        <v>266</v>
      </c>
      <c r="E70" s="39">
        <v>90101600</v>
      </c>
      <c r="F70" s="129" t="s">
        <v>275</v>
      </c>
      <c r="G70" s="102" t="s">
        <v>86</v>
      </c>
      <c r="H70" s="103" t="s">
        <v>501</v>
      </c>
      <c r="I70" s="108" t="s">
        <v>503</v>
      </c>
      <c r="J70" s="108" t="s">
        <v>503</v>
      </c>
      <c r="K70" s="108" t="s">
        <v>503</v>
      </c>
      <c r="L70" s="118" t="s">
        <v>502</v>
      </c>
      <c r="M70" s="118" t="s">
        <v>502</v>
      </c>
      <c r="N70" s="118" t="s">
        <v>502</v>
      </c>
      <c r="O70" s="108" t="s">
        <v>503</v>
      </c>
      <c r="P70" s="108" t="s">
        <v>503</v>
      </c>
      <c r="Q70" s="108" t="s">
        <v>503</v>
      </c>
      <c r="R70" s="108" t="s">
        <v>503</v>
      </c>
      <c r="S70" s="108" t="s">
        <v>503</v>
      </c>
      <c r="T70" s="108" t="s">
        <v>503</v>
      </c>
      <c r="U70" s="71">
        <v>22000</v>
      </c>
      <c r="V70" s="117">
        <f>+U70*8%</f>
        <v>1760</v>
      </c>
      <c r="W70" s="71">
        <f>+U70+V70</f>
        <v>23760</v>
      </c>
      <c r="X70" s="108" t="s">
        <v>503</v>
      </c>
      <c r="Y70" s="108" t="s">
        <v>503</v>
      </c>
      <c r="Z70" s="108" t="s">
        <v>503</v>
      </c>
      <c r="AA70" s="108" t="s">
        <v>503</v>
      </c>
      <c r="AB70" s="108" t="s">
        <v>503</v>
      </c>
      <c r="AC70" s="108" t="s">
        <v>503</v>
      </c>
      <c r="AD70" s="108" t="s">
        <v>503</v>
      </c>
      <c r="AE70" s="108" t="s">
        <v>503</v>
      </c>
      <c r="AF70" s="108" t="s">
        <v>503</v>
      </c>
      <c r="AG70" s="108" t="s">
        <v>503</v>
      </c>
      <c r="AH70" s="108" t="s">
        <v>503</v>
      </c>
      <c r="AI70" s="108" t="s">
        <v>503</v>
      </c>
      <c r="AJ70" s="108" t="s">
        <v>503</v>
      </c>
      <c r="AK70" s="108" t="s">
        <v>503</v>
      </c>
      <c r="AL70" s="108" t="s">
        <v>503</v>
      </c>
      <c r="AM70" s="108" t="s">
        <v>503</v>
      </c>
      <c r="AN70" s="108" t="s">
        <v>503</v>
      </c>
      <c r="AO70" s="108" t="s">
        <v>503</v>
      </c>
      <c r="AP70" s="108" t="s">
        <v>503</v>
      </c>
      <c r="AQ70" s="108" t="s">
        <v>503</v>
      </c>
      <c r="AR70" s="108" t="s">
        <v>503</v>
      </c>
      <c r="AS70" s="108" t="s">
        <v>503</v>
      </c>
      <c r="AT70" s="108" t="s">
        <v>503</v>
      </c>
      <c r="AU70" s="108" t="s">
        <v>503</v>
      </c>
      <c r="AV70" s="108" t="s">
        <v>503</v>
      </c>
      <c r="AW70" s="108" t="s">
        <v>503</v>
      </c>
      <c r="AX70" s="108" t="s">
        <v>503</v>
      </c>
      <c r="AY70" s="108" t="s">
        <v>503</v>
      </c>
      <c r="AZ70" s="108" t="s">
        <v>503</v>
      </c>
      <c r="BA70" s="108" t="s">
        <v>503</v>
      </c>
      <c r="BB70" s="108" t="s">
        <v>503</v>
      </c>
      <c r="BC70" s="108" t="s">
        <v>503</v>
      </c>
      <c r="BD70" s="108" t="s">
        <v>503</v>
      </c>
      <c r="BE70" s="108" t="s">
        <v>503</v>
      </c>
      <c r="BF70" s="108" t="s">
        <v>503</v>
      </c>
      <c r="BG70" s="108" t="s">
        <v>503</v>
      </c>
      <c r="BH70" s="108" t="s">
        <v>503</v>
      </c>
      <c r="BI70" s="108" t="s">
        <v>503</v>
      </c>
      <c r="BJ70" s="108" t="s">
        <v>503</v>
      </c>
      <c r="BK70" s="108" t="s">
        <v>503</v>
      </c>
      <c r="BL70" s="108" t="s">
        <v>503</v>
      </c>
      <c r="BM70" s="108" t="s">
        <v>503</v>
      </c>
      <c r="BN70" s="108" t="s">
        <v>503</v>
      </c>
      <c r="BO70" s="108" t="s">
        <v>503</v>
      </c>
      <c r="BP70" s="108" t="s">
        <v>503</v>
      </c>
      <c r="BQ70" s="108" t="s">
        <v>503</v>
      </c>
      <c r="BR70" s="108" t="s">
        <v>503</v>
      </c>
      <c r="BS70" s="108" t="s">
        <v>503</v>
      </c>
      <c r="BT70" s="108" t="s">
        <v>503</v>
      </c>
      <c r="BU70" s="108" t="s">
        <v>503</v>
      </c>
      <c r="BV70" s="108" t="s">
        <v>503</v>
      </c>
      <c r="BW70" s="108" t="s">
        <v>503</v>
      </c>
      <c r="BX70" s="108" t="s">
        <v>503</v>
      </c>
      <c r="BY70" s="108" t="s">
        <v>503</v>
      </c>
      <c r="BZ70" s="108" t="s">
        <v>503</v>
      </c>
      <c r="CA70" s="108" t="s">
        <v>503</v>
      </c>
      <c r="CB70" s="108" t="s">
        <v>503</v>
      </c>
      <c r="CC70" s="108" t="s">
        <v>503</v>
      </c>
      <c r="CD70" s="108" t="s">
        <v>503</v>
      </c>
      <c r="CE70" s="108" t="s">
        <v>503</v>
      </c>
      <c r="CF70" s="108" t="s">
        <v>503</v>
      </c>
      <c r="CG70" s="108" t="s">
        <v>503</v>
      </c>
      <c r="CH70" s="108" t="s">
        <v>503</v>
      </c>
      <c r="CI70" s="108" t="s">
        <v>503</v>
      </c>
      <c r="CJ70" s="108" t="s">
        <v>503</v>
      </c>
      <c r="CK70" s="108" t="s">
        <v>503</v>
      </c>
      <c r="CL70" s="108" t="s">
        <v>503</v>
      </c>
      <c r="CM70" s="108" t="s">
        <v>503</v>
      </c>
      <c r="CN70" s="108" t="s">
        <v>503</v>
      </c>
      <c r="CO70" s="108" t="s">
        <v>503</v>
      </c>
      <c r="CP70" s="108" t="s">
        <v>503</v>
      </c>
      <c r="CQ70" s="108" t="s">
        <v>503</v>
      </c>
      <c r="CR70" s="108" t="s">
        <v>503</v>
      </c>
      <c r="CS70" s="108" t="s">
        <v>503</v>
      </c>
      <c r="CT70" s="108" t="s">
        <v>503</v>
      </c>
      <c r="CU70" s="108" t="s">
        <v>503</v>
      </c>
      <c r="CV70" s="108" t="s">
        <v>503</v>
      </c>
      <c r="CW70" s="108" t="s">
        <v>503</v>
      </c>
      <c r="CX70" s="108" t="s">
        <v>503</v>
      </c>
      <c r="CY70" s="108" t="s">
        <v>503</v>
      </c>
      <c r="CZ70" s="108" t="s">
        <v>503</v>
      </c>
      <c r="DA70" s="108" t="s">
        <v>503</v>
      </c>
      <c r="DB70" s="108" t="s">
        <v>503</v>
      </c>
      <c r="DC70" s="108" t="s">
        <v>503</v>
      </c>
      <c r="DD70" s="108" t="s">
        <v>503</v>
      </c>
      <c r="DE70" s="108" t="s">
        <v>503</v>
      </c>
      <c r="DF70" s="108" t="s">
        <v>503</v>
      </c>
      <c r="DG70" s="108" t="s">
        <v>503</v>
      </c>
      <c r="DH70" s="108" t="s">
        <v>503</v>
      </c>
      <c r="DI70" s="108" t="s">
        <v>503</v>
      </c>
      <c r="DJ70" s="108" t="s">
        <v>503</v>
      </c>
      <c r="DK70" s="108" t="s">
        <v>503</v>
      </c>
      <c r="DL70" s="108" t="s">
        <v>503</v>
      </c>
      <c r="DM70" s="108" t="s">
        <v>503</v>
      </c>
      <c r="DN70" s="108" t="s">
        <v>503</v>
      </c>
      <c r="DO70" s="108" t="s">
        <v>503</v>
      </c>
      <c r="DP70" s="108" t="s">
        <v>669</v>
      </c>
      <c r="DQ70" s="108" t="s">
        <v>669</v>
      </c>
      <c r="DR70" s="108" t="s">
        <v>669</v>
      </c>
      <c r="DS70" s="108" t="s">
        <v>669</v>
      </c>
      <c r="DT70" s="108" t="s">
        <v>669</v>
      </c>
      <c r="DU70" s="108" t="s">
        <v>669</v>
      </c>
      <c r="DV70" s="108" t="s">
        <v>503</v>
      </c>
      <c r="DW70" s="108" t="s">
        <v>503</v>
      </c>
      <c r="DX70" s="108" t="s">
        <v>503</v>
      </c>
      <c r="DY70" s="108" t="s">
        <v>503</v>
      </c>
      <c r="DZ70" s="108" t="s">
        <v>503</v>
      </c>
      <c r="EA70" s="108" t="s">
        <v>503</v>
      </c>
      <c r="EB70" s="108" t="s">
        <v>503</v>
      </c>
      <c r="EC70" s="108" t="s">
        <v>503</v>
      </c>
      <c r="ED70" s="108" t="s">
        <v>503</v>
      </c>
      <c r="EE70" s="108" t="s">
        <v>503</v>
      </c>
      <c r="EF70" s="108" t="s">
        <v>503</v>
      </c>
      <c r="EG70" s="108" t="s">
        <v>503</v>
      </c>
      <c r="EH70" s="108" t="s">
        <v>503</v>
      </c>
      <c r="EI70" s="108" t="s">
        <v>503</v>
      </c>
      <c r="EJ70" s="108" t="s">
        <v>503</v>
      </c>
      <c r="EK70" s="108" t="s">
        <v>503</v>
      </c>
      <c r="EL70" s="108" t="s">
        <v>503</v>
      </c>
      <c r="EM70" s="108" t="s">
        <v>503</v>
      </c>
      <c r="EN70" s="108" t="s">
        <v>503</v>
      </c>
      <c r="EO70" s="108" t="s">
        <v>503</v>
      </c>
      <c r="EP70" s="108" t="s">
        <v>503</v>
      </c>
      <c r="EQ70" s="108" t="s">
        <v>502</v>
      </c>
      <c r="ER70" s="108" t="s">
        <v>502</v>
      </c>
      <c r="ES70" s="108" t="s">
        <v>502</v>
      </c>
      <c r="ET70" s="108" t="s">
        <v>502</v>
      </c>
      <c r="EU70" s="108" t="s">
        <v>502</v>
      </c>
      <c r="EV70" s="108" t="s">
        <v>502</v>
      </c>
      <c r="EW70" s="175">
        <v>12300</v>
      </c>
      <c r="EX70" s="176">
        <f t="shared" si="28"/>
        <v>984</v>
      </c>
      <c r="EY70" s="71">
        <f t="shared" si="29"/>
        <v>13284</v>
      </c>
      <c r="EZ70" s="71">
        <v>12300</v>
      </c>
      <c r="FA70" s="71">
        <f t="shared" si="27"/>
        <v>984</v>
      </c>
      <c r="FB70" s="71">
        <f t="shared" si="26"/>
        <v>13284</v>
      </c>
      <c r="FC70" s="108" t="s">
        <v>502</v>
      </c>
      <c r="FD70" s="108" t="s">
        <v>502</v>
      </c>
      <c r="FE70" s="108" t="s">
        <v>502</v>
      </c>
      <c r="FF70" s="108" t="s">
        <v>503</v>
      </c>
      <c r="FG70" s="108" t="s">
        <v>503</v>
      </c>
      <c r="FH70" s="108" t="s">
        <v>503</v>
      </c>
      <c r="FI70" s="108" t="s">
        <v>503</v>
      </c>
      <c r="FJ70" s="108" t="s">
        <v>503</v>
      </c>
      <c r="FK70" s="108" t="s">
        <v>503</v>
      </c>
      <c r="FL70" s="108" t="s">
        <v>503</v>
      </c>
      <c r="FM70" s="108" t="s">
        <v>503</v>
      </c>
      <c r="FN70" s="108" t="s">
        <v>503</v>
      </c>
      <c r="FO70" s="108" t="s">
        <v>502</v>
      </c>
      <c r="FP70" s="108" t="s">
        <v>502</v>
      </c>
      <c r="FQ70" s="108" t="s">
        <v>502</v>
      </c>
      <c r="FR70" s="108" t="s">
        <v>502</v>
      </c>
      <c r="FS70" s="108" t="s">
        <v>502</v>
      </c>
      <c r="FT70" s="108" t="s">
        <v>502</v>
      </c>
      <c r="FU70" s="108" t="s">
        <v>502</v>
      </c>
      <c r="FV70" s="108" t="s">
        <v>502</v>
      </c>
      <c r="FW70" s="108" t="s">
        <v>502</v>
      </c>
      <c r="FX70" s="108" t="s">
        <v>503</v>
      </c>
      <c r="FY70" s="108" t="s">
        <v>503</v>
      </c>
      <c r="FZ70" s="108" t="s">
        <v>503</v>
      </c>
      <c r="GA70" s="108" t="s">
        <v>503</v>
      </c>
      <c r="GB70" s="108" t="s">
        <v>503</v>
      </c>
      <c r="GC70" s="108" t="s">
        <v>503</v>
      </c>
      <c r="GD70" s="108" t="s">
        <v>503</v>
      </c>
      <c r="GE70" s="108" t="s">
        <v>503</v>
      </c>
      <c r="GF70" s="108" t="s">
        <v>503</v>
      </c>
      <c r="GG70" s="108" t="s">
        <v>669</v>
      </c>
      <c r="GH70" s="108" t="s">
        <v>669</v>
      </c>
      <c r="GI70" s="108" t="s">
        <v>669</v>
      </c>
      <c r="GJ70" s="108" t="s">
        <v>669</v>
      </c>
      <c r="GK70" s="108" t="s">
        <v>669</v>
      </c>
      <c r="GL70" s="108" t="s">
        <v>669</v>
      </c>
      <c r="GM70" s="108" t="s">
        <v>502</v>
      </c>
      <c r="GN70" s="108" t="s">
        <v>502</v>
      </c>
      <c r="GO70" s="108" t="s">
        <v>502</v>
      </c>
      <c r="GP70" s="108" t="s">
        <v>664</v>
      </c>
      <c r="GQ70" s="108" t="s">
        <v>664</v>
      </c>
      <c r="GR70" s="108" t="s">
        <v>664</v>
      </c>
      <c r="GS70" s="47">
        <f>18000/1.19</f>
        <v>15126.050420168069</v>
      </c>
      <c r="GT70" s="47">
        <f t="shared" si="23"/>
        <v>2873.9495798319331</v>
      </c>
      <c r="GU70" s="69">
        <f t="shared" si="24"/>
        <v>18000</v>
      </c>
      <c r="GV70" s="108" t="s">
        <v>502</v>
      </c>
      <c r="GW70" s="108" t="s">
        <v>502</v>
      </c>
      <c r="GX70" s="108" t="s">
        <v>502</v>
      </c>
      <c r="GY70" s="108" t="s">
        <v>664</v>
      </c>
      <c r="GZ70" s="108" t="s">
        <v>664</v>
      </c>
      <c r="HA70" s="108" t="s">
        <v>664</v>
      </c>
      <c r="HB70" s="108" t="s">
        <v>664</v>
      </c>
      <c r="HC70" s="108" t="s">
        <v>664</v>
      </c>
      <c r="HD70" s="108" t="s">
        <v>664</v>
      </c>
      <c r="HE70" s="108" t="s">
        <v>664</v>
      </c>
      <c r="HF70" s="108" t="s">
        <v>664</v>
      </c>
      <c r="HG70" s="108" t="s">
        <v>664</v>
      </c>
      <c r="HH70" s="108" t="s">
        <v>664</v>
      </c>
      <c r="HI70" s="108" t="s">
        <v>664</v>
      </c>
      <c r="HJ70" s="108" t="s">
        <v>664</v>
      </c>
      <c r="HK70" s="108" t="s">
        <v>664</v>
      </c>
      <c r="HL70" s="108" t="s">
        <v>664</v>
      </c>
      <c r="HM70" s="108" t="s">
        <v>664</v>
      </c>
      <c r="HN70" s="108" t="s">
        <v>664</v>
      </c>
      <c r="HO70" s="108" t="s">
        <v>664</v>
      </c>
      <c r="HP70" s="108" t="s">
        <v>664</v>
      </c>
      <c r="HQ70" s="108" t="s">
        <v>503</v>
      </c>
      <c r="HR70" s="108" t="s">
        <v>503</v>
      </c>
      <c r="HS70" s="108" t="s">
        <v>503</v>
      </c>
      <c r="HT70" s="108" t="s">
        <v>502</v>
      </c>
      <c r="HU70" s="108" t="s">
        <v>502</v>
      </c>
      <c r="HV70" s="108" t="s">
        <v>502</v>
      </c>
      <c r="HW70" s="108" t="s">
        <v>502</v>
      </c>
      <c r="HX70" s="108" t="s">
        <v>502</v>
      </c>
      <c r="HY70" s="108" t="s">
        <v>502</v>
      </c>
      <c r="HZ70" s="118" t="s">
        <v>502</v>
      </c>
      <c r="IA70" s="118" t="s">
        <v>502</v>
      </c>
      <c r="IB70" s="118" t="s">
        <v>502</v>
      </c>
      <c r="IC70" s="118" t="s">
        <v>502</v>
      </c>
      <c r="ID70" s="118" t="s">
        <v>502</v>
      </c>
      <c r="IE70" s="118" t="s">
        <v>502</v>
      </c>
      <c r="IF70" s="118" t="s">
        <v>502</v>
      </c>
      <c r="IG70" s="118" t="s">
        <v>502</v>
      </c>
      <c r="IH70" s="118" t="s">
        <v>502</v>
      </c>
      <c r="II70" s="118" t="s">
        <v>502</v>
      </c>
      <c r="IJ70" s="118" t="s">
        <v>502</v>
      </c>
      <c r="IK70" s="118" t="s">
        <v>502</v>
      </c>
      <c r="IL70" s="118" t="s">
        <v>502</v>
      </c>
      <c r="IM70" s="118" t="s">
        <v>502</v>
      </c>
      <c r="IN70" s="118" t="s">
        <v>502</v>
      </c>
      <c r="IO70" s="120" t="s">
        <v>503</v>
      </c>
      <c r="IP70" s="120" t="s">
        <v>503</v>
      </c>
      <c r="IQ70" s="120" t="s">
        <v>503</v>
      </c>
      <c r="IR70" s="118" t="s">
        <v>669</v>
      </c>
      <c r="IS70" s="118" t="s">
        <v>669</v>
      </c>
      <c r="IT70" s="118" t="s">
        <v>669</v>
      </c>
      <c r="IU70" s="120" t="s">
        <v>503</v>
      </c>
      <c r="IV70" s="120" t="s">
        <v>503</v>
      </c>
      <c r="IW70" s="120" t="s">
        <v>503</v>
      </c>
      <c r="IX70" s="120" t="s">
        <v>503</v>
      </c>
      <c r="IY70" s="120" t="s">
        <v>503</v>
      </c>
      <c r="IZ70" s="120" t="s">
        <v>503</v>
      </c>
      <c r="JA70" s="120" t="s">
        <v>503</v>
      </c>
      <c r="JB70" s="120" t="s">
        <v>503</v>
      </c>
      <c r="JC70" s="120" t="s">
        <v>503</v>
      </c>
      <c r="JD70" s="120" t="s">
        <v>664</v>
      </c>
      <c r="JE70" s="120" t="s">
        <v>664</v>
      </c>
      <c r="JF70" s="120" t="s">
        <v>664</v>
      </c>
      <c r="JG70" s="118" t="s">
        <v>502</v>
      </c>
      <c r="JH70" s="118" t="s">
        <v>502</v>
      </c>
      <c r="JI70" s="118" t="s">
        <v>502</v>
      </c>
      <c r="JJ70" s="118" t="s">
        <v>502</v>
      </c>
      <c r="JK70" s="118" t="s">
        <v>502</v>
      </c>
      <c r="JL70" s="118" t="s">
        <v>502</v>
      </c>
      <c r="JM70" s="118" t="s">
        <v>502</v>
      </c>
      <c r="JN70" s="118" t="s">
        <v>502</v>
      </c>
      <c r="JO70" s="118" t="s">
        <v>502</v>
      </c>
      <c r="JP70" s="110">
        <v>12000</v>
      </c>
      <c r="JQ70" s="111">
        <v>14337.281279999999</v>
      </c>
      <c r="JR70" s="112">
        <f t="shared" si="30"/>
        <v>4</v>
      </c>
      <c r="JS70" s="113">
        <f t="shared" si="31"/>
        <v>17082</v>
      </c>
      <c r="JT70" s="114">
        <f t="shared" si="32"/>
        <v>17100</v>
      </c>
      <c r="JU70" s="177"/>
    </row>
    <row r="71" spans="1:281" ht="101.25" customHeight="1" x14ac:dyDescent="0.2">
      <c r="A71" s="98">
        <v>169</v>
      </c>
      <c r="B71" s="99">
        <v>169</v>
      </c>
      <c r="C71" s="39" t="s">
        <v>12</v>
      </c>
      <c r="D71" s="100" t="s">
        <v>267</v>
      </c>
      <c r="E71" s="39">
        <v>90101600</v>
      </c>
      <c r="F71" s="129" t="s">
        <v>276</v>
      </c>
      <c r="G71" s="102" t="s">
        <v>86</v>
      </c>
      <c r="H71" s="103" t="s">
        <v>501</v>
      </c>
      <c r="I71" s="108" t="s">
        <v>503</v>
      </c>
      <c r="J71" s="108" t="s">
        <v>503</v>
      </c>
      <c r="K71" s="108" t="s">
        <v>503</v>
      </c>
      <c r="L71" s="118" t="s">
        <v>502</v>
      </c>
      <c r="M71" s="118" t="s">
        <v>502</v>
      </c>
      <c r="N71" s="118" t="s">
        <v>502</v>
      </c>
      <c r="O71" s="108" t="s">
        <v>503</v>
      </c>
      <c r="P71" s="108" t="s">
        <v>503</v>
      </c>
      <c r="Q71" s="108" t="s">
        <v>503</v>
      </c>
      <c r="R71" s="108" t="s">
        <v>503</v>
      </c>
      <c r="S71" s="108" t="s">
        <v>503</v>
      </c>
      <c r="T71" s="108" t="s">
        <v>503</v>
      </c>
      <c r="U71" s="108" t="s">
        <v>503</v>
      </c>
      <c r="V71" s="108" t="s">
        <v>503</v>
      </c>
      <c r="W71" s="108" t="s">
        <v>503</v>
      </c>
      <c r="X71" s="108" t="s">
        <v>503</v>
      </c>
      <c r="Y71" s="108" t="s">
        <v>503</v>
      </c>
      <c r="Z71" s="108" t="s">
        <v>503</v>
      </c>
      <c r="AA71" s="108" t="s">
        <v>503</v>
      </c>
      <c r="AB71" s="108" t="s">
        <v>503</v>
      </c>
      <c r="AC71" s="108" t="s">
        <v>503</v>
      </c>
      <c r="AD71" s="108" t="s">
        <v>503</v>
      </c>
      <c r="AE71" s="108" t="s">
        <v>503</v>
      </c>
      <c r="AF71" s="108" t="s">
        <v>503</v>
      </c>
      <c r="AG71" s="108" t="s">
        <v>503</v>
      </c>
      <c r="AH71" s="108" t="s">
        <v>503</v>
      </c>
      <c r="AI71" s="108" t="s">
        <v>503</v>
      </c>
      <c r="AJ71" s="108" t="s">
        <v>503</v>
      </c>
      <c r="AK71" s="108" t="s">
        <v>503</v>
      </c>
      <c r="AL71" s="108" t="s">
        <v>503</v>
      </c>
      <c r="AM71" s="108" t="s">
        <v>503</v>
      </c>
      <c r="AN71" s="108" t="s">
        <v>503</v>
      </c>
      <c r="AO71" s="108" t="s">
        <v>503</v>
      </c>
      <c r="AP71" s="108" t="s">
        <v>503</v>
      </c>
      <c r="AQ71" s="108" t="s">
        <v>503</v>
      </c>
      <c r="AR71" s="108" t="s">
        <v>503</v>
      </c>
      <c r="AS71" s="108" t="s">
        <v>503</v>
      </c>
      <c r="AT71" s="108" t="s">
        <v>503</v>
      </c>
      <c r="AU71" s="108" t="s">
        <v>503</v>
      </c>
      <c r="AV71" s="108" t="s">
        <v>503</v>
      </c>
      <c r="AW71" s="108" t="s">
        <v>503</v>
      </c>
      <c r="AX71" s="108" t="s">
        <v>503</v>
      </c>
      <c r="AY71" s="108" t="s">
        <v>503</v>
      </c>
      <c r="AZ71" s="108" t="s">
        <v>503</v>
      </c>
      <c r="BA71" s="108" t="s">
        <v>503</v>
      </c>
      <c r="BB71" s="108" t="s">
        <v>503</v>
      </c>
      <c r="BC71" s="108" t="s">
        <v>503</v>
      </c>
      <c r="BD71" s="108" t="s">
        <v>503</v>
      </c>
      <c r="BE71" s="108" t="s">
        <v>503</v>
      </c>
      <c r="BF71" s="108" t="s">
        <v>503</v>
      </c>
      <c r="BG71" s="108" t="s">
        <v>503</v>
      </c>
      <c r="BH71" s="108" t="s">
        <v>503</v>
      </c>
      <c r="BI71" s="108" t="s">
        <v>503</v>
      </c>
      <c r="BJ71" s="108" t="s">
        <v>503</v>
      </c>
      <c r="BK71" s="108" t="s">
        <v>503</v>
      </c>
      <c r="BL71" s="108" t="s">
        <v>503</v>
      </c>
      <c r="BM71" s="108" t="s">
        <v>503</v>
      </c>
      <c r="BN71" s="108" t="s">
        <v>503</v>
      </c>
      <c r="BO71" s="108" t="s">
        <v>503</v>
      </c>
      <c r="BP71" s="108" t="s">
        <v>503</v>
      </c>
      <c r="BQ71" s="108" t="s">
        <v>503</v>
      </c>
      <c r="BR71" s="108" t="s">
        <v>503</v>
      </c>
      <c r="BS71" s="108" t="s">
        <v>503</v>
      </c>
      <c r="BT71" s="108" t="s">
        <v>503</v>
      </c>
      <c r="BU71" s="108" t="s">
        <v>503</v>
      </c>
      <c r="BV71" s="108" t="s">
        <v>503</v>
      </c>
      <c r="BW71" s="108" t="s">
        <v>503</v>
      </c>
      <c r="BX71" s="108" t="s">
        <v>503</v>
      </c>
      <c r="BY71" s="108" t="s">
        <v>503</v>
      </c>
      <c r="BZ71" s="108" t="s">
        <v>503</v>
      </c>
      <c r="CA71" s="108" t="s">
        <v>503</v>
      </c>
      <c r="CB71" s="108" t="s">
        <v>503</v>
      </c>
      <c r="CC71" s="108" t="s">
        <v>503</v>
      </c>
      <c r="CD71" s="108" t="s">
        <v>503</v>
      </c>
      <c r="CE71" s="108" t="s">
        <v>503</v>
      </c>
      <c r="CF71" s="108" t="s">
        <v>503</v>
      </c>
      <c r="CG71" s="108" t="s">
        <v>503</v>
      </c>
      <c r="CH71" s="108" t="s">
        <v>503</v>
      </c>
      <c r="CI71" s="108" t="s">
        <v>503</v>
      </c>
      <c r="CJ71" s="108" t="s">
        <v>503</v>
      </c>
      <c r="CK71" s="108" t="s">
        <v>503</v>
      </c>
      <c r="CL71" s="108" t="s">
        <v>503</v>
      </c>
      <c r="CM71" s="108" t="s">
        <v>503</v>
      </c>
      <c r="CN71" s="108" t="s">
        <v>503</v>
      </c>
      <c r="CO71" s="108" t="s">
        <v>503</v>
      </c>
      <c r="CP71" s="108" t="s">
        <v>503</v>
      </c>
      <c r="CQ71" s="108" t="s">
        <v>503</v>
      </c>
      <c r="CR71" s="108" t="s">
        <v>503</v>
      </c>
      <c r="CS71" s="108" t="s">
        <v>503</v>
      </c>
      <c r="CT71" s="108" t="s">
        <v>503</v>
      </c>
      <c r="CU71" s="108" t="s">
        <v>503</v>
      </c>
      <c r="CV71" s="108" t="s">
        <v>503</v>
      </c>
      <c r="CW71" s="108" t="s">
        <v>503</v>
      </c>
      <c r="CX71" s="108" t="s">
        <v>503</v>
      </c>
      <c r="CY71" s="108" t="s">
        <v>503</v>
      </c>
      <c r="CZ71" s="108" t="s">
        <v>503</v>
      </c>
      <c r="DA71" s="108" t="s">
        <v>503</v>
      </c>
      <c r="DB71" s="108" t="s">
        <v>503</v>
      </c>
      <c r="DC71" s="108" t="s">
        <v>503</v>
      </c>
      <c r="DD71" s="108" t="s">
        <v>503</v>
      </c>
      <c r="DE71" s="108" t="s">
        <v>503</v>
      </c>
      <c r="DF71" s="108" t="s">
        <v>503</v>
      </c>
      <c r="DG71" s="108" t="s">
        <v>503</v>
      </c>
      <c r="DH71" s="108" t="s">
        <v>503</v>
      </c>
      <c r="DI71" s="108" t="s">
        <v>503</v>
      </c>
      <c r="DJ71" s="108" t="s">
        <v>503</v>
      </c>
      <c r="DK71" s="108" t="s">
        <v>503</v>
      </c>
      <c r="DL71" s="108" t="s">
        <v>503</v>
      </c>
      <c r="DM71" s="108" t="s">
        <v>503</v>
      </c>
      <c r="DN71" s="108" t="s">
        <v>503</v>
      </c>
      <c r="DO71" s="108" t="s">
        <v>503</v>
      </c>
      <c r="DP71" s="108" t="s">
        <v>669</v>
      </c>
      <c r="DQ71" s="108" t="s">
        <v>669</v>
      </c>
      <c r="DR71" s="108" t="s">
        <v>669</v>
      </c>
      <c r="DS71" s="108" t="s">
        <v>669</v>
      </c>
      <c r="DT71" s="108" t="s">
        <v>669</v>
      </c>
      <c r="DU71" s="108" t="s">
        <v>669</v>
      </c>
      <c r="DV71" s="108" t="s">
        <v>503</v>
      </c>
      <c r="DW71" s="108" t="s">
        <v>503</v>
      </c>
      <c r="DX71" s="108" t="s">
        <v>503</v>
      </c>
      <c r="DY71" s="108" t="s">
        <v>503</v>
      </c>
      <c r="DZ71" s="108" t="s">
        <v>503</v>
      </c>
      <c r="EA71" s="108" t="s">
        <v>503</v>
      </c>
      <c r="EB71" s="108" t="s">
        <v>503</v>
      </c>
      <c r="EC71" s="108" t="s">
        <v>503</v>
      </c>
      <c r="ED71" s="108" t="s">
        <v>503</v>
      </c>
      <c r="EE71" s="108" t="s">
        <v>503</v>
      </c>
      <c r="EF71" s="108" t="s">
        <v>503</v>
      </c>
      <c r="EG71" s="108" t="s">
        <v>503</v>
      </c>
      <c r="EH71" s="108" t="s">
        <v>503</v>
      </c>
      <c r="EI71" s="108" t="s">
        <v>503</v>
      </c>
      <c r="EJ71" s="108" t="s">
        <v>503</v>
      </c>
      <c r="EK71" s="108" t="s">
        <v>503</v>
      </c>
      <c r="EL71" s="108" t="s">
        <v>503</v>
      </c>
      <c r="EM71" s="108" t="s">
        <v>503</v>
      </c>
      <c r="EN71" s="108" t="s">
        <v>503</v>
      </c>
      <c r="EO71" s="108" t="s">
        <v>503</v>
      </c>
      <c r="EP71" s="108" t="s">
        <v>503</v>
      </c>
      <c r="EQ71" s="108" t="s">
        <v>502</v>
      </c>
      <c r="ER71" s="108" t="s">
        <v>502</v>
      </c>
      <c r="ES71" s="108" t="s">
        <v>502</v>
      </c>
      <c r="ET71" s="108" t="s">
        <v>502</v>
      </c>
      <c r="EU71" s="108" t="s">
        <v>502</v>
      </c>
      <c r="EV71" s="108" t="s">
        <v>502</v>
      </c>
      <c r="EW71" s="175">
        <v>10700</v>
      </c>
      <c r="EX71" s="176">
        <f t="shared" si="28"/>
        <v>856</v>
      </c>
      <c r="EY71" s="71">
        <f t="shared" si="29"/>
        <v>11556</v>
      </c>
      <c r="EZ71" s="71">
        <v>10700</v>
      </c>
      <c r="FA71" s="71">
        <f t="shared" si="27"/>
        <v>856</v>
      </c>
      <c r="FB71" s="71">
        <f t="shared" si="26"/>
        <v>11556</v>
      </c>
      <c r="FC71" s="108" t="s">
        <v>502</v>
      </c>
      <c r="FD71" s="108" t="s">
        <v>502</v>
      </c>
      <c r="FE71" s="108" t="s">
        <v>502</v>
      </c>
      <c r="FF71" s="108" t="s">
        <v>503</v>
      </c>
      <c r="FG71" s="108" t="s">
        <v>503</v>
      </c>
      <c r="FH71" s="108" t="s">
        <v>503</v>
      </c>
      <c r="FI71" s="108" t="s">
        <v>503</v>
      </c>
      <c r="FJ71" s="108" t="s">
        <v>503</v>
      </c>
      <c r="FK71" s="108" t="s">
        <v>503</v>
      </c>
      <c r="FL71" s="108" t="s">
        <v>503</v>
      </c>
      <c r="FM71" s="108" t="s">
        <v>503</v>
      </c>
      <c r="FN71" s="108" t="s">
        <v>503</v>
      </c>
      <c r="FO71" s="108" t="s">
        <v>502</v>
      </c>
      <c r="FP71" s="108" t="s">
        <v>502</v>
      </c>
      <c r="FQ71" s="108" t="s">
        <v>502</v>
      </c>
      <c r="FR71" s="108" t="s">
        <v>502</v>
      </c>
      <c r="FS71" s="108" t="s">
        <v>502</v>
      </c>
      <c r="FT71" s="108" t="s">
        <v>502</v>
      </c>
      <c r="FU71" s="108" t="s">
        <v>502</v>
      </c>
      <c r="FV71" s="108" t="s">
        <v>502</v>
      </c>
      <c r="FW71" s="108" t="s">
        <v>502</v>
      </c>
      <c r="FX71" s="108" t="s">
        <v>503</v>
      </c>
      <c r="FY71" s="108" t="s">
        <v>503</v>
      </c>
      <c r="FZ71" s="108" t="s">
        <v>503</v>
      </c>
      <c r="GA71" s="108" t="s">
        <v>503</v>
      </c>
      <c r="GB71" s="108" t="s">
        <v>503</v>
      </c>
      <c r="GC71" s="108" t="s">
        <v>503</v>
      </c>
      <c r="GD71" s="108" t="s">
        <v>503</v>
      </c>
      <c r="GE71" s="108" t="s">
        <v>503</v>
      </c>
      <c r="GF71" s="108" t="s">
        <v>503</v>
      </c>
      <c r="GG71" s="108" t="s">
        <v>669</v>
      </c>
      <c r="GH71" s="108" t="s">
        <v>669</v>
      </c>
      <c r="GI71" s="108" t="s">
        <v>669</v>
      </c>
      <c r="GJ71" s="108" t="s">
        <v>669</v>
      </c>
      <c r="GK71" s="108" t="s">
        <v>669</v>
      </c>
      <c r="GL71" s="108" t="s">
        <v>669</v>
      </c>
      <c r="GM71" s="108" t="s">
        <v>502</v>
      </c>
      <c r="GN71" s="108" t="s">
        <v>502</v>
      </c>
      <c r="GO71" s="108" t="s">
        <v>502</v>
      </c>
      <c r="GP71" s="108" t="s">
        <v>664</v>
      </c>
      <c r="GQ71" s="108" t="s">
        <v>664</v>
      </c>
      <c r="GR71" s="108" t="s">
        <v>664</v>
      </c>
      <c r="GS71" s="47">
        <f>12000/1.19</f>
        <v>10084.033613445379</v>
      </c>
      <c r="GT71" s="47">
        <f t="shared" si="23"/>
        <v>1915.966386554622</v>
      </c>
      <c r="GU71" s="69">
        <f t="shared" si="24"/>
        <v>12000.000000000002</v>
      </c>
      <c r="GV71" s="108" t="s">
        <v>502</v>
      </c>
      <c r="GW71" s="108" t="s">
        <v>502</v>
      </c>
      <c r="GX71" s="108" t="s">
        <v>502</v>
      </c>
      <c r="GY71" s="108" t="s">
        <v>664</v>
      </c>
      <c r="GZ71" s="108" t="s">
        <v>664</v>
      </c>
      <c r="HA71" s="108" t="s">
        <v>664</v>
      </c>
      <c r="HB71" s="108" t="s">
        <v>664</v>
      </c>
      <c r="HC71" s="108" t="s">
        <v>664</v>
      </c>
      <c r="HD71" s="108" t="s">
        <v>664</v>
      </c>
      <c r="HE71" s="108" t="s">
        <v>664</v>
      </c>
      <c r="HF71" s="108" t="s">
        <v>664</v>
      </c>
      <c r="HG71" s="108" t="s">
        <v>664</v>
      </c>
      <c r="HH71" s="108" t="s">
        <v>664</v>
      </c>
      <c r="HI71" s="108" t="s">
        <v>664</v>
      </c>
      <c r="HJ71" s="108" t="s">
        <v>664</v>
      </c>
      <c r="HK71" s="108" t="s">
        <v>664</v>
      </c>
      <c r="HL71" s="108" t="s">
        <v>664</v>
      </c>
      <c r="HM71" s="108" t="s">
        <v>664</v>
      </c>
      <c r="HN71" s="108" t="s">
        <v>664</v>
      </c>
      <c r="HO71" s="108" t="s">
        <v>664</v>
      </c>
      <c r="HP71" s="108" t="s">
        <v>664</v>
      </c>
      <c r="HQ71" s="108" t="s">
        <v>503</v>
      </c>
      <c r="HR71" s="108" t="s">
        <v>503</v>
      </c>
      <c r="HS71" s="108" t="s">
        <v>503</v>
      </c>
      <c r="HT71" s="108" t="s">
        <v>502</v>
      </c>
      <c r="HU71" s="108" t="s">
        <v>502</v>
      </c>
      <c r="HV71" s="108" t="s">
        <v>502</v>
      </c>
      <c r="HW71" s="108" t="s">
        <v>502</v>
      </c>
      <c r="HX71" s="108" t="s">
        <v>502</v>
      </c>
      <c r="HY71" s="108" t="s">
        <v>502</v>
      </c>
      <c r="HZ71" s="118" t="s">
        <v>502</v>
      </c>
      <c r="IA71" s="118" t="s">
        <v>502</v>
      </c>
      <c r="IB71" s="118" t="s">
        <v>502</v>
      </c>
      <c r="IC71" s="118" t="s">
        <v>502</v>
      </c>
      <c r="ID71" s="118" t="s">
        <v>502</v>
      </c>
      <c r="IE71" s="118" t="s">
        <v>502</v>
      </c>
      <c r="IF71" s="118" t="s">
        <v>502</v>
      </c>
      <c r="IG71" s="118" t="s">
        <v>502</v>
      </c>
      <c r="IH71" s="118" t="s">
        <v>502</v>
      </c>
      <c r="II71" s="118" t="s">
        <v>502</v>
      </c>
      <c r="IJ71" s="118" t="s">
        <v>502</v>
      </c>
      <c r="IK71" s="118" t="s">
        <v>502</v>
      </c>
      <c r="IL71" s="118" t="s">
        <v>502</v>
      </c>
      <c r="IM71" s="118" t="s">
        <v>502</v>
      </c>
      <c r="IN71" s="118" t="s">
        <v>502</v>
      </c>
      <c r="IO71" s="120" t="s">
        <v>503</v>
      </c>
      <c r="IP71" s="120" t="s">
        <v>503</v>
      </c>
      <c r="IQ71" s="120" t="s">
        <v>503</v>
      </c>
      <c r="IR71" s="118" t="s">
        <v>669</v>
      </c>
      <c r="IS71" s="118" t="s">
        <v>669</v>
      </c>
      <c r="IT71" s="118" t="s">
        <v>669</v>
      </c>
      <c r="IU71" s="120" t="s">
        <v>503</v>
      </c>
      <c r="IV71" s="120" t="s">
        <v>503</v>
      </c>
      <c r="IW71" s="120" t="s">
        <v>503</v>
      </c>
      <c r="IX71" s="120" t="s">
        <v>503</v>
      </c>
      <c r="IY71" s="120" t="s">
        <v>503</v>
      </c>
      <c r="IZ71" s="120" t="s">
        <v>503</v>
      </c>
      <c r="JA71" s="120" t="s">
        <v>503</v>
      </c>
      <c r="JB71" s="120" t="s">
        <v>503</v>
      </c>
      <c r="JC71" s="120" t="s">
        <v>503</v>
      </c>
      <c r="JD71" s="120" t="s">
        <v>664</v>
      </c>
      <c r="JE71" s="120" t="s">
        <v>664</v>
      </c>
      <c r="JF71" s="120" t="s">
        <v>664</v>
      </c>
      <c r="JG71" s="118" t="s">
        <v>502</v>
      </c>
      <c r="JH71" s="118" t="s">
        <v>502</v>
      </c>
      <c r="JI71" s="118" t="s">
        <v>502</v>
      </c>
      <c r="JJ71" s="118" t="s">
        <v>502</v>
      </c>
      <c r="JK71" s="118" t="s">
        <v>502</v>
      </c>
      <c r="JL71" s="118" t="s">
        <v>502</v>
      </c>
      <c r="JM71" s="118" t="s">
        <v>502</v>
      </c>
      <c r="JN71" s="118" t="s">
        <v>502</v>
      </c>
      <c r="JO71" s="118" t="s">
        <v>502</v>
      </c>
      <c r="JP71" s="110">
        <v>11600</v>
      </c>
      <c r="JQ71" s="111">
        <v>13859.371904</v>
      </c>
      <c r="JR71" s="112">
        <f t="shared" si="30"/>
        <v>3</v>
      </c>
      <c r="JS71" s="113">
        <f t="shared" si="31"/>
        <v>11704</v>
      </c>
      <c r="JT71" s="114">
        <f t="shared" si="32"/>
        <v>11750</v>
      </c>
      <c r="JU71" s="177"/>
    </row>
    <row r="72" spans="1:281" ht="101.25" customHeight="1" x14ac:dyDescent="0.2">
      <c r="A72" s="98">
        <v>170</v>
      </c>
      <c r="B72" s="99">
        <v>170</v>
      </c>
      <c r="C72" s="39" t="s">
        <v>12</v>
      </c>
      <c r="D72" s="100" t="s">
        <v>268</v>
      </c>
      <c r="E72" s="39">
        <v>90101600</v>
      </c>
      <c r="F72" s="129" t="s">
        <v>277</v>
      </c>
      <c r="G72" s="102" t="s">
        <v>86</v>
      </c>
      <c r="H72" s="103" t="s">
        <v>501</v>
      </c>
      <c r="I72" s="108" t="s">
        <v>503</v>
      </c>
      <c r="J72" s="108" t="s">
        <v>503</v>
      </c>
      <c r="K72" s="108" t="s">
        <v>503</v>
      </c>
      <c r="L72" s="118" t="s">
        <v>502</v>
      </c>
      <c r="M72" s="118" t="s">
        <v>502</v>
      </c>
      <c r="N72" s="118" t="s">
        <v>502</v>
      </c>
      <c r="O72" s="108" t="s">
        <v>503</v>
      </c>
      <c r="P72" s="108" t="s">
        <v>503</v>
      </c>
      <c r="Q72" s="108" t="s">
        <v>503</v>
      </c>
      <c r="R72" s="108" t="s">
        <v>503</v>
      </c>
      <c r="S72" s="108" t="s">
        <v>503</v>
      </c>
      <c r="T72" s="108" t="s">
        <v>503</v>
      </c>
      <c r="U72" s="108" t="s">
        <v>503</v>
      </c>
      <c r="V72" s="108" t="s">
        <v>503</v>
      </c>
      <c r="W72" s="108" t="s">
        <v>503</v>
      </c>
      <c r="X72" s="108" t="s">
        <v>503</v>
      </c>
      <c r="Y72" s="108" t="s">
        <v>503</v>
      </c>
      <c r="Z72" s="108" t="s">
        <v>503</v>
      </c>
      <c r="AA72" s="108" t="s">
        <v>503</v>
      </c>
      <c r="AB72" s="108" t="s">
        <v>503</v>
      </c>
      <c r="AC72" s="108" t="s">
        <v>503</v>
      </c>
      <c r="AD72" s="108" t="s">
        <v>503</v>
      </c>
      <c r="AE72" s="108" t="s">
        <v>503</v>
      </c>
      <c r="AF72" s="108" t="s">
        <v>503</v>
      </c>
      <c r="AG72" s="108" t="s">
        <v>503</v>
      </c>
      <c r="AH72" s="108" t="s">
        <v>503</v>
      </c>
      <c r="AI72" s="108" t="s">
        <v>503</v>
      </c>
      <c r="AJ72" s="108" t="s">
        <v>503</v>
      </c>
      <c r="AK72" s="108" t="s">
        <v>503</v>
      </c>
      <c r="AL72" s="108" t="s">
        <v>503</v>
      </c>
      <c r="AM72" s="108" t="s">
        <v>503</v>
      </c>
      <c r="AN72" s="108" t="s">
        <v>503</v>
      </c>
      <c r="AO72" s="108" t="s">
        <v>503</v>
      </c>
      <c r="AP72" s="108" t="s">
        <v>503</v>
      </c>
      <c r="AQ72" s="108" t="s">
        <v>503</v>
      </c>
      <c r="AR72" s="108" t="s">
        <v>503</v>
      </c>
      <c r="AS72" s="108" t="s">
        <v>503</v>
      </c>
      <c r="AT72" s="108" t="s">
        <v>503</v>
      </c>
      <c r="AU72" s="108" t="s">
        <v>503</v>
      </c>
      <c r="AV72" s="108" t="s">
        <v>503</v>
      </c>
      <c r="AW72" s="108" t="s">
        <v>503</v>
      </c>
      <c r="AX72" s="108" t="s">
        <v>503</v>
      </c>
      <c r="AY72" s="108" t="s">
        <v>503</v>
      </c>
      <c r="AZ72" s="108" t="s">
        <v>503</v>
      </c>
      <c r="BA72" s="108" t="s">
        <v>503</v>
      </c>
      <c r="BB72" s="108" t="s">
        <v>503</v>
      </c>
      <c r="BC72" s="108" t="s">
        <v>503</v>
      </c>
      <c r="BD72" s="108" t="s">
        <v>503</v>
      </c>
      <c r="BE72" s="108" t="s">
        <v>503</v>
      </c>
      <c r="BF72" s="108" t="s">
        <v>503</v>
      </c>
      <c r="BG72" s="108" t="s">
        <v>503</v>
      </c>
      <c r="BH72" s="108" t="s">
        <v>503</v>
      </c>
      <c r="BI72" s="108" t="s">
        <v>503</v>
      </c>
      <c r="BJ72" s="108" t="s">
        <v>503</v>
      </c>
      <c r="BK72" s="108" t="s">
        <v>503</v>
      </c>
      <c r="BL72" s="108" t="s">
        <v>503</v>
      </c>
      <c r="BM72" s="108" t="s">
        <v>503</v>
      </c>
      <c r="BN72" s="108" t="s">
        <v>503</v>
      </c>
      <c r="BO72" s="108" t="s">
        <v>503</v>
      </c>
      <c r="BP72" s="108" t="s">
        <v>503</v>
      </c>
      <c r="BQ72" s="108" t="s">
        <v>503</v>
      </c>
      <c r="BR72" s="108" t="s">
        <v>503</v>
      </c>
      <c r="BS72" s="108" t="s">
        <v>503</v>
      </c>
      <c r="BT72" s="108" t="s">
        <v>503</v>
      </c>
      <c r="BU72" s="108" t="s">
        <v>503</v>
      </c>
      <c r="BV72" s="108" t="s">
        <v>503</v>
      </c>
      <c r="BW72" s="108" t="s">
        <v>503</v>
      </c>
      <c r="BX72" s="108" t="s">
        <v>503</v>
      </c>
      <c r="BY72" s="108" t="s">
        <v>503</v>
      </c>
      <c r="BZ72" s="108" t="s">
        <v>503</v>
      </c>
      <c r="CA72" s="108" t="s">
        <v>503</v>
      </c>
      <c r="CB72" s="108" t="s">
        <v>503</v>
      </c>
      <c r="CC72" s="108" t="s">
        <v>503</v>
      </c>
      <c r="CD72" s="108" t="s">
        <v>503</v>
      </c>
      <c r="CE72" s="108" t="s">
        <v>503</v>
      </c>
      <c r="CF72" s="108" t="s">
        <v>503</v>
      </c>
      <c r="CG72" s="108" t="s">
        <v>503</v>
      </c>
      <c r="CH72" s="108" t="s">
        <v>503</v>
      </c>
      <c r="CI72" s="108" t="s">
        <v>503</v>
      </c>
      <c r="CJ72" s="108" t="s">
        <v>503</v>
      </c>
      <c r="CK72" s="108" t="s">
        <v>503</v>
      </c>
      <c r="CL72" s="108" t="s">
        <v>503</v>
      </c>
      <c r="CM72" s="108" t="s">
        <v>503</v>
      </c>
      <c r="CN72" s="108" t="s">
        <v>503</v>
      </c>
      <c r="CO72" s="108" t="s">
        <v>503</v>
      </c>
      <c r="CP72" s="108" t="s">
        <v>503</v>
      </c>
      <c r="CQ72" s="108" t="s">
        <v>503</v>
      </c>
      <c r="CR72" s="108" t="s">
        <v>503</v>
      </c>
      <c r="CS72" s="108" t="s">
        <v>503</v>
      </c>
      <c r="CT72" s="108" t="s">
        <v>503</v>
      </c>
      <c r="CU72" s="108" t="s">
        <v>503</v>
      </c>
      <c r="CV72" s="108" t="s">
        <v>503</v>
      </c>
      <c r="CW72" s="108" t="s">
        <v>503</v>
      </c>
      <c r="CX72" s="108" t="s">
        <v>503</v>
      </c>
      <c r="CY72" s="108" t="s">
        <v>503</v>
      </c>
      <c r="CZ72" s="108" t="s">
        <v>503</v>
      </c>
      <c r="DA72" s="108" t="s">
        <v>503</v>
      </c>
      <c r="DB72" s="108" t="s">
        <v>503</v>
      </c>
      <c r="DC72" s="108" t="s">
        <v>503</v>
      </c>
      <c r="DD72" s="108" t="s">
        <v>503</v>
      </c>
      <c r="DE72" s="108" t="s">
        <v>503</v>
      </c>
      <c r="DF72" s="108" t="s">
        <v>503</v>
      </c>
      <c r="DG72" s="108" t="s">
        <v>503</v>
      </c>
      <c r="DH72" s="108" t="s">
        <v>503</v>
      </c>
      <c r="DI72" s="108" t="s">
        <v>503</v>
      </c>
      <c r="DJ72" s="108" t="s">
        <v>503</v>
      </c>
      <c r="DK72" s="108" t="s">
        <v>503</v>
      </c>
      <c r="DL72" s="108" t="s">
        <v>503</v>
      </c>
      <c r="DM72" s="108" t="s">
        <v>503</v>
      </c>
      <c r="DN72" s="108" t="s">
        <v>503</v>
      </c>
      <c r="DO72" s="108" t="s">
        <v>503</v>
      </c>
      <c r="DP72" s="108" t="s">
        <v>669</v>
      </c>
      <c r="DQ72" s="108" t="s">
        <v>669</v>
      </c>
      <c r="DR72" s="108" t="s">
        <v>669</v>
      </c>
      <c r="DS72" s="108" t="s">
        <v>669</v>
      </c>
      <c r="DT72" s="108" t="s">
        <v>669</v>
      </c>
      <c r="DU72" s="108" t="s">
        <v>669</v>
      </c>
      <c r="DV72" s="108" t="s">
        <v>503</v>
      </c>
      <c r="DW72" s="108" t="s">
        <v>503</v>
      </c>
      <c r="DX72" s="108" t="s">
        <v>503</v>
      </c>
      <c r="DY72" s="108" t="s">
        <v>503</v>
      </c>
      <c r="DZ72" s="108" t="s">
        <v>503</v>
      </c>
      <c r="EA72" s="108" t="s">
        <v>503</v>
      </c>
      <c r="EB72" s="108" t="s">
        <v>503</v>
      </c>
      <c r="EC72" s="108" t="s">
        <v>503</v>
      </c>
      <c r="ED72" s="108" t="s">
        <v>503</v>
      </c>
      <c r="EE72" s="108" t="s">
        <v>503</v>
      </c>
      <c r="EF72" s="108" t="s">
        <v>503</v>
      </c>
      <c r="EG72" s="108" t="s">
        <v>503</v>
      </c>
      <c r="EH72" s="108" t="s">
        <v>503</v>
      </c>
      <c r="EI72" s="108" t="s">
        <v>503</v>
      </c>
      <c r="EJ72" s="108" t="s">
        <v>503</v>
      </c>
      <c r="EK72" s="108" t="s">
        <v>503</v>
      </c>
      <c r="EL72" s="108" t="s">
        <v>503</v>
      </c>
      <c r="EM72" s="108" t="s">
        <v>503</v>
      </c>
      <c r="EN72" s="108" t="s">
        <v>503</v>
      </c>
      <c r="EO72" s="108" t="s">
        <v>503</v>
      </c>
      <c r="EP72" s="108" t="s">
        <v>503</v>
      </c>
      <c r="EQ72" s="108" t="s">
        <v>502</v>
      </c>
      <c r="ER72" s="108" t="s">
        <v>502</v>
      </c>
      <c r="ES72" s="108" t="s">
        <v>502</v>
      </c>
      <c r="ET72" s="108" t="s">
        <v>502</v>
      </c>
      <c r="EU72" s="108" t="s">
        <v>502</v>
      </c>
      <c r="EV72" s="108" t="s">
        <v>502</v>
      </c>
      <c r="EW72" s="175">
        <v>14500</v>
      </c>
      <c r="EX72" s="176">
        <f t="shared" si="28"/>
        <v>1160</v>
      </c>
      <c r="EY72" s="71">
        <f t="shared" si="29"/>
        <v>15660</v>
      </c>
      <c r="EZ72" s="71">
        <v>14500</v>
      </c>
      <c r="FA72" s="71">
        <f t="shared" si="27"/>
        <v>1160</v>
      </c>
      <c r="FB72" s="71">
        <f t="shared" si="26"/>
        <v>15660</v>
      </c>
      <c r="FC72" s="108" t="s">
        <v>502</v>
      </c>
      <c r="FD72" s="108" t="s">
        <v>502</v>
      </c>
      <c r="FE72" s="108" t="s">
        <v>502</v>
      </c>
      <c r="FF72" s="108" t="s">
        <v>503</v>
      </c>
      <c r="FG72" s="108" t="s">
        <v>503</v>
      </c>
      <c r="FH72" s="108" t="s">
        <v>503</v>
      </c>
      <c r="FI72" s="108" t="s">
        <v>503</v>
      </c>
      <c r="FJ72" s="108" t="s">
        <v>503</v>
      </c>
      <c r="FK72" s="108" t="s">
        <v>503</v>
      </c>
      <c r="FL72" s="108" t="s">
        <v>503</v>
      </c>
      <c r="FM72" s="108" t="s">
        <v>503</v>
      </c>
      <c r="FN72" s="108" t="s">
        <v>503</v>
      </c>
      <c r="FO72" s="108" t="s">
        <v>502</v>
      </c>
      <c r="FP72" s="108" t="s">
        <v>502</v>
      </c>
      <c r="FQ72" s="108" t="s">
        <v>502</v>
      </c>
      <c r="FR72" s="108" t="s">
        <v>502</v>
      </c>
      <c r="FS72" s="108" t="s">
        <v>502</v>
      </c>
      <c r="FT72" s="108" t="s">
        <v>502</v>
      </c>
      <c r="FU72" s="108" t="s">
        <v>502</v>
      </c>
      <c r="FV72" s="108" t="s">
        <v>502</v>
      </c>
      <c r="FW72" s="108" t="s">
        <v>502</v>
      </c>
      <c r="FX72" s="108" t="s">
        <v>503</v>
      </c>
      <c r="FY72" s="108" t="s">
        <v>503</v>
      </c>
      <c r="FZ72" s="108" t="s">
        <v>503</v>
      </c>
      <c r="GA72" s="108" t="s">
        <v>503</v>
      </c>
      <c r="GB72" s="108" t="s">
        <v>503</v>
      </c>
      <c r="GC72" s="108" t="s">
        <v>503</v>
      </c>
      <c r="GD72" s="108" t="s">
        <v>503</v>
      </c>
      <c r="GE72" s="108" t="s">
        <v>503</v>
      </c>
      <c r="GF72" s="108" t="s">
        <v>503</v>
      </c>
      <c r="GG72" s="108" t="s">
        <v>669</v>
      </c>
      <c r="GH72" s="108" t="s">
        <v>669</v>
      </c>
      <c r="GI72" s="108" t="s">
        <v>669</v>
      </c>
      <c r="GJ72" s="108" t="s">
        <v>669</v>
      </c>
      <c r="GK72" s="108" t="s">
        <v>669</v>
      </c>
      <c r="GL72" s="108" t="s">
        <v>669</v>
      </c>
      <c r="GM72" s="108" t="s">
        <v>502</v>
      </c>
      <c r="GN72" s="108" t="s">
        <v>502</v>
      </c>
      <c r="GO72" s="108" t="s">
        <v>502</v>
      </c>
      <c r="GP72" s="108" t="s">
        <v>664</v>
      </c>
      <c r="GQ72" s="108" t="s">
        <v>664</v>
      </c>
      <c r="GR72" s="108" t="s">
        <v>664</v>
      </c>
      <c r="GS72" s="47">
        <f>18000/1.19</f>
        <v>15126.050420168069</v>
      </c>
      <c r="GT72" s="47">
        <f t="shared" si="23"/>
        <v>2873.9495798319331</v>
      </c>
      <c r="GU72" s="69">
        <f t="shared" si="24"/>
        <v>18000</v>
      </c>
      <c r="GV72" s="108" t="s">
        <v>502</v>
      </c>
      <c r="GW72" s="108" t="s">
        <v>502</v>
      </c>
      <c r="GX72" s="108" t="s">
        <v>502</v>
      </c>
      <c r="GY72" s="108" t="s">
        <v>664</v>
      </c>
      <c r="GZ72" s="108" t="s">
        <v>664</v>
      </c>
      <c r="HA72" s="108" t="s">
        <v>664</v>
      </c>
      <c r="HB72" s="108" t="s">
        <v>664</v>
      </c>
      <c r="HC72" s="108" t="s">
        <v>664</v>
      </c>
      <c r="HD72" s="108" t="s">
        <v>664</v>
      </c>
      <c r="HE72" s="108" t="s">
        <v>664</v>
      </c>
      <c r="HF72" s="108" t="s">
        <v>664</v>
      </c>
      <c r="HG72" s="108" t="s">
        <v>664</v>
      </c>
      <c r="HH72" s="108" t="s">
        <v>664</v>
      </c>
      <c r="HI72" s="108" t="s">
        <v>664</v>
      </c>
      <c r="HJ72" s="108" t="s">
        <v>664</v>
      </c>
      <c r="HK72" s="108" t="s">
        <v>664</v>
      </c>
      <c r="HL72" s="108" t="s">
        <v>664</v>
      </c>
      <c r="HM72" s="108" t="s">
        <v>664</v>
      </c>
      <c r="HN72" s="108" t="s">
        <v>664</v>
      </c>
      <c r="HO72" s="108" t="s">
        <v>664</v>
      </c>
      <c r="HP72" s="108" t="s">
        <v>664</v>
      </c>
      <c r="HQ72" s="108" t="s">
        <v>503</v>
      </c>
      <c r="HR72" s="108" t="s">
        <v>503</v>
      </c>
      <c r="HS72" s="108" t="s">
        <v>503</v>
      </c>
      <c r="HT72" s="108" t="s">
        <v>502</v>
      </c>
      <c r="HU72" s="108" t="s">
        <v>502</v>
      </c>
      <c r="HV72" s="108" t="s">
        <v>502</v>
      </c>
      <c r="HW72" s="108" t="s">
        <v>502</v>
      </c>
      <c r="HX72" s="108" t="s">
        <v>502</v>
      </c>
      <c r="HY72" s="108" t="s">
        <v>502</v>
      </c>
      <c r="HZ72" s="118" t="s">
        <v>502</v>
      </c>
      <c r="IA72" s="118" t="s">
        <v>502</v>
      </c>
      <c r="IB72" s="118" t="s">
        <v>502</v>
      </c>
      <c r="IC72" s="118" t="s">
        <v>502</v>
      </c>
      <c r="ID72" s="118" t="s">
        <v>502</v>
      </c>
      <c r="IE72" s="118" t="s">
        <v>502</v>
      </c>
      <c r="IF72" s="118" t="s">
        <v>502</v>
      </c>
      <c r="IG72" s="118" t="s">
        <v>502</v>
      </c>
      <c r="IH72" s="118" t="s">
        <v>502</v>
      </c>
      <c r="II72" s="118" t="s">
        <v>502</v>
      </c>
      <c r="IJ72" s="118" t="s">
        <v>502</v>
      </c>
      <c r="IK72" s="118" t="s">
        <v>502</v>
      </c>
      <c r="IL72" s="118" t="s">
        <v>502</v>
      </c>
      <c r="IM72" s="118" t="s">
        <v>502</v>
      </c>
      <c r="IN72" s="118" t="s">
        <v>502</v>
      </c>
      <c r="IO72" s="120" t="s">
        <v>503</v>
      </c>
      <c r="IP72" s="120" t="s">
        <v>503</v>
      </c>
      <c r="IQ72" s="120" t="s">
        <v>503</v>
      </c>
      <c r="IR72" s="118" t="s">
        <v>669</v>
      </c>
      <c r="IS72" s="118" t="s">
        <v>669</v>
      </c>
      <c r="IT72" s="118" t="s">
        <v>669</v>
      </c>
      <c r="IU72" s="120" t="s">
        <v>503</v>
      </c>
      <c r="IV72" s="120" t="s">
        <v>503</v>
      </c>
      <c r="IW72" s="120" t="s">
        <v>503</v>
      </c>
      <c r="IX72" s="120" t="s">
        <v>503</v>
      </c>
      <c r="IY72" s="120" t="s">
        <v>503</v>
      </c>
      <c r="IZ72" s="120" t="s">
        <v>503</v>
      </c>
      <c r="JA72" s="120" t="s">
        <v>503</v>
      </c>
      <c r="JB72" s="120" t="s">
        <v>503</v>
      </c>
      <c r="JC72" s="120" t="s">
        <v>503</v>
      </c>
      <c r="JD72" s="120" t="s">
        <v>664</v>
      </c>
      <c r="JE72" s="120" t="s">
        <v>664</v>
      </c>
      <c r="JF72" s="120" t="s">
        <v>664</v>
      </c>
      <c r="JG72" s="118" t="s">
        <v>502</v>
      </c>
      <c r="JH72" s="118" t="s">
        <v>502</v>
      </c>
      <c r="JI72" s="118" t="s">
        <v>502</v>
      </c>
      <c r="JJ72" s="118" t="s">
        <v>502</v>
      </c>
      <c r="JK72" s="118" t="s">
        <v>502</v>
      </c>
      <c r="JL72" s="118" t="s">
        <v>502</v>
      </c>
      <c r="JM72" s="118" t="s">
        <v>502</v>
      </c>
      <c r="JN72" s="118" t="s">
        <v>502</v>
      </c>
      <c r="JO72" s="118" t="s">
        <v>502</v>
      </c>
      <c r="JP72" s="110">
        <v>15250</v>
      </c>
      <c r="JQ72" s="111">
        <v>18220.294959999999</v>
      </c>
      <c r="JR72" s="112">
        <f t="shared" si="30"/>
        <v>3</v>
      </c>
      <c r="JS72" s="113">
        <f t="shared" si="31"/>
        <v>16440</v>
      </c>
      <c r="JT72" s="114">
        <f t="shared" si="32"/>
        <v>16450</v>
      </c>
      <c r="JU72" s="177"/>
    </row>
    <row r="73" spans="1:281" ht="101.25" customHeight="1" x14ac:dyDescent="0.2">
      <c r="A73" s="98">
        <v>171</v>
      </c>
      <c r="B73" s="99">
        <v>171</v>
      </c>
      <c r="C73" s="39" t="s">
        <v>12</v>
      </c>
      <c r="D73" s="100" t="s">
        <v>269</v>
      </c>
      <c r="E73" s="39">
        <v>90101600</v>
      </c>
      <c r="F73" s="129" t="s">
        <v>278</v>
      </c>
      <c r="G73" s="102" t="s">
        <v>86</v>
      </c>
      <c r="H73" s="103" t="s">
        <v>501</v>
      </c>
      <c r="I73" s="108" t="s">
        <v>503</v>
      </c>
      <c r="J73" s="108" t="s">
        <v>503</v>
      </c>
      <c r="K73" s="108" t="s">
        <v>503</v>
      </c>
      <c r="L73" s="118" t="s">
        <v>502</v>
      </c>
      <c r="M73" s="118" t="s">
        <v>502</v>
      </c>
      <c r="N73" s="118" t="s">
        <v>502</v>
      </c>
      <c r="O73" s="108" t="s">
        <v>503</v>
      </c>
      <c r="P73" s="108" t="s">
        <v>503</v>
      </c>
      <c r="Q73" s="108" t="s">
        <v>503</v>
      </c>
      <c r="R73" s="108" t="s">
        <v>503</v>
      </c>
      <c r="S73" s="108" t="s">
        <v>503</v>
      </c>
      <c r="T73" s="108" t="s">
        <v>503</v>
      </c>
      <c r="U73" s="108" t="s">
        <v>503</v>
      </c>
      <c r="V73" s="108" t="s">
        <v>503</v>
      </c>
      <c r="W73" s="108" t="s">
        <v>503</v>
      </c>
      <c r="X73" s="108" t="s">
        <v>503</v>
      </c>
      <c r="Y73" s="108" t="s">
        <v>503</v>
      </c>
      <c r="Z73" s="108" t="s">
        <v>503</v>
      </c>
      <c r="AA73" s="108" t="s">
        <v>503</v>
      </c>
      <c r="AB73" s="108" t="s">
        <v>503</v>
      </c>
      <c r="AC73" s="108" t="s">
        <v>503</v>
      </c>
      <c r="AD73" s="108" t="s">
        <v>503</v>
      </c>
      <c r="AE73" s="108" t="s">
        <v>503</v>
      </c>
      <c r="AF73" s="108" t="s">
        <v>503</v>
      </c>
      <c r="AG73" s="108" t="s">
        <v>503</v>
      </c>
      <c r="AH73" s="108" t="s">
        <v>503</v>
      </c>
      <c r="AI73" s="108" t="s">
        <v>503</v>
      </c>
      <c r="AJ73" s="108" t="s">
        <v>503</v>
      </c>
      <c r="AK73" s="108" t="s">
        <v>503</v>
      </c>
      <c r="AL73" s="108" t="s">
        <v>503</v>
      </c>
      <c r="AM73" s="108" t="s">
        <v>503</v>
      </c>
      <c r="AN73" s="108" t="s">
        <v>503</v>
      </c>
      <c r="AO73" s="108" t="s">
        <v>503</v>
      </c>
      <c r="AP73" s="108" t="s">
        <v>503</v>
      </c>
      <c r="AQ73" s="108" t="s">
        <v>503</v>
      </c>
      <c r="AR73" s="108" t="s">
        <v>503</v>
      </c>
      <c r="AS73" s="108" t="s">
        <v>503</v>
      </c>
      <c r="AT73" s="108" t="s">
        <v>503</v>
      </c>
      <c r="AU73" s="108" t="s">
        <v>503</v>
      </c>
      <c r="AV73" s="108" t="s">
        <v>503</v>
      </c>
      <c r="AW73" s="108" t="s">
        <v>503</v>
      </c>
      <c r="AX73" s="108" t="s">
        <v>503</v>
      </c>
      <c r="AY73" s="108" t="s">
        <v>503</v>
      </c>
      <c r="AZ73" s="108" t="s">
        <v>503</v>
      </c>
      <c r="BA73" s="108" t="s">
        <v>503</v>
      </c>
      <c r="BB73" s="108" t="s">
        <v>503</v>
      </c>
      <c r="BC73" s="108" t="s">
        <v>503</v>
      </c>
      <c r="BD73" s="108" t="s">
        <v>503</v>
      </c>
      <c r="BE73" s="108" t="s">
        <v>503</v>
      </c>
      <c r="BF73" s="108" t="s">
        <v>503</v>
      </c>
      <c r="BG73" s="108" t="s">
        <v>503</v>
      </c>
      <c r="BH73" s="108" t="s">
        <v>503</v>
      </c>
      <c r="BI73" s="108" t="s">
        <v>503</v>
      </c>
      <c r="BJ73" s="108" t="s">
        <v>503</v>
      </c>
      <c r="BK73" s="108" t="s">
        <v>503</v>
      </c>
      <c r="BL73" s="108" t="s">
        <v>503</v>
      </c>
      <c r="BM73" s="108" t="s">
        <v>503</v>
      </c>
      <c r="BN73" s="108" t="s">
        <v>503</v>
      </c>
      <c r="BO73" s="108" t="s">
        <v>503</v>
      </c>
      <c r="BP73" s="108" t="s">
        <v>503</v>
      </c>
      <c r="BQ73" s="108" t="s">
        <v>503</v>
      </c>
      <c r="BR73" s="108" t="s">
        <v>503</v>
      </c>
      <c r="BS73" s="108" t="s">
        <v>503</v>
      </c>
      <c r="BT73" s="108" t="s">
        <v>503</v>
      </c>
      <c r="BU73" s="108" t="s">
        <v>503</v>
      </c>
      <c r="BV73" s="108" t="s">
        <v>503</v>
      </c>
      <c r="BW73" s="108" t="s">
        <v>503</v>
      </c>
      <c r="BX73" s="108" t="s">
        <v>503</v>
      </c>
      <c r="BY73" s="108" t="s">
        <v>503</v>
      </c>
      <c r="BZ73" s="108" t="s">
        <v>503</v>
      </c>
      <c r="CA73" s="108" t="s">
        <v>503</v>
      </c>
      <c r="CB73" s="108" t="s">
        <v>503</v>
      </c>
      <c r="CC73" s="108" t="s">
        <v>503</v>
      </c>
      <c r="CD73" s="108" t="s">
        <v>503</v>
      </c>
      <c r="CE73" s="108" t="s">
        <v>503</v>
      </c>
      <c r="CF73" s="108" t="s">
        <v>503</v>
      </c>
      <c r="CG73" s="108" t="s">
        <v>503</v>
      </c>
      <c r="CH73" s="108" t="s">
        <v>503</v>
      </c>
      <c r="CI73" s="108" t="s">
        <v>503</v>
      </c>
      <c r="CJ73" s="108" t="s">
        <v>503</v>
      </c>
      <c r="CK73" s="108" t="s">
        <v>503</v>
      </c>
      <c r="CL73" s="108" t="s">
        <v>503</v>
      </c>
      <c r="CM73" s="108" t="s">
        <v>503</v>
      </c>
      <c r="CN73" s="108" t="s">
        <v>503</v>
      </c>
      <c r="CO73" s="108" t="s">
        <v>503</v>
      </c>
      <c r="CP73" s="108" t="s">
        <v>503</v>
      </c>
      <c r="CQ73" s="108" t="s">
        <v>503</v>
      </c>
      <c r="CR73" s="108" t="s">
        <v>503</v>
      </c>
      <c r="CS73" s="108" t="s">
        <v>503</v>
      </c>
      <c r="CT73" s="108" t="s">
        <v>503</v>
      </c>
      <c r="CU73" s="108" t="s">
        <v>503</v>
      </c>
      <c r="CV73" s="108" t="s">
        <v>503</v>
      </c>
      <c r="CW73" s="108" t="s">
        <v>503</v>
      </c>
      <c r="CX73" s="108" t="s">
        <v>503</v>
      </c>
      <c r="CY73" s="108" t="s">
        <v>503</v>
      </c>
      <c r="CZ73" s="108" t="s">
        <v>503</v>
      </c>
      <c r="DA73" s="108" t="s">
        <v>503</v>
      </c>
      <c r="DB73" s="108" t="s">
        <v>503</v>
      </c>
      <c r="DC73" s="108" t="s">
        <v>503</v>
      </c>
      <c r="DD73" s="108" t="s">
        <v>503</v>
      </c>
      <c r="DE73" s="108" t="s">
        <v>503</v>
      </c>
      <c r="DF73" s="108" t="s">
        <v>503</v>
      </c>
      <c r="DG73" s="108" t="s">
        <v>503</v>
      </c>
      <c r="DH73" s="108" t="s">
        <v>503</v>
      </c>
      <c r="DI73" s="108" t="s">
        <v>503</v>
      </c>
      <c r="DJ73" s="108" t="s">
        <v>503</v>
      </c>
      <c r="DK73" s="108" t="s">
        <v>503</v>
      </c>
      <c r="DL73" s="108" t="s">
        <v>503</v>
      </c>
      <c r="DM73" s="108" t="s">
        <v>503</v>
      </c>
      <c r="DN73" s="108" t="s">
        <v>503</v>
      </c>
      <c r="DO73" s="108" t="s">
        <v>503</v>
      </c>
      <c r="DP73" s="108" t="s">
        <v>669</v>
      </c>
      <c r="DQ73" s="108" t="s">
        <v>669</v>
      </c>
      <c r="DR73" s="108" t="s">
        <v>669</v>
      </c>
      <c r="DS73" s="108" t="s">
        <v>669</v>
      </c>
      <c r="DT73" s="108" t="s">
        <v>669</v>
      </c>
      <c r="DU73" s="108" t="s">
        <v>669</v>
      </c>
      <c r="DV73" s="108" t="s">
        <v>503</v>
      </c>
      <c r="DW73" s="108" t="s">
        <v>503</v>
      </c>
      <c r="DX73" s="108" t="s">
        <v>503</v>
      </c>
      <c r="DY73" s="108" t="s">
        <v>503</v>
      </c>
      <c r="DZ73" s="108" t="s">
        <v>503</v>
      </c>
      <c r="EA73" s="108" t="s">
        <v>503</v>
      </c>
      <c r="EB73" s="108" t="s">
        <v>503</v>
      </c>
      <c r="EC73" s="108" t="s">
        <v>503</v>
      </c>
      <c r="ED73" s="108" t="s">
        <v>503</v>
      </c>
      <c r="EE73" s="108" t="s">
        <v>503</v>
      </c>
      <c r="EF73" s="108" t="s">
        <v>503</v>
      </c>
      <c r="EG73" s="108" t="s">
        <v>503</v>
      </c>
      <c r="EH73" s="108" t="s">
        <v>503</v>
      </c>
      <c r="EI73" s="108" t="s">
        <v>503</v>
      </c>
      <c r="EJ73" s="108" t="s">
        <v>503</v>
      </c>
      <c r="EK73" s="108" t="s">
        <v>503</v>
      </c>
      <c r="EL73" s="108" t="s">
        <v>503</v>
      </c>
      <c r="EM73" s="108" t="s">
        <v>503</v>
      </c>
      <c r="EN73" s="108" t="s">
        <v>503</v>
      </c>
      <c r="EO73" s="108" t="s">
        <v>503</v>
      </c>
      <c r="EP73" s="108" t="s">
        <v>503</v>
      </c>
      <c r="EQ73" s="108" t="s">
        <v>502</v>
      </c>
      <c r="ER73" s="108" t="s">
        <v>502</v>
      </c>
      <c r="ES73" s="108" t="s">
        <v>502</v>
      </c>
      <c r="ET73" s="108" t="s">
        <v>502</v>
      </c>
      <c r="EU73" s="108" t="s">
        <v>502</v>
      </c>
      <c r="EV73" s="108" t="s">
        <v>502</v>
      </c>
      <c r="EW73" s="175">
        <v>16700</v>
      </c>
      <c r="EX73" s="176">
        <f t="shared" si="28"/>
        <v>1336</v>
      </c>
      <c r="EY73" s="71">
        <f t="shared" si="29"/>
        <v>18036</v>
      </c>
      <c r="EZ73" s="71">
        <v>16700</v>
      </c>
      <c r="FA73" s="71">
        <f t="shared" si="27"/>
        <v>1336</v>
      </c>
      <c r="FB73" s="71">
        <f t="shared" si="26"/>
        <v>18036</v>
      </c>
      <c r="FC73" s="108" t="s">
        <v>502</v>
      </c>
      <c r="FD73" s="108" t="s">
        <v>502</v>
      </c>
      <c r="FE73" s="108" t="s">
        <v>502</v>
      </c>
      <c r="FF73" s="108" t="s">
        <v>503</v>
      </c>
      <c r="FG73" s="108" t="s">
        <v>503</v>
      </c>
      <c r="FH73" s="108" t="s">
        <v>503</v>
      </c>
      <c r="FI73" s="108" t="s">
        <v>503</v>
      </c>
      <c r="FJ73" s="108" t="s">
        <v>503</v>
      </c>
      <c r="FK73" s="108" t="s">
        <v>503</v>
      </c>
      <c r="FL73" s="108" t="s">
        <v>503</v>
      </c>
      <c r="FM73" s="108" t="s">
        <v>503</v>
      </c>
      <c r="FN73" s="108" t="s">
        <v>503</v>
      </c>
      <c r="FO73" s="108" t="s">
        <v>502</v>
      </c>
      <c r="FP73" s="108" t="s">
        <v>502</v>
      </c>
      <c r="FQ73" s="108" t="s">
        <v>502</v>
      </c>
      <c r="FR73" s="108" t="s">
        <v>502</v>
      </c>
      <c r="FS73" s="108" t="s">
        <v>502</v>
      </c>
      <c r="FT73" s="108" t="s">
        <v>502</v>
      </c>
      <c r="FU73" s="108" t="s">
        <v>502</v>
      </c>
      <c r="FV73" s="108" t="s">
        <v>502</v>
      </c>
      <c r="FW73" s="108" t="s">
        <v>502</v>
      </c>
      <c r="FX73" s="108" t="s">
        <v>503</v>
      </c>
      <c r="FY73" s="108" t="s">
        <v>503</v>
      </c>
      <c r="FZ73" s="108" t="s">
        <v>503</v>
      </c>
      <c r="GA73" s="108" t="s">
        <v>503</v>
      </c>
      <c r="GB73" s="108" t="s">
        <v>503</v>
      </c>
      <c r="GC73" s="108" t="s">
        <v>503</v>
      </c>
      <c r="GD73" s="108" t="s">
        <v>503</v>
      </c>
      <c r="GE73" s="108" t="s">
        <v>503</v>
      </c>
      <c r="GF73" s="108" t="s">
        <v>503</v>
      </c>
      <c r="GG73" s="108" t="s">
        <v>669</v>
      </c>
      <c r="GH73" s="108" t="s">
        <v>669</v>
      </c>
      <c r="GI73" s="108" t="s">
        <v>669</v>
      </c>
      <c r="GJ73" s="108" t="s">
        <v>669</v>
      </c>
      <c r="GK73" s="108" t="s">
        <v>669</v>
      </c>
      <c r="GL73" s="108" t="s">
        <v>669</v>
      </c>
      <c r="GM73" s="108" t="s">
        <v>502</v>
      </c>
      <c r="GN73" s="108" t="s">
        <v>502</v>
      </c>
      <c r="GO73" s="108" t="s">
        <v>502</v>
      </c>
      <c r="GP73" s="108" t="s">
        <v>664</v>
      </c>
      <c r="GQ73" s="108" t="s">
        <v>664</v>
      </c>
      <c r="GR73" s="108" t="s">
        <v>664</v>
      </c>
      <c r="GS73" s="47">
        <f>16000/1.19</f>
        <v>13445.378151260506</v>
      </c>
      <c r="GT73" s="47">
        <f t="shared" si="23"/>
        <v>2554.6218487394963</v>
      </c>
      <c r="GU73" s="69">
        <f t="shared" si="24"/>
        <v>16000.000000000002</v>
      </c>
      <c r="GV73" s="108" t="s">
        <v>502</v>
      </c>
      <c r="GW73" s="108" t="s">
        <v>502</v>
      </c>
      <c r="GX73" s="108" t="s">
        <v>502</v>
      </c>
      <c r="GY73" s="108" t="s">
        <v>664</v>
      </c>
      <c r="GZ73" s="108" t="s">
        <v>664</v>
      </c>
      <c r="HA73" s="108" t="s">
        <v>664</v>
      </c>
      <c r="HB73" s="108" t="s">
        <v>664</v>
      </c>
      <c r="HC73" s="108" t="s">
        <v>664</v>
      </c>
      <c r="HD73" s="108" t="s">
        <v>664</v>
      </c>
      <c r="HE73" s="108" t="s">
        <v>664</v>
      </c>
      <c r="HF73" s="108" t="s">
        <v>664</v>
      </c>
      <c r="HG73" s="108" t="s">
        <v>664</v>
      </c>
      <c r="HH73" s="108" t="s">
        <v>664</v>
      </c>
      <c r="HI73" s="108" t="s">
        <v>664</v>
      </c>
      <c r="HJ73" s="108" t="s">
        <v>664</v>
      </c>
      <c r="HK73" s="108" t="s">
        <v>664</v>
      </c>
      <c r="HL73" s="108" t="s">
        <v>664</v>
      </c>
      <c r="HM73" s="108" t="s">
        <v>664</v>
      </c>
      <c r="HN73" s="108" t="s">
        <v>664</v>
      </c>
      <c r="HO73" s="108" t="s">
        <v>664</v>
      </c>
      <c r="HP73" s="108" t="s">
        <v>664</v>
      </c>
      <c r="HQ73" s="108" t="s">
        <v>503</v>
      </c>
      <c r="HR73" s="108" t="s">
        <v>503</v>
      </c>
      <c r="HS73" s="108" t="s">
        <v>503</v>
      </c>
      <c r="HT73" s="108" t="s">
        <v>502</v>
      </c>
      <c r="HU73" s="108" t="s">
        <v>502</v>
      </c>
      <c r="HV73" s="108" t="s">
        <v>502</v>
      </c>
      <c r="HW73" s="108" t="s">
        <v>502</v>
      </c>
      <c r="HX73" s="108" t="s">
        <v>502</v>
      </c>
      <c r="HY73" s="108" t="s">
        <v>502</v>
      </c>
      <c r="HZ73" s="118" t="s">
        <v>502</v>
      </c>
      <c r="IA73" s="118" t="s">
        <v>502</v>
      </c>
      <c r="IB73" s="118" t="s">
        <v>502</v>
      </c>
      <c r="IC73" s="118" t="s">
        <v>502</v>
      </c>
      <c r="ID73" s="118" t="s">
        <v>502</v>
      </c>
      <c r="IE73" s="118" t="s">
        <v>502</v>
      </c>
      <c r="IF73" s="118" t="s">
        <v>502</v>
      </c>
      <c r="IG73" s="118" t="s">
        <v>502</v>
      </c>
      <c r="IH73" s="118" t="s">
        <v>502</v>
      </c>
      <c r="II73" s="118" t="s">
        <v>502</v>
      </c>
      <c r="IJ73" s="118" t="s">
        <v>502</v>
      </c>
      <c r="IK73" s="118" t="s">
        <v>502</v>
      </c>
      <c r="IL73" s="118" t="s">
        <v>502</v>
      </c>
      <c r="IM73" s="118" t="s">
        <v>502</v>
      </c>
      <c r="IN73" s="118" t="s">
        <v>502</v>
      </c>
      <c r="IO73" s="120" t="s">
        <v>503</v>
      </c>
      <c r="IP73" s="120" t="s">
        <v>503</v>
      </c>
      <c r="IQ73" s="120" t="s">
        <v>503</v>
      </c>
      <c r="IR73" s="118" t="s">
        <v>669</v>
      </c>
      <c r="IS73" s="118" t="s">
        <v>669</v>
      </c>
      <c r="IT73" s="118" t="s">
        <v>669</v>
      </c>
      <c r="IU73" s="120" t="s">
        <v>503</v>
      </c>
      <c r="IV73" s="120" t="s">
        <v>503</v>
      </c>
      <c r="IW73" s="120" t="s">
        <v>503</v>
      </c>
      <c r="IX73" s="120" t="s">
        <v>503</v>
      </c>
      <c r="IY73" s="120" t="s">
        <v>503</v>
      </c>
      <c r="IZ73" s="120" t="s">
        <v>503</v>
      </c>
      <c r="JA73" s="120" t="s">
        <v>503</v>
      </c>
      <c r="JB73" s="120" t="s">
        <v>503</v>
      </c>
      <c r="JC73" s="120" t="s">
        <v>503</v>
      </c>
      <c r="JD73" s="120" t="s">
        <v>664</v>
      </c>
      <c r="JE73" s="120" t="s">
        <v>664</v>
      </c>
      <c r="JF73" s="120" t="s">
        <v>664</v>
      </c>
      <c r="JG73" s="118" t="s">
        <v>502</v>
      </c>
      <c r="JH73" s="118" t="s">
        <v>502</v>
      </c>
      <c r="JI73" s="118" t="s">
        <v>502</v>
      </c>
      <c r="JJ73" s="118" t="s">
        <v>502</v>
      </c>
      <c r="JK73" s="118" t="s">
        <v>502</v>
      </c>
      <c r="JL73" s="118" t="s">
        <v>502</v>
      </c>
      <c r="JM73" s="118" t="s">
        <v>502</v>
      </c>
      <c r="JN73" s="118" t="s">
        <v>502</v>
      </c>
      <c r="JO73" s="118" t="s">
        <v>502</v>
      </c>
      <c r="JP73" s="110">
        <v>10500</v>
      </c>
      <c r="JQ73" s="111">
        <v>12545.12112</v>
      </c>
      <c r="JR73" s="112">
        <f t="shared" si="30"/>
        <v>3</v>
      </c>
      <c r="JS73" s="113">
        <f t="shared" si="31"/>
        <v>17357.333333333332</v>
      </c>
      <c r="JT73" s="114">
        <f t="shared" si="32"/>
        <v>17400</v>
      </c>
      <c r="JU73" s="177"/>
    </row>
    <row r="74" spans="1:281" ht="101.25" customHeight="1" x14ac:dyDescent="0.2">
      <c r="A74" s="98">
        <v>172</v>
      </c>
      <c r="B74" s="99">
        <v>172</v>
      </c>
      <c r="C74" s="39" t="s">
        <v>12</v>
      </c>
      <c r="D74" s="100" t="s">
        <v>270</v>
      </c>
      <c r="E74" s="39">
        <v>90101600</v>
      </c>
      <c r="F74" s="129" t="s">
        <v>279</v>
      </c>
      <c r="G74" s="102" t="s">
        <v>86</v>
      </c>
      <c r="H74" s="103" t="s">
        <v>501</v>
      </c>
      <c r="I74" s="108" t="s">
        <v>503</v>
      </c>
      <c r="J74" s="108" t="s">
        <v>503</v>
      </c>
      <c r="K74" s="108" t="s">
        <v>503</v>
      </c>
      <c r="L74" s="118" t="s">
        <v>502</v>
      </c>
      <c r="M74" s="118" t="s">
        <v>502</v>
      </c>
      <c r="N74" s="118" t="s">
        <v>502</v>
      </c>
      <c r="O74" s="108" t="s">
        <v>503</v>
      </c>
      <c r="P74" s="108" t="s">
        <v>503</v>
      </c>
      <c r="Q74" s="108" t="s">
        <v>503</v>
      </c>
      <c r="R74" s="108" t="s">
        <v>503</v>
      </c>
      <c r="S74" s="108" t="s">
        <v>503</v>
      </c>
      <c r="T74" s="108" t="s">
        <v>503</v>
      </c>
      <c r="U74" s="108" t="s">
        <v>503</v>
      </c>
      <c r="V74" s="108" t="s">
        <v>503</v>
      </c>
      <c r="W74" s="108" t="s">
        <v>503</v>
      </c>
      <c r="X74" s="108" t="s">
        <v>503</v>
      </c>
      <c r="Y74" s="108" t="s">
        <v>503</v>
      </c>
      <c r="Z74" s="108" t="s">
        <v>503</v>
      </c>
      <c r="AA74" s="108" t="s">
        <v>503</v>
      </c>
      <c r="AB74" s="108" t="s">
        <v>503</v>
      </c>
      <c r="AC74" s="108" t="s">
        <v>503</v>
      </c>
      <c r="AD74" s="108" t="s">
        <v>503</v>
      </c>
      <c r="AE74" s="108" t="s">
        <v>503</v>
      </c>
      <c r="AF74" s="108" t="s">
        <v>503</v>
      </c>
      <c r="AG74" s="108" t="s">
        <v>503</v>
      </c>
      <c r="AH74" s="108" t="s">
        <v>503</v>
      </c>
      <c r="AI74" s="108" t="s">
        <v>503</v>
      </c>
      <c r="AJ74" s="108" t="s">
        <v>503</v>
      </c>
      <c r="AK74" s="108" t="s">
        <v>503</v>
      </c>
      <c r="AL74" s="108" t="s">
        <v>503</v>
      </c>
      <c r="AM74" s="108" t="s">
        <v>503</v>
      </c>
      <c r="AN74" s="108" t="s">
        <v>503</v>
      </c>
      <c r="AO74" s="108" t="s">
        <v>503</v>
      </c>
      <c r="AP74" s="108" t="s">
        <v>503</v>
      </c>
      <c r="AQ74" s="108" t="s">
        <v>503</v>
      </c>
      <c r="AR74" s="108" t="s">
        <v>503</v>
      </c>
      <c r="AS74" s="108" t="s">
        <v>503</v>
      </c>
      <c r="AT74" s="108" t="s">
        <v>503</v>
      </c>
      <c r="AU74" s="108" t="s">
        <v>503</v>
      </c>
      <c r="AV74" s="108" t="s">
        <v>503</v>
      </c>
      <c r="AW74" s="108" t="s">
        <v>503</v>
      </c>
      <c r="AX74" s="108" t="s">
        <v>503</v>
      </c>
      <c r="AY74" s="108" t="s">
        <v>503</v>
      </c>
      <c r="AZ74" s="108" t="s">
        <v>503</v>
      </c>
      <c r="BA74" s="108" t="s">
        <v>503</v>
      </c>
      <c r="BB74" s="108" t="s">
        <v>503</v>
      </c>
      <c r="BC74" s="108" t="s">
        <v>503</v>
      </c>
      <c r="BD74" s="108" t="s">
        <v>503</v>
      </c>
      <c r="BE74" s="108" t="s">
        <v>503</v>
      </c>
      <c r="BF74" s="108" t="s">
        <v>503</v>
      </c>
      <c r="BG74" s="108" t="s">
        <v>503</v>
      </c>
      <c r="BH74" s="108" t="s">
        <v>503</v>
      </c>
      <c r="BI74" s="108" t="s">
        <v>503</v>
      </c>
      <c r="BJ74" s="108" t="s">
        <v>503</v>
      </c>
      <c r="BK74" s="108" t="s">
        <v>503</v>
      </c>
      <c r="BL74" s="108" t="s">
        <v>503</v>
      </c>
      <c r="BM74" s="108" t="s">
        <v>503</v>
      </c>
      <c r="BN74" s="108" t="s">
        <v>503</v>
      </c>
      <c r="BO74" s="108" t="s">
        <v>503</v>
      </c>
      <c r="BP74" s="108" t="s">
        <v>503</v>
      </c>
      <c r="BQ74" s="108" t="s">
        <v>503</v>
      </c>
      <c r="BR74" s="108" t="s">
        <v>503</v>
      </c>
      <c r="BS74" s="108" t="s">
        <v>503</v>
      </c>
      <c r="BT74" s="108" t="s">
        <v>503</v>
      </c>
      <c r="BU74" s="108" t="s">
        <v>503</v>
      </c>
      <c r="BV74" s="108" t="s">
        <v>503</v>
      </c>
      <c r="BW74" s="108" t="s">
        <v>503</v>
      </c>
      <c r="BX74" s="108" t="s">
        <v>503</v>
      </c>
      <c r="BY74" s="108" t="s">
        <v>503</v>
      </c>
      <c r="BZ74" s="108" t="s">
        <v>503</v>
      </c>
      <c r="CA74" s="108" t="s">
        <v>503</v>
      </c>
      <c r="CB74" s="108" t="s">
        <v>503</v>
      </c>
      <c r="CC74" s="108" t="s">
        <v>503</v>
      </c>
      <c r="CD74" s="108" t="s">
        <v>503</v>
      </c>
      <c r="CE74" s="108" t="s">
        <v>503</v>
      </c>
      <c r="CF74" s="108" t="s">
        <v>503</v>
      </c>
      <c r="CG74" s="108" t="s">
        <v>503</v>
      </c>
      <c r="CH74" s="108" t="s">
        <v>503</v>
      </c>
      <c r="CI74" s="108" t="s">
        <v>503</v>
      </c>
      <c r="CJ74" s="108" t="s">
        <v>503</v>
      </c>
      <c r="CK74" s="108" t="s">
        <v>503</v>
      </c>
      <c r="CL74" s="108" t="s">
        <v>503</v>
      </c>
      <c r="CM74" s="108" t="s">
        <v>503</v>
      </c>
      <c r="CN74" s="108" t="s">
        <v>503</v>
      </c>
      <c r="CO74" s="108" t="s">
        <v>503</v>
      </c>
      <c r="CP74" s="108" t="s">
        <v>503</v>
      </c>
      <c r="CQ74" s="108" t="s">
        <v>503</v>
      </c>
      <c r="CR74" s="108" t="s">
        <v>503</v>
      </c>
      <c r="CS74" s="108" t="s">
        <v>503</v>
      </c>
      <c r="CT74" s="108" t="s">
        <v>503</v>
      </c>
      <c r="CU74" s="108" t="s">
        <v>503</v>
      </c>
      <c r="CV74" s="108" t="s">
        <v>503</v>
      </c>
      <c r="CW74" s="108" t="s">
        <v>503</v>
      </c>
      <c r="CX74" s="108" t="s">
        <v>503</v>
      </c>
      <c r="CY74" s="108" t="s">
        <v>503</v>
      </c>
      <c r="CZ74" s="108" t="s">
        <v>503</v>
      </c>
      <c r="DA74" s="108" t="s">
        <v>503</v>
      </c>
      <c r="DB74" s="108" t="s">
        <v>503</v>
      </c>
      <c r="DC74" s="108" t="s">
        <v>503</v>
      </c>
      <c r="DD74" s="108" t="s">
        <v>503</v>
      </c>
      <c r="DE74" s="108" t="s">
        <v>503</v>
      </c>
      <c r="DF74" s="108" t="s">
        <v>503</v>
      </c>
      <c r="DG74" s="108" t="s">
        <v>503</v>
      </c>
      <c r="DH74" s="108" t="s">
        <v>503</v>
      </c>
      <c r="DI74" s="108" t="s">
        <v>503</v>
      </c>
      <c r="DJ74" s="108" t="s">
        <v>503</v>
      </c>
      <c r="DK74" s="108" t="s">
        <v>503</v>
      </c>
      <c r="DL74" s="108" t="s">
        <v>503</v>
      </c>
      <c r="DM74" s="108" t="s">
        <v>503</v>
      </c>
      <c r="DN74" s="108" t="s">
        <v>503</v>
      </c>
      <c r="DO74" s="108" t="s">
        <v>503</v>
      </c>
      <c r="DP74" s="108" t="s">
        <v>669</v>
      </c>
      <c r="DQ74" s="108" t="s">
        <v>669</v>
      </c>
      <c r="DR74" s="108" t="s">
        <v>669</v>
      </c>
      <c r="DS74" s="108" t="s">
        <v>669</v>
      </c>
      <c r="DT74" s="108" t="s">
        <v>669</v>
      </c>
      <c r="DU74" s="108" t="s">
        <v>669</v>
      </c>
      <c r="DV74" s="108" t="s">
        <v>503</v>
      </c>
      <c r="DW74" s="108" t="s">
        <v>503</v>
      </c>
      <c r="DX74" s="108" t="s">
        <v>503</v>
      </c>
      <c r="DY74" s="108" t="s">
        <v>503</v>
      </c>
      <c r="DZ74" s="108" t="s">
        <v>503</v>
      </c>
      <c r="EA74" s="108" t="s">
        <v>503</v>
      </c>
      <c r="EB74" s="108" t="s">
        <v>503</v>
      </c>
      <c r="EC74" s="108" t="s">
        <v>503</v>
      </c>
      <c r="ED74" s="108" t="s">
        <v>503</v>
      </c>
      <c r="EE74" s="108" t="s">
        <v>503</v>
      </c>
      <c r="EF74" s="108" t="s">
        <v>503</v>
      </c>
      <c r="EG74" s="108" t="s">
        <v>503</v>
      </c>
      <c r="EH74" s="108" t="s">
        <v>503</v>
      </c>
      <c r="EI74" s="108" t="s">
        <v>503</v>
      </c>
      <c r="EJ74" s="108" t="s">
        <v>503</v>
      </c>
      <c r="EK74" s="108" t="s">
        <v>503</v>
      </c>
      <c r="EL74" s="108" t="s">
        <v>503</v>
      </c>
      <c r="EM74" s="108" t="s">
        <v>503</v>
      </c>
      <c r="EN74" s="108" t="s">
        <v>503</v>
      </c>
      <c r="EO74" s="108" t="s">
        <v>503</v>
      </c>
      <c r="EP74" s="108" t="s">
        <v>503</v>
      </c>
      <c r="EQ74" s="108" t="s">
        <v>502</v>
      </c>
      <c r="ER74" s="108" t="s">
        <v>502</v>
      </c>
      <c r="ES74" s="108" t="s">
        <v>502</v>
      </c>
      <c r="ET74" s="108" t="s">
        <v>502</v>
      </c>
      <c r="EU74" s="108" t="s">
        <v>502</v>
      </c>
      <c r="EV74" s="108" t="s">
        <v>502</v>
      </c>
      <c r="EW74" s="175">
        <v>18900</v>
      </c>
      <c r="EX74" s="176">
        <f t="shared" si="28"/>
        <v>1512</v>
      </c>
      <c r="EY74" s="71">
        <f t="shared" si="29"/>
        <v>20412</v>
      </c>
      <c r="EZ74" s="71">
        <v>18900</v>
      </c>
      <c r="FA74" s="71">
        <f t="shared" si="27"/>
        <v>1512</v>
      </c>
      <c r="FB74" s="71">
        <f t="shared" si="26"/>
        <v>20412</v>
      </c>
      <c r="FC74" s="108" t="s">
        <v>502</v>
      </c>
      <c r="FD74" s="108" t="s">
        <v>502</v>
      </c>
      <c r="FE74" s="108" t="s">
        <v>502</v>
      </c>
      <c r="FF74" s="108" t="s">
        <v>503</v>
      </c>
      <c r="FG74" s="108" t="s">
        <v>503</v>
      </c>
      <c r="FH74" s="108" t="s">
        <v>503</v>
      </c>
      <c r="FI74" s="108" t="s">
        <v>503</v>
      </c>
      <c r="FJ74" s="108" t="s">
        <v>503</v>
      </c>
      <c r="FK74" s="108" t="s">
        <v>503</v>
      </c>
      <c r="FL74" s="108" t="s">
        <v>503</v>
      </c>
      <c r="FM74" s="108" t="s">
        <v>503</v>
      </c>
      <c r="FN74" s="108" t="s">
        <v>503</v>
      </c>
      <c r="FO74" s="108" t="s">
        <v>502</v>
      </c>
      <c r="FP74" s="108" t="s">
        <v>502</v>
      </c>
      <c r="FQ74" s="108" t="s">
        <v>502</v>
      </c>
      <c r="FR74" s="108" t="s">
        <v>502</v>
      </c>
      <c r="FS74" s="108" t="s">
        <v>502</v>
      </c>
      <c r="FT74" s="108" t="s">
        <v>502</v>
      </c>
      <c r="FU74" s="108" t="s">
        <v>502</v>
      </c>
      <c r="FV74" s="108" t="s">
        <v>502</v>
      </c>
      <c r="FW74" s="108" t="s">
        <v>502</v>
      </c>
      <c r="FX74" s="108" t="s">
        <v>503</v>
      </c>
      <c r="FY74" s="108" t="s">
        <v>503</v>
      </c>
      <c r="FZ74" s="108" t="s">
        <v>503</v>
      </c>
      <c r="GA74" s="108" t="s">
        <v>503</v>
      </c>
      <c r="GB74" s="108" t="s">
        <v>503</v>
      </c>
      <c r="GC74" s="108" t="s">
        <v>503</v>
      </c>
      <c r="GD74" s="108" t="s">
        <v>503</v>
      </c>
      <c r="GE74" s="108" t="s">
        <v>503</v>
      </c>
      <c r="GF74" s="108" t="s">
        <v>503</v>
      </c>
      <c r="GG74" s="108" t="s">
        <v>669</v>
      </c>
      <c r="GH74" s="108" t="s">
        <v>669</v>
      </c>
      <c r="GI74" s="108" t="s">
        <v>669</v>
      </c>
      <c r="GJ74" s="108" t="s">
        <v>669</v>
      </c>
      <c r="GK74" s="108" t="s">
        <v>669</v>
      </c>
      <c r="GL74" s="108" t="s">
        <v>669</v>
      </c>
      <c r="GM74" s="108" t="s">
        <v>502</v>
      </c>
      <c r="GN74" s="108" t="s">
        <v>502</v>
      </c>
      <c r="GO74" s="108" t="s">
        <v>502</v>
      </c>
      <c r="GP74" s="108" t="s">
        <v>664</v>
      </c>
      <c r="GQ74" s="108" t="s">
        <v>664</v>
      </c>
      <c r="GR74" s="108" t="s">
        <v>664</v>
      </c>
      <c r="GS74" s="47">
        <f>25000/1.19</f>
        <v>21008.403361344539</v>
      </c>
      <c r="GT74" s="47">
        <f t="shared" si="23"/>
        <v>3991.5966386554624</v>
      </c>
      <c r="GU74" s="69">
        <f t="shared" si="24"/>
        <v>25000</v>
      </c>
      <c r="GV74" s="108" t="s">
        <v>502</v>
      </c>
      <c r="GW74" s="108" t="s">
        <v>502</v>
      </c>
      <c r="GX74" s="108" t="s">
        <v>502</v>
      </c>
      <c r="GY74" s="108" t="s">
        <v>664</v>
      </c>
      <c r="GZ74" s="108" t="s">
        <v>664</v>
      </c>
      <c r="HA74" s="108" t="s">
        <v>664</v>
      </c>
      <c r="HB74" s="108" t="s">
        <v>664</v>
      </c>
      <c r="HC74" s="108" t="s">
        <v>664</v>
      </c>
      <c r="HD74" s="108" t="s">
        <v>664</v>
      </c>
      <c r="HE74" s="108" t="s">
        <v>664</v>
      </c>
      <c r="HF74" s="108" t="s">
        <v>664</v>
      </c>
      <c r="HG74" s="108" t="s">
        <v>664</v>
      </c>
      <c r="HH74" s="108" t="s">
        <v>664</v>
      </c>
      <c r="HI74" s="108" t="s">
        <v>664</v>
      </c>
      <c r="HJ74" s="108" t="s">
        <v>664</v>
      </c>
      <c r="HK74" s="108" t="s">
        <v>664</v>
      </c>
      <c r="HL74" s="108" t="s">
        <v>664</v>
      </c>
      <c r="HM74" s="108" t="s">
        <v>664</v>
      </c>
      <c r="HN74" s="108" t="s">
        <v>664</v>
      </c>
      <c r="HO74" s="108" t="s">
        <v>664</v>
      </c>
      <c r="HP74" s="108" t="s">
        <v>664</v>
      </c>
      <c r="HQ74" s="108" t="s">
        <v>503</v>
      </c>
      <c r="HR74" s="108" t="s">
        <v>503</v>
      </c>
      <c r="HS74" s="108" t="s">
        <v>503</v>
      </c>
      <c r="HT74" s="108" t="s">
        <v>502</v>
      </c>
      <c r="HU74" s="108" t="s">
        <v>502</v>
      </c>
      <c r="HV74" s="108" t="s">
        <v>502</v>
      </c>
      <c r="HW74" s="108" t="s">
        <v>502</v>
      </c>
      <c r="HX74" s="108" t="s">
        <v>502</v>
      </c>
      <c r="HY74" s="108" t="s">
        <v>502</v>
      </c>
      <c r="HZ74" s="118" t="s">
        <v>502</v>
      </c>
      <c r="IA74" s="118" t="s">
        <v>502</v>
      </c>
      <c r="IB74" s="118" t="s">
        <v>502</v>
      </c>
      <c r="IC74" s="118" t="s">
        <v>502</v>
      </c>
      <c r="ID74" s="118" t="s">
        <v>502</v>
      </c>
      <c r="IE74" s="118" t="s">
        <v>502</v>
      </c>
      <c r="IF74" s="118" t="s">
        <v>502</v>
      </c>
      <c r="IG74" s="118" t="s">
        <v>502</v>
      </c>
      <c r="IH74" s="118" t="s">
        <v>502</v>
      </c>
      <c r="II74" s="118" t="s">
        <v>502</v>
      </c>
      <c r="IJ74" s="118" t="s">
        <v>502</v>
      </c>
      <c r="IK74" s="118" t="s">
        <v>502</v>
      </c>
      <c r="IL74" s="118" t="s">
        <v>502</v>
      </c>
      <c r="IM74" s="118" t="s">
        <v>502</v>
      </c>
      <c r="IN74" s="118" t="s">
        <v>502</v>
      </c>
      <c r="IO74" s="120" t="s">
        <v>503</v>
      </c>
      <c r="IP74" s="120" t="s">
        <v>503</v>
      </c>
      <c r="IQ74" s="120" t="s">
        <v>503</v>
      </c>
      <c r="IR74" s="118" t="s">
        <v>669</v>
      </c>
      <c r="IS74" s="118" t="s">
        <v>669</v>
      </c>
      <c r="IT74" s="118" t="s">
        <v>669</v>
      </c>
      <c r="IU74" s="120" t="s">
        <v>503</v>
      </c>
      <c r="IV74" s="120" t="s">
        <v>503</v>
      </c>
      <c r="IW74" s="120" t="s">
        <v>503</v>
      </c>
      <c r="IX74" s="120" t="s">
        <v>503</v>
      </c>
      <c r="IY74" s="120" t="s">
        <v>503</v>
      </c>
      <c r="IZ74" s="120" t="s">
        <v>503</v>
      </c>
      <c r="JA74" s="120" t="s">
        <v>503</v>
      </c>
      <c r="JB74" s="120" t="s">
        <v>503</v>
      </c>
      <c r="JC74" s="120" t="s">
        <v>503</v>
      </c>
      <c r="JD74" s="120" t="s">
        <v>664</v>
      </c>
      <c r="JE74" s="120" t="s">
        <v>664</v>
      </c>
      <c r="JF74" s="120" t="s">
        <v>664</v>
      </c>
      <c r="JG74" s="118" t="s">
        <v>502</v>
      </c>
      <c r="JH74" s="118" t="s">
        <v>502</v>
      </c>
      <c r="JI74" s="118" t="s">
        <v>502</v>
      </c>
      <c r="JJ74" s="118" t="s">
        <v>502</v>
      </c>
      <c r="JK74" s="118" t="s">
        <v>502</v>
      </c>
      <c r="JL74" s="118" t="s">
        <v>502</v>
      </c>
      <c r="JM74" s="118" t="s">
        <v>502</v>
      </c>
      <c r="JN74" s="118" t="s">
        <v>502</v>
      </c>
      <c r="JO74" s="118" t="s">
        <v>502</v>
      </c>
      <c r="JP74" s="110">
        <v>22300</v>
      </c>
      <c r="JQ74" s="111">
        <v>26643.447712000001</v>
      </c>
      <c r="JR74" s="112">
        <f t="shared" si="30"/>
        <v>3</v>
      </c>
      <c r="JS74" s="113">
        <f t="shared" si="31"/>
        <v>21941.333333333332</v>
      </c>
      <c r="JT74" s="114">
        <f t="shared" si="32"/>
        <v>21950</v>
      </c>
      <c r="JU74" s="177"/>
    </row>
    <row r="75" spans="1:281" ht="101.25" customHeight="1" x14ac:dyDescent="0.2">
      <c r="A75" s="98">
        <v>173</v>
      </c>
      <c r="B75" s="99">
        <v>173</v>
      </c>
      <c r="C75" s="39" t="s">
        <v>12</v>
      </c>
      <c r="D75" s="100" t="s">
        <v>271</v>
      </c>
      <c r="E75" s="39">
        <v>90101600</v>
      </c>
      <c r="F75" s="101" t="s">
        <v>280</v>
      </c>
      <c r="G75" s="102" t="s">
        <v>86</v>
      </c>
      <c r="H75" s="103" t="s">
        <v>501</v>
      </c>
      <c r="I75" s="108" t="s">
        <v>503</v>
      </c>
      <c r="J75" s="108" t="s">
        <v>503</v>
      </c>
      <c r="K75" s="108" t="s">
        <v>503</v>
      </c>
      <c r="L75" s="118" t="s">
        <v>502</v>
      </c>
      <c r="M75" s="118" t="s">
        <v>502</v>
      </c>
      <c r="N75" s="118" t="s">
        <v>502</v>
      </c>
      <c r="O75" s="108" t="s">
        <v>503</v>
      </c>
      <c r="P75" s="108" t="s">
        <v>503</v>
      </c>
      <c r="Q75" s="108" t="s">
        <v>503</v>
      </c>
      <c r="R75" s="108" t="s">
        <v>503</v>
      </c>
      <c r="S75" s="108" t="s">
        <v>503</v>
      </c>
      <c r="T75" s="108" t="s">
        <v>503</v>
      </c>
      <c r="U75" s="118" t="s">
        <v>502</v>
      </c>
      <c r="V75" s="118" t="s">
        <v>502</v>
      </c>
      <c r="W75" s="118" t="s">
        <v>502</v>
      </c>
      <c r="X75" s="108" t="s">
        <v>503</v>
      </c>
      <c r="Y75" s="108" t="s">
        <v>503</v>
      </c>
      <c r="Z75" s="108" t="s">
        <v>503</v>
      </c>
      <c r="AA75" s="108" t="s">
        <v>503</v>
      </c>
      <c r="AB75" s="108" t="s">
        <v>503</v>
      </c>
      <c r="AC75" s="108" t="s">
        <v>503</v>
      </c>
      <c r="AD75" s="108" t="s">
        <v>503</v>
      </c>
      <c r="AE75" s="108" t="s">
        <v>503</v>
      </c>
      <c r="AF75" s="108" t="s">
        <v>503</v>
      </c>
      <c r="AG75" s="108" t="s">
        <v>503</v>
      </c>
      <c r="AH75" s="108" t="s">
        <v>503</v>
      </c>
      <c r="AI75" s="108" t="s">
        <v>503</v>
      </c>
      <c r="AJ75" s="108" t="s">
        <v>503</v>
      </c>
      <c r="AK75" s="108" t="s">
        <v>503</v>
      </c>
      <c r="AL75" s="108" t="s">
        <v>503</v>
      </c>
      <c r="AM75" s="108" t="s">
        <v>503</v>
      </c>
      <c r="AN75" s="108" t="s">
        <v>503</v>
      </c>
      <c r="AO75" s="108" t="s">
        <v>503</v>
      </c>
      <c r="AP75" s="108" t="s">
        <v>503</v>
      </c>
      <c r="AQ75" s="108" t="s">
        <v>503</v>
      </c>
      <c r="AR75" s="108" t="s">
        <v>503</v>
      </c>
      <c r="AS75" s="108" t="s">
        <v>503</v>
      </c>
      <c r="AT75" s="108" t="s">
        <v>503</v>
      </c>
      <c r="AU75" s="108" t="s">
        <v>503</v>
      </c>
      <c r="AV75" s="108" t="s">
        <v>503</v>
      </c>
      <c r="AW75" s="108" t="s">
        <v>503</v>
      </c>
      <c r="AX75" s="108" t="s">
        <v>503</v>
      </c>
      <c r="AY75" s="108" t="s">
        <v>503</v>
      </c>
      <c r="AZ75" s="108" t="s">
        <v>503</v>
      </c>
      <c r="BA75" s="108" t="s">
        <v>503</v>
      </c>
      <c r="BB75" s="108" t="s">
        <v>503</v>
      </c>
      <c r="BC75" s="108" t="s">
        <v>503</v>
      </c>
      <c r="BD75" s="108" t="s">
        <v>503</v>
      </c>
      <c r="BE75" s="108" t="s">
        <v>503</v>
      </c>
      <c r="BF75" s="108" t="s">
        <v>503</v>
      </c>
      <c r="BG75" s="108" t="s">
        <v>503</v>
      </c>
      <c r="BH75" s="108" t="s">
        <v>503</v>
      </c>
      <c r="BI75" s="108" t="s">
        <v>503</v>
      </c>
      <c r="BJ75" s="108" t="s">
        <v>503</v>
      </c>
      <c r="BK75" s="108" t="s">
        <v>503</v>
      </c>
      <c r="BL75" s="108" t="s">
        <v>503</v>
      </c>
      <c r="BM75" s="108" t="s">
        <v>503</v>
      </c>
      <c r="BN75" s="108" t="s">
        <v>503</v>
      </c>
      <c r="BO75" s="108" t="s">
        <v>503</v>
      </c>
      <c r="BP75" s="108" t="s">
        <v>503</v>
      </c>
      <c r="BQ75" s="108" t="s">
        <v>503</v>
      </c>
      <c r="BR75" s="108" t="s">
        <v>503</v>
      </c>
      <c r="BS75" s="108" t="s">
        <v>503</v>
      </c>
      <c r="BT75" s="108" t="s">
        <v>503</v>
      </c>
      <c r="BU75" s="108" t="s">
        <v>503</v>
      </c>
      <c r="BV75" s="108" t="s">
        <v>503</v>
      </c>
      <c r="BW75" s="108" t="s">
        <v>503</v>
      </c>
      <c r="BX75" s="108" t="s">
        <v>503</v>
      </c>
      <c r="BY75" s="108" t="s">
        <v>503</v>
      </c>
      <c r="BZ75" s="108" t="s">
        <v>503</v>
      </c>
      <c r="CA75" s="108" t="s">
        <v>503</v>
      </c>
      <c r="CB75" s="108" t="s">
        <v>503</v>
      </c>
      <c r="CC75" s="108" t="s">
        <v>503</v>
      </c>
      <c r="CD75" s="108" t="s">
        <v>503</v>
      </c>
      <c r="CE75" s="108" t="s">
        <v>503</v>
      </c>
      <c r="CF75" s="108" t="s">
        <v>503</v>
      </c>
      <c r="CG75" s="108" t="s">
        <v>503</v>
      </c>
      <c r="CH75" s="108" t="s">
        <v>503</v>
      </c>
      <c r="CI75" s="108" t="s">
        <v>503</v>
      </c>
      <c r="CJ75" s="108" t="s">
        <v>503</v>
      </c>
      <c r="CK75" s="108" t="s">
        <v>503</v>
      </c>
      <c r="CL75" s="108" t="s">
        <v>503</v>
      </c>
      <c r="CM75" s="108" t="s">
        <v>503</v>
      </c>
      <c r="CN75" s="108" t="s">
        <v>503</v>
      </c>
      <c r="CO75" s="108" t="s">
        <v>503</v>
      </c>
      <c r="CP75" s="108" t="s">
        <v>503</v>
      </c>
      <c r="CQ75" s="108" t="s">
        <v>503</v>
      </c>
      <c r="CR75" s="108" t="s">
        <v>503</v>
      </c>
      <c r="CS75" s="108" t="s">
        <v>503</v>
      </c>
      <c r="CT75" s="108" t="s">
        <v>503</v>
      </c>
      <c r="CU75" s="108" t="s">
        <v>503</v>
      </c>
      <c r="CV75" s="108" t="s">
        <v>503</v>
      </c>
      <c r="CW75" s="108" t="s">
        <v>503</v>
      </c>
      <c r="CX75" s="108" t="s">
        <v>503</v>
      </c>
      <c r="CY75" s="108" t="s">
        <v>503</v>
      </c>
      <c r="CZ75" s="108" t="s">
        <v>503</v>
      </c>
      <c r="DA75" s="108" t="s">
        <v>503</v>
      </c>
      <c r="DB75" s="108" t="s">
        <v>503</v>
      </c>
      <c r="DC75" s="108" t="s">
        <v>503</v>
      </c>
      <c r="DD75" s="108" t="s">
        <v>503</v>
      </c>
      <c r="DE75" s="108" t="s">
        <v>503</v>
      </c>
      <c r="DF75" s="108" t="s">
        <v>503</v>
      </c>
      <c r="DG75" s="108" t="s">
        <v>503</v>
      </c>
      <c r="DH75" s="108" t="s">
        <v>503</v>
      </c>
      <c r="DI75" s="108" t="s">
        <v>503</v>
      </c>
      <c r="DJ75" s="108" t="s">
        <v>503</v>
      </c>
      <c r="DK75" s="108" t="s">
        <v>503</v>
      </c>
      <c r="DL75" s="108" t="s">
        <v>503</v>
      </c>
      <c r="DM75" s="108" t="s">
        <v>503</v>
      </c>
      <c r="DN75" s="108" t="s">
        <v>503</v>
      </c>
      <c r="DO75" s="108" t="s">
        <v>503</v>
      </c>
      <c r="DP75" s="108" t="s">
        <v>669</v>
      </c>
      <c r="DQ75" s="108" t="s">
        <v>669</v>
      </c>
      <c r="DR75" s="108" t="s">
        <v>669</v>
      </c>
      <c r="DS75" s="108" t="s">
        <v>669</v>
      </c>
      <c r="DT75" s="108" t="s">
        <v>669</v>
      </c>
      <c r="DU75" s="108" t="s">
        <v>669</v>
      </c>
      <c r="DV75" s="108" t="s">
        <v>503</v>
      </c>
      <c r="DW75" s="108" t="s">
        <v>503</v>
      </c>
      <c r="DX75" s="108" t="s">
        <v>503</v>
      </c>
      <c r="DY75" s="108" t="s">
        <v>503</v>
      </c>
      <c r="DZ75" s="108" t="s">
        <v>503</v>
      </c>
      <c r="EA75" s="108" t="s">
        <v>503</v>
      </c>
      <c r="EB75" s="108" t="s">
        <v>503</v>
      </c>
      <c r="EC75" s="108" t="s">
        <v>503</v>
      </c>
      <c r="ED75" s="108" t="s">
        <v>503</v>
      </c>
      <c r="EE75" s="108" t="s">
        <v>503</v>
      </c>
      <c r="EF75" s="108" t="s">
        <v>503</v>
      </c>
      <c r="EG75" s="108" t="s">
        <v>503</v>
      </c>
      <c r="EH75" s="108" t="s">
        <v>503</v>
      </c>
      <c r="EI75" s="108" t="s">
        <v>503</v>
      </c>
      <c r="EJ75" s="108" t="s">
        <v>503</v>
      </c>
      <c r="EK75" s="108" t="s">
        <v>503</v>
      </c>
      <c r="EL75" s="108" t="s">
        <v>503</v>
      </c>
      <c r="EM75" s="108" t="s">
        <v>503</v>
      </c>
      <c r="EN75" s="108" t="s">
        <v>503</v>
      </c>
      <c r="EO75" s="108" t="s">
        <v>503</v>
      </c>
      <c r="EP75" s="108" t="s">
        <v>503</v>
      </c>
      <c r="EQ75" s="108" t="s">
        <v>502</v>
      </c>
      <c r="ER75" s="108" t="s">
        <v>502</v>
      </c>
      <c r="ES75" s="108" t="s">
        <v>502</v>
      </c>
      <c r="ET75" s="108" t="s">
        <v>502</v>
      </c>
      <c r="EU75" s="108" t="s">
        <v>502</v>
      </c>
      <c r="EV75" s="108" t="s">
        <v>502</v>
      </c>
      <c r="EW75" s="108" t="s">
        <v>503</v>
      </c>
      <c r="EX75" s="108" t="s">
        <v>503</v>
      </c>
      <c r="EY75" s="108" t="s">
        <v>503</v>
      </c>
      <c r="EZ75" s="108" t="s">
        <v>503</v>
      </c>
      <c r="FA75" s="108" t="s">
        <v>503</v>
      </c>
      <c r="FB75" s="108" t="s">
        <v>503</v>
      </c>
      <c r="FC75" s="108" t="s">
        <v>502</v>
      </c>
      <c r="FD75" s="108" t="s">
        <v>502</v>
      </c>
      <c r="FE75" s="108" t="s">
        <v>502</v>
      </c>
      <c r="FF75" s="108" t="s">
        <v>503</v>
      </c>
      <c r="FG75" s="108" t="s">
        <v>503</v>
      </c>
      <c r="FH75" s="108" t="s">
        <v>503</v>
      </c>
      <c r="FI75" s="108" t="s">
        <v>503</v>
      </c>
      <c r="FJ75" s="108" t="s">
        <v>503</v>
      </c>
      <c r="FK75" s="108" t="s">
        <v>503</v>
      </c>
      <c r="FL75" s="108" t="s">
        <v>503</v>
      </c>
      <c r="FM75" s="108" t="s">
        <v>503</v>
      </c>
      <c r="FN75" s="108" t="s">
        <v>503</v>
      </c>
      <c r="FO75" s="108" t="s">
        <v>502</v>
      </c>
      <c r="FP75" s="108" t="s">
        <v>502</v>
      </c>
      <c r="FQ75" s="108" t="s">
        <v>502</v>
      </c>
      <c r="FR75" s="108" t="s">
        <v>502</v>
      </c>
      <c r="FS75" s="108" t="s">
        <v>502</v>
      </c>
      <c r="FT75" s="108" t="s">
        <v>502</v>
      </c>
      <c r="FU75" s="108" t="s">
        <v>502</v>
      </c>
      <c r="FV75" s="108" t="s">
        <v>502</v>
      </c>
      <c r="FW75" s="108" t="s">
        <v>502</v>
      </c>
      <c r="FX75" s="108" t="s">
        <v>503</v>
      </c>
      <c r="FY75" s="108" t="s">
        <v>503</v>
      </c>
      <c r="FZ75" s="108" t="s">
        <v>503</v>
      </c>
      <c r="GA75" s="108" t="s">
        <v>503</v>
      </c>
      <c r="GB75" s="108" t="s">
        <v>503</v>
      </c>
      <c r="GC75" s="108" t="s">
        <v>503</v>
      </c>
      <c r="GD75" s="108" t="s">
        <v>503</v>
      </c>
      <c r="GE75" s="108" t="s">
        <v>503</v>
      </c>
      <c r="GF75" s="108" t="s">
        <v>503</v>
      </c>
      <c r="GG75" s="108" t="s">
        <v>669</v>
      </c>
      <c r="GH75" s="108" t="s">
        <v>669</v>
      </c>
      <c r="GI75" s="108" t="s">
        <v>669</v>
      </c>
      <c r="GJ75" s="108" t="s">
        <v>669</v>
      </c>
      <c r="GK75" s="108" t="s">
        <v>669</v>
      </c>
      <c r="GL75" s="108" t="s">
        <v>669</v>
      </c>
      <c r="GM75" s="108" t="s">
        <v>502</v>
      </c>
      <c r="GN75" s="108" t="s">
        <v>502</v>
      </c>
      <c r="GO75" s="108" t="s">
        <v>502</v>
      </c>
      <c r="GP75" s="47">
        <f>2450/1.08</f>
        <v>2268.5185185185182</v>
      </c>
      <c r="GQ75" s="47">
        <f>+GP75*8%</f>
        <v>181.48148148148147</v>
      </c>
      <c r="GR75" s="47">
        <f>+GP75+GQ75</f>
        <v>2449.9999999999995</v>
      </c>
      <c r="GS75" s="47">
        <f>2500/1.19</f>
        <v>2100.840336134454</v>
      </c>
      <c r="GT75" s="47">
        <f t="shared" si="23"/>
        <v>399.15966386554624</v>
      </c>
      <c r="GU75" s="69">
        <f t="shared" si="24"/>
        <v>2500</v>
      </c>
      <c r="GV75" s="108" t="s">
        <v>502</v>
      </c>
      <c r="GW75" s="108" t="s">
        <v>502</v>
      </c>
      <c r="GX75" s="108" t="s">
        <v>502</v>
      </c>
      <c r="GY75" s="108" t="s">
        <v>664</v>
      </c>
      <c r="GZ75" s="108" t="s">
        <v>664</v>
      </c>
      <c r="HA75" s="108" t="s">
        <v>664</v>
      </c>
      <c r="HB75" s="108" t="s">
        <v>664</v>
      </c>
      <c r="HC75" s="108" t="s">
        <v>664</v>
      </c>
      <c r="HD75" s="108" t="s">
        <v>664</v>
      </c>
      <c r="HE75" s="108" t="s">
        <v>664</v>
      </c>
      <c r="HF75" s="108" t="s">
        <v>664</v>
      </c>
      <c r="HG75" s="108" t="s">
        <v>664</v>
      </c>
      <c r="HH75" s="108" t="s">
        <v>503</v>
      </c>
      <c r="HI75" s="108" t="s">
        <v>503</v>
      </c>
      <c r="HJ75" s="108" t="s">
        <v>503</v>
      </c>
      <c r="HK75" s="71">
        <f>(1650)/1.19</f>
        <v>1386.5546218487395</v>
      </c>
      <c r="HL75" s="71">
        <f>HK75*0.19</f>
        <v>263.44537815126051</v>
      </c>
      <c r="HM75" s="71">
        <f>HL75+HK75</f>
        <v>1650</v>
      </c>
      <c r="HN75" s="108" t="s">
        <v>664</v>
      </c>
      <c r="HO75" s="108" t="s">
        <v>664</v>
      </c>
      <c r="HP75" s="108" t="s">
        <v>664</v>
      </c>
      <c r="HQ75" s="108" t="s">
        <v>503</v>
      </c>
      <c r="HR75" s="108" t="s">
        <v>503</v>
      </c>
      <c r="HS75" s="108" t="s">
        <v>503</v>
      </c>
      <c r="HT75" s="108" t="s">
        <v>502</v>
      </c>
      <c r="HU75" s="108" t="s">
        <v>502</v>
      </c>
      <c r="HV75" s="108" t="s">
        <v>502</v>
      </c>
      <c r="HW75" s="108" t="s">
        <v>502</v>
      </c>
      <c r="HX75" s="108" t="s">
        <v>502</v>
      </c>
      <c r="HY75" s="108" t="s">
        <v>502</v>
      </c>
      <c r="HZ75" s="118" t="s">
        <v>502</v>
      </c>
      <c r="IA75" s="118" t="s">
        <v>502</v>
      </c>
      <c r="IB75" s="118" t="s">
        <v>502</v>
      </c>
      <c r="IC75" s="118" t="s">
        <v>502</v>
      </c>
      <c r="ID75" s="118" t="s">
        <v>502</v>
      </c>
      <c r="IE75" s="118" t="s">
        <v>502</v>
      </c>
      <c r="IF75" s="118" t="s">
        <v>502</v>
      </c>
      <c r="IG75" s="118" t="s">
        <v>502</v>
      </c>
      <c r="IH75" s="118" t="s">
        <v>502</v>
      </c>
      <c r="II75" s="118" t="s">
        <v>502</v>
      </c>
      <c r="IJ75" s="118" t="s">
        <v>502</v>
      </c>
      <c r="IK75" s="118" t="s">
        <v>502</v>
      </c>
      <c r="IL75" s="118" t="s">
        <v>502</v>
      </c>
      <c r="IM75" s="118" t="s">
        <v>502</v>
      </c>
      <c r="IN75" s="118" t="s">
        <v>502</v>
      </c>
      <c r="IO75" s="120" t="s">
        <v>503</v>
      </c>
      <c r="IP75" s="120" t="s">
        <v>503</v>
      </c>
      <c r="IQ75" s="120" t="s">
        <v>503</v>
      </c>
      <c r="IR75" s="118" t="s">
        <v>669</v>
      </c>
      <c r="IS75" s="118" t="s">
        <v>669</v>
      </c>
      <c r="IT75" s="118" t="s">
        <v>669</v>
      </c>
      <c r="IU75" s="120" t="s">
        <v>503</v>
      </c>
      <c r="IV75" s="120" t="s">
        <v>503</v>
      </c>
      <c r="IW75" s="120" t="s">
        <v>503</v>
      </c>
      <c r="IX75" s="120" t="s">
        <v>503</v>
      </c>
      <c r="IY75" s="120" t="s">
        <v>503</v>
      </c>
      <c r="IZ75" s="120" t="s">
        <v>503</v>
      </c>
      <c r="JA75" s="120" t="s">
        <v>503</v>
      </c>
      <c r="JB75" s="120" t="s">
        <v>503</v>
      </c>
      <c r="JC75" s="120" t="s">
        <v>503</v>
      </c>
      <c r="JD75" s="120" t="s">
        <v>664</v>
      </c>
      <c r="JE75" s="120" t="s">
        <v>664</v>
      </c>
      <c r="JF75" s="120" t="s">
        <v>664</v>
      </c>
      <c r="JG75" s="118" t="s">
        <v>502</v>
      </c>
      <c r="JH75" s="118" t="s">
        <v>502</v>
      </c>
      <c r="JI75" s="118" t="s">
        <v>502</v>
      </c>
      <c r="JJ75" s="118" t="s">
        <v>502</v>
      </c>
      <c r="JK75" s="118" t="s">
        <v>502</v>
      </c>
      <c r="JL75" s="118" t="s">
        <v>502</v>
      </c>
      <c r="JM75" s="118" t="s">
        <v>502</v>
      </c>
      <c r="JN75" s="118" t="s">
        <v>502</v>
      </c>
      <c r="JO75" s="118" t="s">
        <v>502</v>
      </c>
      <c r="JP75" s="110">
        <v>1500</v>
      </c>
      <c r="JQ75" s="111">
        <v>1792.1601599999999</v>
      </c>
      <c r="JR75" s="112">
        <f t="shared" si="30"/>
        <v>3</v>
      </c>
      <c r="JS75" s="113">
        <f t="shared" si="31"/>
        <v>2200</v>
      </c>
      <c r="JT75" s="114">
        <f t="shared" si="32"/>
        <v>2200</v>
      </c>
      <c r="JU75" s="177"/>
    </row>
    <row r="76" spans="1:281" ht="101.25" customHeight="1" x14ac:dyDescent="0.2">
      <c r="A76" s="98">
        <v>174</v>
      </c>
      <c r="B76" s="99">
        <v>174</v>
      </c>
      <c r="C76" s="39" t="s">
        <v>12</v>
      </c>
      <c r="D76" s="100" t="s">
        <v>281</v>
      </c>
      <c r="E76" s="39">
        <v>90101600</v>
      </c>
      <c r="F76" s="101" t="s">
        <v>684</v>
      </c>
      <c r="G76" s="102" t="s">
        <v>86</v>
      </c>
      <c r="H76" s="103" t="s">
        <v>501</v>
      </c>
      <c r="I76" s="108" t="s">
        <v>503</v>
      </c>
      <c r="J76" s="108" t="s">
        <v>503</v>
      </c>
      <c r="K76" s="108" t="s">
        <v>503</v>
      </c>
      <c r="L76" s="118" t="s">
        <v>502</v>
      </c>
      <c r="M76" s="118" t="s">
        <v>502</v>
      </c>
      <c r="N76" s="118" t="s">
        <v>502</v>
      </c>
      <c r="O76" s="108" t="s">
        <v>503</v>
      </c>
      <c r="P76" s="108" t="s">
        <v>503</v>
      </c>
      <c r="Q76" s="108" t="s">
        <v>503</v>
      </c>
      <c r="R76" s="108" t="s">
        <v>503</v>
      </c>
      <c r="S76" s="108" t="s">
        <v>503</v>
      </c>
      <c r="T76" s="108" t="s">
        <v>503</v>
      </c>
      <c r="U76" s="118" t="s">
        <v>502</v>
      </c>
      <c r="V76" s="118" t="s">
        <v>502</v>
      </c>
      <c r="W76" s="118" t="s">
        <v>502</v>
      </c>
      <c r="X76" s="108" t="s">
        <v>503</v>
      </c>
      <c r="Y76" s="108" t="s">
        <v>503</v>
      </c>
      <c r="Z76" s="108" t="s">
        <v>503</v>
      </c>
      <c r="AA76" s="108" t="s">
        <v>503</v>
      </c>
      <c r="AB76" s="108" t="s">
        <v>503</v>
      </c>
      <c r="AC76" s="108" t="s">
        <v>503</v>
      </c>
      <c r="AD76" s="108" t="s">
        <v>503</v>
      </c>
      <c r="AE76" s="108" t="s">
        <v>503</v>
      </c>
      <c r="AF76" s="108" t="s">
        <v>503</v>
      </c>
      <c r="AG76" s="108" t="s">
        <v>503</v>
      </c>
      <c r="AH76" s="108" t="s">
        <v>503</v>
      </c>
      <c r="AI76" s="108" t="s">
        <v>503</v>
      </c>
      <c r="AJ76" s="108" t="s">
        <v>503</v>
      </c>
      <c r="AK76" s="108" t="s">
        <v>503</v>
      </c>
      <c r="AL76" s="108" t="s">
        <v>503</v>
      </c>
      <c r="AM76" s="108" t="s">
        <v>503</v>
      </c>
      <c r="AN76" s="108" t="s">
        <v>503</v>
      </c>
      <c r="AO76" s="108" t="s">
        <v>503</v>
      </c>
      <c r="AP76" s="108" t="s">
        <v>503</v>
      </c>
      <c r="AQ76" s="108" t="s">
        <v>503</v>
      </c>
      <c r="AR76" s="108" t="s">
        <v>503</v>
      </c>
      <c r="AS76" s="108" t="s">
        <v>503</v>
      </c>
      <c r="AT76" s="108" t="s">
        <v>503</v>
      </c>
      <c r="AU76" s="108" t="s">
        <v>503</v>
      </c>
      <c r="AV76" s="108" t="s">
        <v>503</v>
      </c>
      <c r="AW76" s="108" t="s">
        <v>503</v>
      </c>
      <c r="AX76" s="108" t="s">
        <v>503</v>
      </c>
      <c r="AY76" s="108" t="s">
        <v>503</v>
      </c>
      <c r="AZ76" s="108" t="s">
        <v>503</v>
      </c>
      <c r="BA76" s="108" t="s">
        <v>503</v>
      </c>
      <c r="BB76" s="108" t="s">
        <v>503</v>
      </c>
      <c r="BC76" s="108" t="s">
        <v>503</v>
      </c>
      <c r="BD76" s="108" t="s">
        <v>503</v>
      </c>
      <c r="BE76" s="108" t="s">
        <v>503</v>
      </c>
      <c r="BF76" s="108" t="s">
        <v>503</v>
      </c>
      <c r="BG76" s="108" t="s">
        <v>503</v>
      </c>
      <c r="BH76" s="108" t="s">
        <v>503</v>
      </c>
      <c r="BI76" s="108" t="s">
        <v>503</v>
      </c>
      <c r="BJ76" s="108" t="s">
        <v>503</v>
      </c>
      <c r="BK76" s="108" t="s">
        <v>503</v>
      </c>
      <c r="BL76" s="108" t="s">
        <v>503</v>
      </c>
      <c r="BM76" s="108" t="s">
        <v>503</v>
      </c>
      <c r="BN76" s="108" t="s">
        <v>503</v>
      </c>
      <c r="BO76" s="108" t="s">
        <v>503</v>
      </c>
      <c r="BP76" s="108" t="s">
        <v>503</v>
      </c>
      <c r="BQ76" s="108" t="s">
        <v>503</v>
      </c>
      <c r="BR76" s="108" t="s">
        <v>503</v>
      </c>
      <c r="BS76" s="108" t="s">
        <v>503</v>
      </c>
      <c r="BT76" s="108" t="s">
        <v>503</v>
      </c>
      <c r="BU76" s="108" t="s">
        <v>503</v>
      </c>
      <c r="BV76" s="108" t="s">
        <v>503</v>
      </c>
      <c r="BW76" s="108" t="s">
        <v>503</v>
      </c>
      <c r="BX76" s="108" t="s">
        <v>503</v>
      </c>
      <c r="BY76" s="108" t="s">
        <v>503</v>
      </c>
      <c r="BZ76" s="108" t="s">
        <v>503</v>
      </c>
      <c r="CA76" s="108" t="s">
        <v>503</v>
      </c>
      <c r="CB76" s="108" t="s">
        <v>503</v>
      </c>
      <c r="CC76" s="108" t="s">
        <v>503</v>
      </c>
      <c r="CD76" s="108" t="s">
        <v>503</v>
      </c>
      <c r="CE76" s="108" t="s">
        <v>503</v>
      </c>
      <c r="CF76" s="108" t="s">
        <v>503</v>
      </c>
      <c r="CG76" s="108" t="s">
        <v>503</v>
      </c>
      <c r="CH76" s="108" t="s">
        <v>503</v>
      </c>
      <c r="CI76" s="108" t="s">
        <v>503</v>
      </c>
      <c r="CJ76" s="108" t="s">
        <v>503</v>
      </c>
      <c r="CK76" s="108" t="s">
        <v>503</v>
      </c>
      <c r="CL76" s="108" t="s">
        <v>503</v>
      </c>
      <c r="CM76" s="108" t="s">
        <v>503</v>
      </c>
      <c r="CN76" s="108" t="s">
        <v>503</v>
      </c>
      <c r="CO76" s="108" t="s">
        <v>503</v>
      </c>
      <c r="CP76" s="108" t="s">
        <v>503</v>
      </c>
      <c r="CQ76" s="108" t="s">
        <v>503</v>
      </c>
      <c r="CR76" s="108" t="s">
        <v>503</v>
      </c>
      <c r="CS76" s="108" t="s">
        <v>503</v>
      </c>
      <c r="CT76" s="108" t="s">
        <v>503</v>
      </c>
      <c r="CU76" s="108" t="s">
        <v>503</v>
      </c>
      <c r="CV76" s="108" t="s">
        <v>503</v>
      </c>
      <c r="CW76" s="108" t="s">
        <v>503</v>
      </c>
      <c r="CX76" s="108" t="s">
        <v>503</v>
      </c>
      <c r="CY76" s="108" t="s">
        <v>503</v>
      </c>
      <c r="CZ76" s="108" t="s">
        <v>503</v>
      </c>
      <c r="DA76" s="108" t="s">
        <v>503</v>
      </c>
      <c r="DB76" s="108" t="s">
        <v>503</v>
      </c>
      <c r="DC76" s="108" t="s">
        <v>503</v>
      </c>
      <c r="DD76" s="108" t="s">
        <v>503</v>
      </c>
      <c r="DE76" s="108" t="s">
        <v>503</v>
      </c>
      <c r="DF76" s="108" t="s">
        <v>503</v>
      </c>
      <c r="DG76" s="108" t="s">
        <v>503</v>
      </c>
      <c r="DH76" s="108" t="s">
        <v>503</v>
      </c>
      <c r="DI76" s="108" t="s">
        <v>503</v>
      </c>
      <c r="DJ76" s="108" t="s">
        <v>503</v>
      </c>
      <c r="DK76" s="108" t="s">
        <v>503</v>
      </c>
      <c r="DL76" s="108" t="s">
        <v>503</v>
      </c>
      <c r="DM76" s="108" t="s">
        <v>503</v>
      </c>
      <c r="DN76" s="108" t="s">
        <v>503</v>
      </c>
      <c r="DO76" s="108" t="s">
        <v>503</v>
      </c>
      <c r="DP76" s="108" t="s">
        <v>669</v>
      </c>
      <c r="DQ76" s="108" t="s">
        <v>669</v>
      </c>
      <c r="DR76" s="108" t="s">
        <v>669</v>
      </c>
      <c r="DS76" s="108" t="s">
        <v>669</v>
      </c>
      <c r="DT76" s="108" t="s">
        <v>669</v>
      </c>
      <c r="DU76" s="108" t="s">
        <v>669</v>
      </c>
      <c r="DV76" s="108" t="s">
        <v>503</v>
      </c>
      <c r="DW76" s="108" t="s">
        <v>503</v>
      </c>
      <c r="DX76" s="108" t="s">
        <v>503</v>
      </c>
      <c r="DY76" s="108" t="s">
        <v>503</v>
      </c>
      <c r="DZ76" s="108" t="s">
        <v>503</v>
      </c>
      <c r="EA76" s="108" t="s">
        <v>503</v>
      </c>
      <c r="EB76" s="108" t="s">
        <v>503</v>
      </c>
      <c r="EC76" s="108" t="s">
        <v>503</v>
      </c>
      <c r="ED76" s="108" t="s">
        <v>503</v>
      </c>
      <c r="EE76" s="108" t="s">
        <v>503</v>
      </c>
      <c r="EF76" s="108" t="s">
        <v>503</v>
      </c>
      <c r="EG76" s="108" t="s">
        <v>503</v>
      </c>
      <c r="EH76" s="108" t="s">
        <v>503</v>
      </c>
      <c r="EI76" s="108" t="s">
        <v>503</v>
      </c>
      <c r="EJ76" s="108" t="s">
        <v>503</v>
      </c>
      <c r="EK76" s="108" t="s">
        <v>503</v>
      </c>
      <c r="EL76" s="108" t="s">
        <v>503</v>
      </c>
      <c r="EM76" s="108" t="s">
        <v>503</v>
      </c>
      <c r="EN76" s="108" t="s">
        <v>503</v>
      </c>
      <c r="EO76" s="108" t="s">
        <v>503</v>
      </c>
      <c r="EP76" s="108" t="s">
        <v>503</v>
      </c>
      <c r="EQ76" s="108" t="s">
        <v>502</v>
      </c>
      <c r="ER76" s="108" t="s">
        <v>502</v>
      </c>
      <c r="ES76" s="108" t="s">
        <v>502</v>
      </c>
      <c r="ET76" s="108" t="s">
        <v>502</v>
      </c>
      <c r="EU76" s="108" t="s">
        <v>502</v>
      </c>
      <c r="EV76" s="108" t="s">
        <v>502</v>
      </c>
      <c r="EW76" s="108" t="s">
        <v>503</v>
      </c>
      <c r="EX76" s="108" t="s">
        <v>503</v>
      </c>
      <c r="EY76" s="108" t="s">
        <v>503</v>
      </c>
      <c r="EZ76" s="108" t="s">
        <v>503</v>
      </c>
      <c r="FA76" s="108" t="s">
        <v>503</v>
      </c>
      <c r="FB76" s="108" t="s">
        <v>503</v>
      </c>
      <c r="FC76" s="108" t="s">
        <v>502</v>
      </c>
      <c r="FD76" s="108" t="s">
        <v>502</v>
      </c>
      <c r="FE76" s="108" t="s">
        <v>502</v>
      </c>
      <c r="FF76" s="108" t="s">
        <v>503</v>
      </c>
      <c r="FG76" s="108" t="s">
        <v>503</v>
      </c>
      <c r="FH76" s="108" t="s">
        <v>503</v>
      </c>
      <c r="FI76" s="108" t="s">
        <v>503</v>
      </c>
      <c r="FJ76" s="108" t="s">
        <v>503</v>
      </c>
      <c r="FK76" s="108" t="s">
        <v>503</v>
      </c>
      <c r="FL76" s="108" t="s">
        <v>503</v>
      </c>
      <c r="FM76" s="108" t="s">
        <v>503</v>
      </c>
      <c r="FN76" s="108" t="s">
        <v>503</v>
      </c>
      <c r="FO76" s="108" t="s">
        <v>502</v>
      </c>
      <c r="FP76" s="108" t="s">
        <v>502</v>
      </c>
      <c r="FQ76" s="108" t="s">
        <v>502</v>
      </c>
      <c r="FR76" s="108" t="s">
        <v>502</v>
      </c>
      <c r="FS76" s="108" t="s">
        <v>502</v>
      </c>
      <c r="FT76" s="108" t="s">
        <v>502</v>
      </c>
      <c r="FU76" s="108" t="s">
        <v>502</v>
      </c>
      <c r="FV76" s="108" t="s">
        <v>502</v>
      </c>
      <c r="FW76" s="108" t="s">
        <v>502</v>
      </c>
      <c r="FX76" s="108" t="s">
        <v>503</v>
      </c>
      <c r="FY76" s="108" t="s">
        <v>503</v>
      </c>
      <c r="FZ76" s="108" t="s">
        <v>503</v>
      </c>
      <c r="GA76" s="108" t="s">
        <v>503</v>
      </c>
      <c r="GB76" s="108" t="s">
        <v>503</v>
      </c>
      <c r="GC76" s="108" t="s">
        <v>503</v>
      </c>
      <c r="GD76" s="108" t="s">
        <v>503</v>
      </c>
      <c r="GE76" s="108" t="s">
        <v>503</v>
      </c>
      <c r="GF76" s="108" t="s">
        <v>503</v>
      </c>
      <c r="GG76" s="108" t="s">
        <v>669</v>
      </c>
      <c r="GH76" s="108" t="s">
        <v>669</v>
      </c>
      <c r="GI76" s="108" t="s">
        <v>669</v>
      </c>
      <c r="GJ76" s="108" t="s">
        <v>669</v>
      </c>
      <c r="GK76" s="108" t="s">
        <v>669</v>
      </c>
      <c r="GL76" s="108" t="s">
        <v>669</v>
      </c>
      <c r="GM76" s="108" t="s">
        <v>502</v>
      </c>
      <c r="GN76" s="108" t="s">
        <v>502</v>
      </c>
      <c r="GO76" s="108" t="s">
        <v>502</v>
      </c>
      <c r="GP76" s="108" t="s">
        <v>664</v>
      </c>
      <c r="GQ76" s="108" t="s">
        <v>664</v>
      </c>
      <c r="GR76" s="108" t="s">
        <v>664</v>
      </c>
      <c r="GS76" s="47">
        <f>2200/1.19</f>
        <v>1848.7394957983195</v>
      </c>
      <c r="GT76" s="47">
        <f t="shared" si="23"/>
        <v>351.2605042016807</v>
      </c>
      <c r="GU76" s="69">
        <f t="shared" si="24"/>
        <v>2200</v>
      </c>
      <c r="GV76" s="108" t="s">
        <v>502</v>
      </c>
      <c r="GW76" s="108" t="s">
        <v>502</v>
      </c>
      <c r="GX76" s="108" t="s">
        <v>502</v>
      </c>
      <c r="GY76" s="108" t="s">
        <v>503</v>
      </c>
      <c r="GZ76" s="108" t="s">
        <v>503</v>
      </c>
      <c r="HA76" s="108" t="s">
        <v>503</v>
      </c>
      <c r="HB76" s="108" t="s">
        <v>664</v>
      </c>
      <c r="HC76" s="108" t="s">
        <v>664</v>
      </c>
      <c r="HD76" s="108" t="s">
        <v>664</v>
      </c>
      <c r="HE76" s="108" t="s">
        <v>664</v>
      </c>
      <c r="HF76" s="108" t="s">
        <v>664</v>
      </c>
      <c r="HG76" s="108" t="s">
        <v>664</v>
      </c>
      <c r="HH76" s="71">
        <f>(1190/1.19)</f>
        <v>1000</v>
      </c>
      <c r="HI76" s="71">
        <f>HH76*0.19</f>
        <v>190</v>
      </c>
      <c r="HJ76" s="71">
        <f>HI76+HH76</f>
        <v>1190</v>
      </c>
      <c r="HK76" s="71">
        <f>(7190/6)/1.19</f>
        <v>1007.0028011204481</v>
      </c>
      <c r="HL76" s="71">
        <f>HK76*0.19</f>
        <v>191.33053221288515</v>
      </c>
      <c r="HM76" s="71">
        <f>HL76+HK76</f>
        <v>1198.3333333333333</v>
      </c>
      <c r="HN76" s="108" t="s">
        <v>664</v>
      </c>
      <c r="HO76" s="108" t="s">
        <v>664</v>
      </c>
      <c r="HP76" s="108" t="s">
        <v>664</v>
      </c>
      <c r="HQ76" s="108" t="s">
        <v>503</v>
      </c>
      <c r="HR76" s="108" t="s">
        <v>503</v>
      </c>
      <c r="HS76" s="108" t="s">
        <v>503</v>
      </c>
      <c r="HT76" s="108" t="s">
        <v>502</v>
      </c>
      <c r="HU76" s="108" t="s">
        <v>502</v>
      </c>
      <c r="HV76" s="108" t="s">
        <v>502</v>
      </c>
      <c r="HW76" s="108" t="s">
        <v>502</v>
      </c>
      <c r="HX76" s="108" t="s">
        <v>502</v>
      </c>
      <c r="HY76" s="108" t="s">
        <v>502</v>
      </c>
      <c r="HZ76" s="118" t="s">
        <v>502</v>
      </c>
      <c r="IA76" s="118" t="s">
        <v>502</v>
      </c>
      <c r="IB76" s="118" t="s">
        <v>502</v>
      </c>
      <c r="IC76" s="118" t="s">
        <v>502</v>
      </c>
      <c r="ID76" s="118" t="s">
        <v>502</v>
      </c>
      <c r="IE76" s="118" t="s">
        <v>502</v>
      </c>
      <c r="IF76" s="118" t="s">
        <v>502</v>
      </c>
      <c r="IG76" s="118" t="s">
        <v>502</v>
      </c>
      <c r="IH76" s="118" t="s">
        <v>502</v>
      </c>
      <c r="II76" s="118" t="s">
        <v>502</v>
      </c>
      <c r="IJ76" s="118" t="s">
        <v>502</v>
      </c>
      <c r="IK76" s="118" t="s">
        <v>502</v>
      </c>
      <c r="IL76" s="118" t="s">
        <v>502</v>
      </c>
      <c r="IM76" s="118" t="s">
        <v>502</v>
      </c>
      <c r="IN76" s="118" t="s">
        <v>502</v>
      </c>
      <c r="IO76" s="120" t="s">
        <v>503</v>
      </c>
      <c r="IP76" s="120" t="s">
        <v>503</v>
      </c>
      <c r="IQ76" s="120" t="s">
        <v>503</v>
      </c>
      <c r="IR76" s="118" t="s">
        <v>669</v>
      </c>
      <c r="IS76" s="118" t="s">
        <v>669</v>
      </c>
      <c r="IT76" s="118" t="s">
        <v>669</v>
      </c>
      <c r="IU76" s="120" t="s">
        <v>503</v>
      </c>
      <c r="IV76" s="120" t="s">
        <v>503</v>
      </c>
      <c r="IW76" s="120" t="s">
        <v>503</v>
      </c>
      <c r="IX76" s="120" t="s">
        <v>503</v>
      </c>
      <c r="IY76" s="120" t="s">
        <v>503</v>
      </c>
      <c r="IZ76" s="120" t="s">
        <v>503</v>
      </c>
      <c r="JA76" s="120" t="s">
        <v>503</v>
      </c>
      <c r="JB76" s="120" t="s">
        <v>503</v>
      </c>
      <c r="JC76" s="120" t="s">
        <v>503</v>
      </c>
      <c r="JD76" s="120" t="s">
        <v>664</v>
      </c>
      <c r="JE76" s="120" t="s">
        <v>664</v>
      </c>
      <c r="JF76" s="120" t="s">
        <v>664</v>
      </c>
      <c r="JG76" s="118" t="s">
        <v>502</v>
      </c>
      <c r="JH76" s="118" t="s">
        <v>502</v>
      </c>
      <c r="JI76" s="118" t="s">
        <v>502</v>
      </c>
      <c r="JJ76" s="118" t="s">
        <v>502</v>
      </c>
      <c r="JK76" s="118" t="s">
        <v>502</v>
      </c>
      <c r="JL76" s="118" t="s">
        <v>502</v>
      </c>
      <c r="JM76" s="118" t="s">
        <v>502</v>
      </c>
      <c r="JN76" s="118" t="s">
        <v>502</v>
      </c>
      <c r="JO76" s="118" t="s">
        <v>502</v>
      </c>
      <c r="JP76" s="110">
        <v>1300</v>
      </c>
      <c r="JQ76" s="111">
        <v>1553.2054719999999</v>
      </c>
      <c r="JR76" s="112">
        <f t="shared" si="30"/>
        <v>3</v>
      </c>
      <c r="JS76" s="113">
        <f t="shared" si="31"/>
        <v>1529.4444444444443</v>
      </c>
      <c r="JT76" s="114">
        <f t="shared" si="32"/>
        <v>1550</v>
      </c>
      <c r="JU76" s="177"/>
    </row>
    <row r="77" spans="1:281" ht="101.25" customHeight="1" x14ac:dyDescent="0.2">
      <c r="A77" s="98">
        <v>175</v>
      </c>
      <c r="B77" s="99">
        <v>175</v>
      </c>
      <c r="C77" s="39" t="s">
        <v>12</v>
      </c>
      <c r="D77" s="100" t="s">
        <v>281</v>
      </c>
      <c r="E77" s="39">
        <v>90101600</v>
      </c>
      <c r="F77" s="101" t="s">
        <v>284</v>
      </c>
      <c r="G77" s="102" t="s">
        <v>86</v>
      </c>
      <c r="H77" s="103" t="s">
        <v>501</v>
      </c>
      <c r="I77" s="108" t="s">
        <v>503</v>
      </c>
      <c r="J77" s="108" t="s">
        <v>503</v>
      </c>
      <c r="K77" s="108" t="s">
        <v>503</v>
      </c>
      <c r="L77" s="118" t="s">
        <v>502</v>
      </c>
      <c r="M77" s="118" t="s">
        <v>502</v>
      </c>
      <c r="N77" s="118" t="s">
        <v>502</v>
      </c>
      <c r="O77" s="108" t="s">
        <v>503</v>
      </c>
      <c r="P77" s="108" t="s">
        <v>503</v>
      </c>
      <c r="Q77" s="108" t="s">
        <v>503</v>
      </c>
      <c r="R77" s="108" t="s">
        <v>503</v>
      </c>
      <c r="S77" s="108" t="s">
        <v>503</v>
      </c>
      <c r="T77" s="108" t="s">
        <v>503</v>
      </c>
      <c r="U77" s="118" t="s">
        <v>502</v>
      </c>
      <c r="V77" s="118" t="s">
        <v>502</v>
      </c>
      <c r="W77" s="118" t="s">
        <v>502</v>
      </c>
      <c r="X77" s="108" t="s">
        <v>503</v>
      </c>
      <c r="Y77" s="108" t="s">
        <v>503</v>
      </c>
      <c r="Z77" s="108" t="s">
        <v>503</v>
      </c>
      <c r="AA77" s="108" t="s">
        <v>503</v>
      </c>
      <c r="AB77" s="108" t="s">
        <v>503</v>
      </c>
      <c r="AC77" s="108" t="s">
        <v>503</v>
      </c>
      <c r="AD77" s="108" t="s">
        <v>503</v>
      </c>
      <c r="AE77" s="108" t="s">
        <v>503</v>
      </c>
      <c r="AF77" s="108" t="s">
        <v>503</v>
      </c>
      <c r="AG77" s="108" t="s">
        <v>503</v>
      </c>
      <c r="AH77" s="108" t="s">
        <v>503</v>
      </c>
      <c r="AI77" s="108" t="s">
        <v>503</v>
      </c>
      <c r="AJ77" s="108" t="s">
        <v>503</v>
      </c>
      <c r="AK77" s="108" t="s">
        <v>503</v>
      </c>
      <c r="AL77" s="108" t="s">
        <v>503</v>
      </c>
      <c r="AM77" s="108" t="s">
        <v>503</v>
      </c>
      <c r="AN77" s="108" t="s">
        <v>503</v>
      </c>
      <c r="AO77" s="108" t="s">
        <v>503</v>
      </c>
      <c r="AP77" s="108" t="s">
        <v>503</v>
      </c>
      <c r="AQ77" s="108" t="s">
        <v>503</v>
      </c>
      <c r="AR77" s="108" t="s">
        <v>503</v>
      </c>
      <c r="AS77" s="108" t="s">
        <v>503</v>
      </c>
      <c r="AT77" s="108" t="s">
        <v>503</v>
      </c>
      <c r="AU77" s="108" t="s">
        <v>503</v>
      </c>
      <c r="AV77" s="125" t="s">
        <v>503</v>
      </c>
      <c r="AW77" s="108" t="s">
        <v>503</v>
      </c>
      <c r="AX77" s="108" t="s">
        <v>503</v>
      </c>
      <c r="AY77" s="108" t="s">
        <v>503</v>
      </c>
      <c r="AZ77" s="108" t="s">
        <v>503</v>
      </c>
      <c r="BA77" s="108" t="s">
        <v>503</v>
      </c>
      <c r="BB77" s="108" t="s">
        <v>503</v>
      </c>
      <c r="BC77" s="108" t="s">
        <v>503</v>
      </c>
      <c r="BD77" s="108" t="s">
        <v>503</v>
      </c>
      <c r="BE77" s="108" t="s">
        <v>503</v>
      </c>
      <c r="BF77" s="108" t="s">
        <v>503</v>
      </c>
      <c r="BG77" s="108" t="s">
        <v>503</v>
      </c>
      <c r="BH77" s="108" t="s">
        <v>503</v>
      </c>
      <c r="BI77" s="108" t="s">
        <v>503</v>
      </c>
      <c r="BJ77" s="108" t="s">
        <v>503</v>
      </c>
      <c r="BK77" s="108" t="s">
        <v>503</v>
      </c>
      <c r="BL77" s="108" t="s">
        <v>503</v>
      </c>
      <c r="BM77" s="108" t="s">
        <v>503</v>
      </c>
      <c r="BN77" s="108" t="s">
        <v>503</v>
      </c>
      <c r="BO77" s="108" t="s">
        <v>503</v>
      </c>
      <c r="BP77" s="108" t="s">
        <v>503</v>
      </c>
      <c r="BQ77" s="108" t="s">
        <v>503</v>
      </c>
      <c r="BR77" s="108" t="s">
        <v>503</v>
      </c>
      <c r="BS77" s="108" t="s">
        <v>503</v>
      </c>
      <c r="BT77" s="108" t="s">
        <v>503</v>
      </c>
      <c r="BU77" s="108" t="s">
        <v>503</v>
      </c>
      <c r="BV77" s="108" t="s">
        <v>503</v>
      </c>
      <c r="BW77" s="108" t="s">
        <v>503</v>
      </c>
      <c r="BX77" s="108" t="s">
        <v>503</v>
      </c>
      <c r="BY77" s="108" t="s">
        <v>503</v>
      </c>
      <c r="BZ77" s="108" t="s">
        <v>503</v>
      </c>
      <c r="CA77" s="108" t="s">
        <v>503</v>
      </c>
      <c r="CB77" s="108" t="s">
        <v>503</v>
      </c>
      <c r="CC77" s="108" t="s">
        <v>503</v>
      </c>
      <c r="CD77" s="108" t="s">
        <v>503</v>
      </c>
      <c r="CE77" s="108" t="s">
        <v>503</v>
      </c>
      <c r="CF77" s="108" t="s">
        <v>503</v>
      </c>
      <c r="CG77" s="108" t="s">
        <v>503</v>
      </c>
      <c r="CH77" s="108" t="s">
        <v>503</v>
      </c>
      <c r="CI77" s="108" t="s">
        <v>503</v>
      </c>
      <c r="CJ77" s="108" t="s">
        <v>503</v>
      </c>
      <c r="CK77" s="108" t="s">
        <v>503</v>
      </c>
      <c r="CL77" s="108" t="s">
        <v>503</v>
      </c>
      <c r="CM77" s="108" t="s">
        <v>503</v>
      </c>
      <c r="CN77" s="108" t="s">
        <v>503</v>
      </c>
      <c r="CO77" s="108" t="s">
        <v>503</v>
      </c>
      <c r="CP77" s="108" t="s">
        <v>503</v>
      </c>
      <c r="CQ77" s="108" t="s">
        <v>503</v>
      </c>
      <c r="CR77" s="108" t="s">
        <v>503</v>
      </c>
      <c r="CS77" s="108" t="s">
        <v>503</v>
      </c>
      <c r="CT77" s="108" t="s">
        <v>503</v>
      </c>
      <c r="CU77" s="108" t="s">
        <v>503</v>
      </c>
      <c r="CV77" s="108" t="s">
        <v>503</v>
      </c>
      <c r="CW77" s="108" t="s">
        <v>503</v>
      </c>
      <c r="CX77" s="108" t="s">
        <v>503</v>
      </c>
      <c r="CY77" s="108" t="s">
        <v>503</v>
      </c>
      <c r="CZ77" s="108" t="s">
        <v>503</v>
      </c>
      <c r="DA77" s="108" t="s">
        <v>503</v>
      </c>
      <c r="DB77" s="108" t="s">
        <v>503</v>
      </c>
      <c r="DC77" s="108" t="s">
        <v>503</v>
      </c>
      <c r="DD77" s="108" t="s">
        <v>503</v>
      </c>
      <c r="DE77" s="108" t="s">
        <v>503</v>
      </c>
      <c r="DF77" s="108" t="s">
        <v>503</v>
      </c>
      <c r="DG77" s="108" t="s">
        <v>503</v>
      </c>
      <c r="DH77" s="108" t="s">
        <v>503</v>
      </c>
      <c r="DI77" s="108" t="s">
        <v>503</v>
      </c>
      <c r="DJ77" s="108" t="s">
        <v>503</v>
      </c>
      <c r="DK77" s="108" t="s">
        <v>503</v>
      </c>
      <c r="DL77" s="108" t="s">
        <v>503</v>
      </c>
      <c r="DM77" s="108" t="s">
        <v>503</v>
      </c>
      <c r="DN77" s="108" t="s">
        <v>503</v>
      </c>
      <c r="DO77" s="108" t="s">
        <v>503</v>
      </c>
      <c r="DP77" s="108" t="s">
        <v>669</v>
      </c>
      <c r="DQ77" s="108" t="s">
        <v>669</v>
      </c>
      <c r="DR77" s="108" t="s">
        <v>669</v>
      </c>
      <c r="DS77" s="108" t="s">
        <v>669</v>
      </c>
      <c r="DT77" s="108" t="s">
        <v>669</v>
      </c>
      <c r="DU77" s="108" t="s">
        <v>669</v>
      </c>
      <c r="DV77" s="108" t="s">
        <v>503</v>
      </c>
      <c r="DW77" s="108" t="s">
        <v>503</v>
      </c>
      <c r="DX77" s="108" t="s">
        <v>503</v>
      </c>
      <c r="DY77" s="108" t="s">
        <v>503</v>
      </c>
      <c r="DZ77" s="108" t="s">
        <v>503</v>
      </c>
      <c r="EA77" s="108" t="s">
        <v>503</v>
      </c>
      <c r="EB77" s="108" t="s">
        <v>503</v>
      </c>
      <c r="EC77" s="108" t="s">
        <v>503</v>
      </c>
      <c r="ED77" s="108" t="s">
        <v>503</v>
      </c>
      <c r="EE77" s="108" t="s">
        <v>503</v>
      </c>
      <c r="EF77" s="108" t="s">
        <v>503</v>
      </c>
      <c r="EG77" s="108" t="s">
        <v>503</v>
      </c>
      <c r="EH77" s="108" t="s">
        <v>503</v>
      </c>
      <c r="EI77" s="108" t="s">
        <v>503</v>
      </c>
      <c r="EJ77" s="108" t="s">
        <v>503</v>
      </c>
      <c r="EK77" s="108" t="s">
        <v>503</v>
      </c>
      <c r="EL77" s="108" t="s">
        <v>503</v>
      </c>
      <c r="EM77" s="108" t="s">
        <v>503</v>
      </c>
      <c r="EN77" s="108" t="s">
        <v>503</v>
      </c>
      <c r="EO77" s="108" t="s">
        <v>503</v>
      </c>
      <c r="EP77" s="108" t="s">
        <v>503</v>
      </c>
      <c r="EQ77" s="108" t="s">
        <v>502</v>
      </c>
      <c r="ER77" s="108" t="s">
        <v>502</v>
      </c>
      <c r="ES77" s="108" t="s">
        <v>502</v>
      </c>
      <c r="ET77" s="108" t="s">
        <v>502</v>
      </c>
      <c r="EU77" s="108" t="s">
        <v>502</v>
      </c>
      <c r="EV77" s="108" t="s">
        <v>502</v>
      </c>
      <c r="EW77" s="108" t="s">
        <v>503</v>
      </c>
      <c r="EX77" s="108" t="s">
        <v>503</v>
      </c>
      <c r="EY77" s="108" t="s">
        <v>503</v>
      </c>
      <c r="EZ77" s="108" t="s">
        <v>503</v>
      </c>
      <c r="FA77" s="108" t="s">
        <v>503</v>
      </c>
      <c r="FB77" s="108" t="s">
        <v>503</v>
      </c>
      <c r="FC77" s="108" t="s">
        <v>502</v>
      </c>
      <c r="FD77" s="108" t="s">
        <v>502</v>
      </c>
      <c r="FE77" s="108" t="s">
        <v>502</v>
      </c>
      <c r="FF77" s="108" t="s">
        <v>503</v>
      </c>
      <c r="FG77" s="108" t="s">
        <v>503</v>
      </c>
      <c r="FH77" s="108" t="s">
        <v>503</v>
      </c>
      <c r="FI77" s="108" t="s">
        <v>503</v>
      </c>
      <c r="FJ77" s="108" t="s">
        <v>503</v>
      </c>
      <c r="FK77" s="108" t="s">
        <v>503</v>
      </c>
      <c r="FL77" s="108" t="s">
        <v>503</v>
      </c>
      <c r="FM77" s="108" t="s">
        <v>503</v>
      </c>
      <c r="FN77" s="108" t="s">
        <v>503</v>
      </c>
      <c r="FO77" s="108" t="s">
        <v>502</v>
      </c>
      <c r="FP77" s="108" t="s">
        <v>502</v>
      </c>
      <c r="FQ77" s="108" t="s">
        <v>502</v>
      </c>
      <c r="FR77" s="108" t="s">
        <v>502</v>
      </c>
      <c r="FS77" s="108" t="s">
        <v>502</v>
      </c>
      <c r="FT77" s="108" t="s">
        <v>502</v>
      </c>
      <c r="FU77" s="108" t="s">
        <v>502</v>
      </c>
      <c r="FV77" s="108" t="s">
        <v>502</v>
      </c>
      <c r="FW77" s="108" t="s">
        <v>502</v>
      </c>
      <c r="FX77" s="108" t="s">
        <v>503</v>
      </c>
      <c r="FY77" s="108" t="s">
        <v>503</v>
      </c>
      <c r="FZ77" s="108" t="s">
        <v>503</v>
      </c>
      <c r="GA77" s="108" t="s">
        <v>503</v>
      </c>
      <c r="GB77" s="108" t="s">
        <v>503</v>
      </c>
      <c r="GC77" s="108" t="s">
        <v>503</v>
      </c>
      <c r="GD77" s="108" t="s">
        <v>503</v>
      </c>
      <c r="GE77" s="108" t="s">
        <v>503</v>
      </c>
      <c r="GF77" s="108" t="s">
        <v>503</v>
      </c>
      <c r="GG77" s="108" t="s">
        <v>669</v>
      </c>
      <c r="GH77" s="108" t="s">
        <v>669</v>
      </c>
      <c r="GI77" s="108" t="s">
        <v>669</v>
      </c>
      <c r="GJ77" s="108" t="s">
        <v>669</v>
      </c>
      <c r="GK77" s="108" t="s">
        <v>669</v>
      </c>
      <c r="GL77" s="108" t="s">
        <v>669</v>
      </c>
      <c r="GM77" s="108" t="s">
        <v>502</v>
      </c>
      <c r="GN77" s="108" t="s">
        <v>502</v>
      </c>
      <c r="GO77" s="108" t="s">
        <v>502</v>
      </c>
      <c r="GP77" s="108" t="s">
        <v>664</v>
      </c>
      <c r="GQ77" s="108" t="s">
        <v>664</v>
      </c>
      <c r="GR77" s="108" t="s">
        <v>664</v>
      </c>
      <c r="GS77" s="47">
        <f>1500/1.19</f>
        <v>1260.5042016806724</v>
      </c>
      <c r="GT77" s="47">
        <f t="shared" si="23"/>
        <v>239.49579831932775</v>
      </c>
      <c r="GU77" s="69">
        <f t="shared" si="24"/>
        <v>1500.0000000000002</v>
      </c>
      <c r="GV77" s="108" t="s">
        <v>502</v>
      </c>
      <c r="GW77" s="108" t="s">
        <v>502</v>
      </c>
      <c r="GX77" s="108" t="s">
        <v>502</v>
      </c>
      <c r="GY77" s="108" t="s">
        <v>664</v>
      </c>
      <c r="GZ77" s="108" t="s">
        <v>664</v>
      </c>
      <c r="HA77" s="108" t="s">
        <v>664</v>
      </c>
      <c r="HB77" s="108" t="s">
        <v>664</v>
      </c>
      <c r="HC77" s="108" t="s">
        <v>664</v>
      </c>
      <c r="HD77" s="108" t="s">
        <v>664</v>
      </c>
      <c r="HE77" s="108" t="s">
        <v>664</v>
      </c>
      <c r="HF77" s="108" t="s">
        <v>664</v>
      </c>
      <c r="HG77" s="108" t="s">
        <v>664</v>
      </c>
      <c r="HH77" s="71">
        <f>((14250/24)/1.19)</f>
        <v>498.94957983193279</v>
      </c>
      <c r="HI77" s="71">
        <f>HH77*0.19</f>
        <v>94.800420168067234</v>
      </c>
      <c r="HJ77" s="71">
        <f>HI77+HH77</f>
        <v>593.75</v>
      </c>
      <c r="HK77" s="71">
        <f>(14590/24)/1.19</f>
        <v>510.85434173669466</v>
      </c>
      <c r="HL77" s="71">
        <f>HK77*0.19</f>
        <v>97.062324929971993</v>
      </c>
      <c r="HM77" s="71">
        <f>HL77+HK77</f>
        <v>607.91666666666663</v>
      </c>
      <c r="HN77" s="108" t="s">
        <v>664</v>
      </c>
      <c r="HO77" s="108" t="s">
        <v>664</v>
      </c>
      <c r="HP77" s="108" t="s">
        <v>664</v>
      </c>
      <c r="HQ77" s="108" t="s">
        <v>503</v>
      </c>
      <c r="HR77" s="108" t="s">
        <v>503</v>
      </c>
      <c r="HS77" s="108" t="s">
        <v>503</v>
      </c>
      <c r="HT77" s="108" t="s">
        <v>502</v>
      </c>
      <c r="HU77" s="108" t="s">
        <v>502</v>
      </c>
      <c r="HV77" s="108" t="s">
        <v>502</v>
      </c>
      <c r="HW77" s="108" t="s">
        <v>502</v>
      </c>
      <c r="HX77" s="108" t="s">
        <v>502</v>
      </c>
      <c r="HY77" s="108" t="s">
        <v>502</v>
      </c>
      <c r="HZ77" s="118" t="s">
        <v>502</v>
      </c>
      <c r="IA77" s="118" t="s">
        <v>502</v>
      </c>
      <c r="IB77" s="118" t="s">
        <v>502</v>
      </c>
      <c r="IC77" s="118" t="s">
        <v>502</v>
      </c>
      <c r="ID77" s="118" t="s">
        <v>502</v>
      </c>
      <c r="IE77" s="118" t="s">
        <v>502</v>
      </c>
      <c r="IF77" s="118" t="s">
        <v>502</v>
      </c>
      <c r="IG77" s="118" t="s">
        <v>502</v>
      </c>
      <c r="IH77" s="118" t="s">
        <v>502</v>
      </c>
      <c r="II77" s="118" t="s">
        <v>502</v>
      </c>
      <c r="IJ77" s="118" t="s">
        <v>502</v>
      </c>
      <c r="IK77" s="118" t="s">
        <v>502</v>
      </c>
      <c r="IL77" s="118" t="s">
        <v>502</v>
      </c>
      <c r="IM77" s="118" t="s">
        <v>502</v>
      </c>
      <c r="IN77" s="118" t="s">
        <v>502</v>
      </c>
      <c r="IO77" s="120" t="s">
        <v>503</v>
      </c>
      <c r="IP77" s="120" t="s">
        <v>503</v>
      </c>
      <c r="IQ77" s="120" t="s">
        <v>503</v>
      </c>
      <c r="IR77" s="118" t="s">
        <v>669</v>
      </c>
      <c r="IS77" s="118" t="s">
        <v>669</v>
      </c>
      <c r="IT77" s="118" t="s">
        <v>669</v>
      </c>
      <c r="IU77" s="120" t="s">
        <v>503</v>
      </c>
      <c r="IV77" s="120" t="s">
        <v>503</v>
      </c>
      <c r="IW77" s="120" t="s">
        <v>503</v>
      </c>
      <c r="IX77" s="120" t="s">
        <v>503</v>
      </c>
      <c r="IY77" s="120" t="s">
        <v>503</v>
      </c>
      <c r="IZ77" s="120" t="s">
        <v>503</v>
      </c>
      <c r="JA77" s="120" t="s">
        <v>503</v>
      </c>
      <c r="JB77" s="120" t="s">
        <v>503</v>
      </c>
      <c r="JC77" s="120" t="s">
        <v>503</v>
      </c>
      <c r="JD77" s="120" t="s">
        <v>664</v>
      </c>
      <c r="JE77" s="120" t="s">
        <v>664</v>
      </c>
      <c r="JF77" s="120" t="s">
        <v>664</v>
      </c>
      <c r="JG77" s="118" t="s">
        <v>502</v>
      </c>
      <c r="JH77" s="118" t="s">
        <v>502</v>
      </c>
      <c r="JI77" s="118" t="s">
        <v>502</v>
      </c>
      <c r="JJ77" s="118" t="s">
        <v>502</v>
      </c>
      <c r="JK77" s="118" t="s">
        <v>502</v>
      </c>
      <c r="JL77" s="118" t="s">
        <v>502</v>
      </c>
      <c r="JM77" s="118" t="s">
        <v>502</v>
      </c>
      <c r="JN77" s="118" t="s">
        <v>502</v>
      </c>
      <c r="JO77" s="118" t="s">
        <v>502</v>
      </c>
      <c r="JP77" s="110">
        <v>1300</v>
      </c>
      <c r="JQ77" s="111">
        <v>1553.2054719999999</v>
      </c>
      <c r="JR77" s="112">
        <f t="shared" si="30"/>
        <v>3</v>
      </c>
      <c r="JS77" s="113">
        <f t="shared" si="31"/>
        <v>900.55555555555554</v>
      </c>
      <c r="JT77" s="114">
        <f t="shared" si="32"/>
        <v>950</v>
      </c>
      <c r="JU77" s="177"/>
    </row>
    <row r="78" spans="1:281" ht="101.25" customHeight="1" x14ac:dyDescent="0.2">
      <c r="A78" s="98">
        <v>176</v>
      </c>
      <c r="B78" s="99">
        <v>176</v>
      </c>
      <c r="C78" s="39" t="s">
        <v>12</v>
      </c>
      <c r="D78" s="100" t="s">
        <v>282</v>
      </c>
      <c r="E78" s="39">
        <v>90101600</v>
      </c>
      <c r="F78" s="101" t="s">
        <v>285</v>
      </c>
      <c r="G78" s="102" t="s">
        <v>86</v>
      </c>
      <c r="H78" s="103" t="s">
        <v>501</v>
      </c>
      <c r="I78" s="108" t="s">
        <v>503</v>
      </c>
      <c r="J78" s="108" t="s">
        <v>503</v>
      </c>
      <c r="K78" s="108" t="s">
        <v>503</v>
      </c>
      <c r="L78" s="118" t="s">
        <v>502</v>
      </c>
      <c r="M78" s="118" t="s">
        <v>502</v>
      </c>
      <c r="N78" s="118" t="s">
        <v>502</v>
      </c>
      <c r="O78" s="108" t="s">
        <v>503</v>
      </c>
      <c r="P78" s="108" t="s">
        <v>503</v>
      </c>
      <c r="Q78" s="108" t="s">
        <v>503</v>
      </c>
      <c r="R78" s="108" t="s">
        <v>503</v>
      </c>
      <c r="S78" s="108" t="s">
        <v>503</v>
      </c>
      <c r="T78" s="108" t="s">
        <v>503</v>
      </c>
      <c r="U78" s="118" t="s">
        <v>502</v>
      </c>
      <c r="V78" s="118" t="s">
        <v>502</v>
      </c>
      <c r="W78" s="118" t="s">
        <v>502</v>
      </c>
      <c r="X78" s="108" t="s">
        <v>503</v>
      </c>
      <c r="Y78" s="108" t="s">
        <v>503</v>
      </c>
      <c r="Z78" s="108" t="s">
        <v>503</v>
      </c>
      <c r="AA78" s="108" t="s">
        <v>503</v>
      </c>
      <c r="AB78" s="108" t="s">
        <v>503</v>
      </c>
      <c r="AC78" s="108" t="s">
        <v>503</v>
      </c>
      <c r="AD78" s="108" t="s">
        <v>503</v>
      </c>
      <c r="AE78" s="108" t="s">
        <v>503</v>
      </c>
      <c r="AF78" s="108" t="s">
        <v>503</v>
      </c>
      <c r="AG78" s="108" t="s">
        <v>503</v>
      </c>
      <c r="AH78" s="108" t="s">
        <v>503</v>
      </c>
      <c r="AI78" s="108" t="s">
        <v>503</v>
      </c>
      <c r="AJ78" s="108" t="s">
        <v>503</v>
      </c>
      <c r="AK78" s="108" t="s">
        <v>503</v>
      </c>
      <c r="AL78" s="108" t="s">
        <v>503</v>
      </c>
      <c r="AM78" s="108" t="s">
        <v>503</v>
      </c>
      <c r="AN78" s="108" t="s">
        <v>503</v>
      </c>
      <c r="AO78" s="108" t="s">
        <v>503</v>
      </c>
      <c r="AP78" s="108" t="s">
        <v>503</v>
      </c>
      <c r="AQ78" s="108" t="s">
        <v>503</v>
      </c>
      <c r="AR78" s="108" t="s">
        <v>503</v>
      </c>
      <c r="AS78" s="108" t="s">
        <v>503</v>
      </c>
      <c r="AT78" s="108" t="s">
        <v>503</v>
      </c>
      <c r="AU78" s="108" t="s">
        <v>503</v>
      </c>
      <c r="AV78" s="108" t="s">
        <v>503</v>
      </c>
      <c r="AW78" s="108" t="s">
        <v>503</v>
      </c>
      <c r="AX78" s="108" t="s">
        <v>503</v>
      </c>
      <c r="AY78" s="108" t="s">
        <v>503</v>
      </c>
      <c r="AZ78" s="108" t="s">
        <v>503</v>
      </c>
      <c r="BA78" s="108" t="s">
        <v>503</v>
      </c>
      <c r="BB78" s="108" t="s">
        <v>503</v>
      </c>
      <c r="BC78" s="108" t="s">
        <v>503</v>
      </c>
      <c r="BD78" s="108" t="s">
        <v>503</v>
      </c>
      <c r="BE78" s="108" t="s">
        <v>503</v>
      </c>
      <c r="BF78" s="108" t="s">
        <v>503</v>
      </c>
      <c r="BG78" s="108" t="s">
        <v>503</v>
      </c>
      <c r="BH78" s="108" t="s">
        <v>503</v>
      </c>
      <c r="BI78" s="108" t="s">
        <v>503</v>
      </c>
      <c r="BJ78" s="108" t="s">
        <v>503</v>
      </c>
      <c r="BK78" s="108" t="s">
        <v>503</v>
      </c>
      <c r="BL78" s="108" t="s">
        <v>503</v>
      </c>
      <c r="BM78" s="108" t="s">
        <v>503</v>
      </c>
      <c r="BN78" s="108" t="s">
        <v>503</v>
      </c>
      <c r="BO78" s="108" t="s">
        <v>503</v>
      </c>
      <c r="BP78" s="108" t="s">
        <v>503</v>
      </c>
      <c r="BQ78" s="108" t="s">
        <v>503</v>
      </c>
      <c r="BR78" s="108" t="s">
        <v>503</v>
      </c>
      <c r="BS78" s="108" t="s">
        <v>503</v>
      </c>
      <c r="BT78" s="108" t="s">
        <v>503</v>
      </c>
      <c r="BU78" s="108" t="s">
        <v>503</v>
      </c>
      <c r="BV78" s="108" t="s">
        <v>503</v>
      </c>
      <c r="BW78" s="108" t="s">
        <v>503</v>
      </c>
      <c r="BX78" s="108" t="s">
        <v>503</v>
      </c>
      <c r="BY78" s="108" t="s">
        <v>503</v>
      </c>
      <c r="BZ78" s="108" t="s">
        <v>503</v>
      </c>
      <c r="CA78" s="108" t="s">
        <v>503</v>
      </c>
      <c r="CB78" s="108" t="s">
        <v>503</v>
      </c>
      <c r="CC78" s="108" t="s">
        <v>503</v>
      </c>
      <c r="CD78" s="108" t="s">
        <v>503</v>
      </c>
      <c r="CE78" s="108" t="s">
        <v>503</v>
      </c>
      <c r="CF78" s="108" t="s">
        <v>503</v>
      </c>
      <c r="CG78" s="108" t="s">
        <v>503</v>
      </c>
      <c r="CH78" s="108" t="s">
        <v>503</v>
      </c>
      <c r="CI78" s="108" t="s">
        <v>503</v>
      </c>
      <c r="CJ78" s="108" t="s">
        <v>503</v>
      </c>
      <c r="CK78" s="108" t="s">
        <v>503</v>
      </c>
      <c r="CL78" s="108" t="s">
        <v>503</v>
      </c>
      <c r="CM78" s="108" t="s">
        <v>503</v>
      </c>
      <c r="CN78" s="108" t="s">
        <v>503</v>
      </c>
      <c r="CO78" s="108" t="s">
        <v>503</v>
      </c>
      <c r="CP78" s="108" t="s">
        <v>503</v>
      </c>
      <c r="CQ78" s="108" t="s">
        <v>503</v>
      </c>
      <c r="CR78" s="108" t="s">
        <v>503</v>
      </c>
      <c r="CS78" s="108" t="s">
        <v>503</v>
      </c>
      <c r="CT78" s="108" t="s">
        <v>503</v>
      </c>
      <c r="CU78" s="108" t="s">
        <v>503</v>
      </c>
      <c r="CV78" s="108" t="s">
        <v>503</v>
      </c>
      <c r="CW78" s="108" t="s">
        <v>503</v>
      </c>
      <c r="CX78" s="108" t="s">
        <v>503</v>
      </c>
      <c r="CY78" s="108" t="s">
        <v>503</v>
      </c>
      <c r="CZ78" s="108" t="s">
        <v>503</v>
      </c>
      <c r="DA78" s="108" t="s">
        <v>503</v>
      </c>
      <c r="DB78" s="108" t="s">
        <v>503</v>
      </c>
      <c r="DC78" s="108" t="s">
        <v>503</v>
      </c>
      <c r="DD78" s="108" t="s">
        <v>503</v>
      </c>
      <c r="DE78" s="108" t="s">
        <v>503</v>
      </c>
      <c r="DF78" s="108" t="s">
        <v>503</v>
      </c>
      <c r="DG78" s="108" t="s">
        <v>503</v>
      </c>
      <c r="DH78" s="108" t="s">
        <v>503</v>
      </c>
      <c r="DI78" s="108" t="s">
        <v>503</v>
      </c>
      <c r="DJ78" s="108" t="s">
        <v>503</v>
      </c>
      <c r="DK78" s="108" t="s">
        <v>503</v>
      </c>
      <c r="DL78" s="108" t="s">
        <v>503</v>
      </c>
      <c r="DM78" s="108" t="s">
        <v>503</v>
      </c>
      <c r="DN78" s="108" t="s">
        <v>503</v>
      </c>
      <c r="DO78" s="108" t="s">
        <v>503</v>
      </c>
      <c r="DP78" s="108" t="s">
        <v>669</v>
      </c>
      <c r="DQ78" s="108" t="s">
        <v>669</v>
      </c>
      <c r="DR78" s="108" t="s">
        <v>669</v>
      </c>
      <c r="DS78" s="108" t="s">
        <v>669</v>
      </c>
      <c r="DT78" s="108" t="s">
        <v>669</v>
      </c>
      <c r="DU78" s="108" t="s">
        <v>669</v>
      </c>
      <c r="DV78" s="108" t="s">
        <v>503</v>
      </c>
      <c r="DW78" s="108" t="s">
        <v>503</v>
      </c>
      <c r="DX78" s="108" t="s">
        <v>503</v>
      </c>
      <c r="DY78" s="108" t="s">
        <v>503</v>
      </c>
      <c r="DZ78" s="108" t="s">
        <v>503</v>
      </c>
      <c r="EA78" s="108" t="s">
        <v>503</v>
      </c>
      <c r="EB78" s="108" t="s">
        <v>503</v>
      </c>
      <c r="EC78" s="108" t="s">
        <v>503</v>
      </c>
      <c r="ED78" s="108" t="s">
        <v>503</v>
      </c>
      <c r="EE78" s="108" t="s">
        <v>503</v>
      </c>
      <c r="EF78" s="108" t="s">
        <v>503</v>
      </c>
      <c r="EG78" s="108" t="s">
        <v>503</v>
      </c>
      <c r="EH78" s="108" t="s">
        <v>503</v>
      </c>
      <c r="EI78" s="108" t="s">
        <v>503</v>
      </c>
      <c r="EJ78" s="108" t="s">
        <v>503</v>
      </c>
      <c r="EK78" s="108" t="s">
        <v>503</v>
      </c>
      <c r="EL78" s="108" t="s">
        <v>503</v>
      </c>
      <c r="EM78" s="108" t="s">
        <v>503</v>
      </c>
      <c r="EN78" s="108" t="s">
        <v>503</v>
      </c>
      <c r="EO78" s="108" t="s">
        <v>503</v>
      </c>
      <c r="EP78" s="108" t="s">
        <v>503</v>
      </c>
      <c r="EQ78" s="108" t="s">
        <v>502</v>
      </c>
      <c r="ER78" s="108" t="s">
        <v>502</v>
      </c>
      <c r="ES78" s="108" t="s">
        <v>502</v>
      </c>
      <c r="ET78" s="108" t="s">
        <v>502</v>
      </c>
      <c r="EU78" s="108" t="s">
        <v>502</v>
      </c>
      <c r="EV78" s="108" t="s">
        <v>502</v>
      </c>
      <c r="EW78" s="178">
        <v>2800</v>
      </c>
      <c r="EX78" s="179">
        <f t="shared" si="28"/>
        <v>224</v>
      </c>
      <c r="EY78" s="47">
        <f t="shared" si="29"/>
        <v>3024</v>
      </c>
      <c r="EZ78" s="108" t="s">
        <v>503</v>
      </c>
      <c r="FA78" s="108" t="s">
        <v>503</v>
      </c>
      <c r="FB78" s="108" t="s">
        <v>503</v>
      </c>
      <c r="FC78" s="108" t="s">
        <v>502</v>
      </c>
      <c r="FD78" s="108" t="s">
        <v>502</v>
      </c>
      <c r="FE78" s="108" t="s">
        <v>502</v>
      </c>
      <c r="FF78" s="108" t="s">
        <v>503</v>
      </c>
      <c r="FG78" s="108" t="s">
        <v>503</v>
      </c>
      <c r="FH78" s="108" t="s">
        <v>503</v>
      </c>
      <c r="FI78" s="108" t="s">
        <v>503</v>
      </c>
      <c r="FJ78" s="108" t="s">
        <v>503</v>
      </c>
      <c r="FK78" s="108" t="s">
        <v>503</v>
      </c>
      <c r="FL78" s="108" t="s">
        <v>503</v>
      </c>
      <c r="FM78" s="108" t="s">
        <v>503</v>
      </c>
      <c r="FN78" s="108" t="s">
        <v>503</v>
      </c>
      <c r="FO78" s="108" t="s">
        <v>502</v>
      </c>
      <c r="FP78" s="108" t="s">
        <v>502</v>
      </c>
      <c r="FQ78" s="108" t="s">
        <v>502</v>
      </c>
      <c r="FR78" s="108" t="s">
        <v>502</v>
      </c>
      <c r="FS78" s="108" t="s">
        <v>502</v>
      </c>
      <c r="FT78" s="108" t="s">
        <v>502</v>
      </c>
      <c r="FU78" s="108" t="s">
        <v>502</v>
      </c>
      <c r="FV78" s="108" t="s">
        <v>502</v>
      </c>
      <c r="FW78" s="108" t="s">
        <v>502</v>
      </c>
      <c r="FX78" s="108" t="s">
        <v>503</v>
      </c>
      <c r="FY78" s="108" t="s">
        <v>503</v>
      </c>
      <c r="FZ78" s="108" t="s">
        <v>503</v>
      </c>
      <c r="GA78" s="108" t="s">
        <v>503</v>
      </c>
      <c r="GB78" s="108" t="s">
        <v>503</v>
      </c>
      <c r="GC78" s="108" t="s">
        <v>503</v>
      </c>
      <c r="GD78" s="108" t="s">
        <v>503</v>
      </c>
      <c r="GE78" s="108" t="s">
        <v>503</v>
      </c>
      <c r="GF78" s="108" t="s">
        <v>503</v>
      </c>
      <c r="GG78" s="108" t="s">
        <v>669</v>
      </c>
      <c r="GH78" s="108" t="s">
        <v>669</v>
      </c>
      <c r="GI78" s="108" t="s">
        <v>669</v>
      </c>
      <c r="GJ78" s="108" t="s">
        <v>669</v>
      </c>
      <c r="GK78" s="108" t="s">
        <v>669</v>
      </c>
      <c r="GL78" s="108" t="s">
        <v>669</v>
      </c>
      <c r="GM78" s="108" t="s">
        <v>502</v>
      </c>
      <c r="GN78" s="108" t="s">
        <v>502</v>
      </c>
      <c r="GO78" s="108" t="s">
        <v>502</v>
      </c>
      <c r="GP78" s="108" t="s">
        <v>664</v>
      </c>
      <c r="GQ78" s="108" t="s">
        <v>664</v>
      </c>
      <c r="GR78" s="108" t="s">
        <v>664</v>
      </c>
      <c r="GS78" s="47">
        <f>1200/1.19</f>
        <v>1008.4033613445379</v>
      </c>
      <c r="GT78" s="47">
        <f t="shared" si="23"/>
        <v>191.59663865546219</v>
      </c>
      <c r="GU78" s="69">
        <f t="shared" si="24"/>
        <v>1200</v>
      </c>
      <c r="GV78" s="108" t="s">
        <v>502</v>
      </c>
      <c r="GW78" s="108" t="s">
        <v>502</v>
      </c>
      <c r="GX78" s="108" t="s">
        <v>502</v>
      </c>
      <c r="GY78" s="108" t="s">
        <v>664</v>
      </c>
      <c r="GZ78" s="108" t="s">
        <v>664</v>
      </c>
      <c r="HA78" s="108" t="s">
        <v>664</v>
      </c>
      <c r="HB78" s="108" t="s">
        <v>664</v>
      </c>
      <c r="HC78" s="108" t="s">
        <v>664</v>
      </c>
      <c r="HD78" s="108" t="s">
        <v>664</v>
      </c>
      <c r="HE78" s="108" t="s">
        <v>664</v>
      </c>
      <c r="HF78" s="108" t="s">
        <v>664</v>
      </c>
      <c r="HG78" s="108" t="s">
        <v>664</v>
      </c>
      <c r="HH78" s="71">
        <f>1910/1.19</f>
        <v>1605.0420168067228</v>
      </c>
      <c r="HI78" s="71">
        <f>HH78*0.19</f>
        <v>304.95798319327736</v>
      </c>
      <c r="HJ78" s="71">
        <f>HI78+HH78</f>
        <v>1910.0000000000002</v>
      </c>
      <c r="HK78" s="71">
        <f>(1990)/1.19</f>
        <v>1672.2689075630253</v>
      </c>
      <c r="HL78" s="71">
        <f>HK78*0.19</f>
        <v>317.73109243697479</v>
      </c>
      <c r="HM78" s="71">
        <f>HL78+HK78</f>
        <v>1990</v>
      </c>
      <c r="HN78" s="108" t="s">
        <v>664</v>
      </c>
      <c r="HO78" s="108" t="s">
        <v>664</v>
      </c>
      <c r="HP78" s="108" t="s">
        <v>664</v>
      </c>
      <c r="HQ78" s="108" t="s">
        <v>503</v>
      </c>
      <c r="HR78" s="108" t="s">
        <v>503</v>
      </c>
      <c r="HS78" s="108" t="s">
        <v>503</v>
      </c>
      <c r="HT78" s="108" t="s">
        <v>502</v>
      </c>
      <c r="HU78" s="108" t="s">
        <v>502</v>
      </c>
      <c r="HV78" s="108" t="s">
        <v>502</v>
      </c>
      <c r="HW78" s="108" t="s">
        <v>502</v>
      </c>
      <c r="HX78" s="108" t="s">
        <v>502</v>
      </c>
      <c r="HY78" s="108" t="s">
        <v>502</v>
      </c>
      <c r="HZ78" s="118" t="s">
        <v>502</v>
      </c>
      <c r="IA78" s="118" t="s">
        <v>502</v>
      </c>
      <c r="IB78" s="118" t="s">
        <v>502</v>
      </c>
      <c r="IC78" s="118" t="s">
        <v>502</v>
      </c>
      <c r="ID78" s="118" t="s">
        <v>502</v>
      </c>
      <c r="IE78" s="118" t="s">
        <v>502</v>
      </c>
      <c r="IF78" s="118" t="s">
        <v>502</v>
      </c>
      <c r="IG78" s="118" t="s">
        <v>502</v>
      </c>
      <c r="IH78" s="118" t="s">
        <v>502</v>
      </c>
      <c r="II78" s="118" t="s">
        <v>502</v>
      </c>
      <c r="IJ78" s="118" t="s">
        <v>502</v>
      </c>
      <c r="IK78" s="118" t="s">
        <v>502</v>
      </c>
      <c r="IL78" s="118" t="s">
        <v>502</v>
      </c>
      <c r="IM78" s="118" t="s">
        <v>502</v>
      </c>
      <c r="IN78" s="118" t="s">
        <v>502</v>
      </c>
      <c r="IO78" s="120" t="s">
        <v>503</v>
      </c>
      <c r="IP78" s="120" t="s">
        <v>503</v>
      </c>
      <c r="IQ78" s="120" t="s">
        <v>503</v>
      </c>
      <c r="IR78" s="118" t="s">
        <v>669</v>
      </c>
      <c r="IS78" s="118" t="s">
        <v>669</v>
      </c>
      <c r="IT78" s="118" t="s">
        <v>669</v>
      </c>
      <c r="IU78" s="120" t="s">
        <v>503</v>
      </c>
      <c r="IV78" s="120" t="s">
        <v>503</v>
      </c>
      <c r="IW78" s="120" t="s">
        <v>503</v>
      </c>
      <c r="IX78" s="120" t="s">
        <v>503</v>
      </c>
      <c r="IY78" s="120" t="s">
        <v>503</v>
      </c>
      <c r="IZ78" s="120" t="s">
        <v>503</v>
      </c>
      <c r="JA78" s="120" t="s">
        <v>503</v>
      </c>
      <c r="JB78" s="120" t="s">
        <v>503</v>
      </c>
      <c r="JC78" s="120" t="s">
        <v>503</v>
      </c>
      <c r="JD78" s="120" t="s">
        <v>664</v>
      </c>
      <c r="JE78" s="120" t="s">
        <v>664</v>
      </c>
      <c r="JF78" s="120" t="s">
        <v>664</v>
      </c>
      <c r="JG78" s="118" t="s">
        <v>502</v>
      </c>
      <c r="JH78" s="118" t="s">
        <v>502</v>
      </c>
      <c r="JI78" s="118" t="s">
        <v>502</v>
      </c>
      <c r="JJ78" s="118" t="s">
        <v>502</v>
      </c>
      <c r="JK78" s="118" t="s">
        <v>502</v>
      </c>
      <c r="JL78" s="118" t="s">
        <v>502</v>
      </c>
      <c r="JM78" s="118" t="s">
        <v>502</v>
      </c>
      <c r="JN78" s="118" t="s">
        <v>502</v>
      </c>
      <c r="JO78" s="118" t="s">
        <v>502</v>
      </c>
      <c r="JP78" s="110">
        <v>2050</v>
      </c>
      <c r="JQ78" s="111">
        <v>2449.2855519999998</v>
      </c>
      <c r="JR78" s="112">
        <f t="shared" si="30"/>
        <v>4</v>
      </c>
      <c r="JS78" s="113">
        <f t="shared" si="31"/>
        <v>2031</v>
      </c>
      <c r="JT78" s="114">
        <f t="shared" si="32"/>
        <v>2050</v>
      </c>
      <c r="JU78" s="177"/>
    </row>
    <row r="79" spans="1:281" ht="101.25" customHeight="1" x14ac:dyDescent="0.2">
      <c r="A79" s="98">
        <v>177</v>
      </c>
      <c r="B79" s="99">
        <v>177</v>
      </c>
      <c r="C79" s="39" t="s">
        <v>12</v>
      </c>
      <c r="D79" s="100" t="s">
        <v>283</v>
      </c>
      <c r="E79" s="39">
        <v>90101600</v>
      </c>
      <c r="F79" s="129" t="s">
        <v>286</v>
      </c>
      <c r="G79" s="102" t="s">
        <v>86</v>
      </c>
      <c r="H79" s="103" t="s">
        <v>501</v>
      </c>
      <c r="I79" s="108" t="s">
        <v>503</v>
      </c>
      <c r="J79" s="108" t="s">
        <v>503</v>
      </c>
      <c r="K79" s="108" t="s">
        <v>503</v>
      </c>
      <c r="L79" s="118" t="s">
        <v>502</v>
      </c>
      <c r="M79" s="118" t="s">
        <v>502</v>
      </c>
      <c r="N79" s="118" t="s">
        <v>502</v>
      </c>
      <c r="O79" s="108" t="s">
        <v>503</v>
      </c>
      <c r="P79" s="108" t="s">
        <v>503</v>
      </c>
      <c r="Q79" s="108" t="s">
        <v>503</v>
      </c>
      <c r="R79" s="108" t="s">
        <v>503</v>
      </c>
      <c r="S79" s="108" t="s">
        <v>503</v>
      </c>
      <c r="T79" s="108" t="s">
        <v>503</v>
      </c>
      <c r="U79" s="118" t="s">
        <v>502</v>
      </c>
      <c r="V79" s="118" t="s">
        <v>502</v>
      </c>
      <c r="W79" s="118" t="s">
        <v>502</v>
      </c>
      <c r="X79" s="108" t="s">
        <v>503</v>
      </c>
      <c r="Y79" s="108" t="s">
        <v>503</v>
      </c>
      <c r="Z79" s="108" t="s">
        <v>503</v>
      </c>
      <c r="AA79" s="108" t="s">
        <v>503</v>
      </c>
      <c r="AB79" s="108" t="s">
        <v>503</v>
      </c>
      <c r="AC79" s="108" t="s">
        <v>503</v>
      </c>
      <c r="AD79" s="108" t="s">
        <v>503</v>
      </c>
      <c r="AE79" s="108" t="s">
        <v>503</v>
      </c>
      <c r="AF79" s="108" t="s">
        <v>503</v>
      </c>
      <c r="AG79" s="108" t="s">
        <v>503</v>
      </c>
      <c r="AH79" s="108" t="s">
        <v>503</v>
      </c>
      <c r="AI79" s="108" t="s">
        <v>503</v>
      </c>
      <c r="AJ79" s="108" t="s">
        <v>503</v>
      </c>
      <c r="AK79" s="108" t="s">
        <v>503</v>
      </c>
      <c r="AL79" s="108" t="s">
        <v>503</v>
      </c>
      <c r="AM79" s="108" t="s">
        <v>503</v>
      </c>
      <c r="AN79" s="108" t="s">
        <v>503</v>
      </c>
      <c r="AO79" s="108" t="s">
        <v>503</v>
      </c>
      <c r="AP79" s="108" t="s">
        <v>503</v>
      </c>
      <c r="AQ79" s="108" t="s">
        <v>503</v>
      </c>
      <c r="AR79" s="108" t="s">
        <v>503</v>
      </c>
      <c r="AS79" s="108" t="s">
        <v>503</v>
      </c>
      <c r="AT79" s="108" t="s">
        <v>503</v>
      </c>
      <c r="AU79" s="108" t="s">
        <v>503</v>
      </c>
      <c r="AV79" s="108" t="s">
        <v>503</v>
      </c>
      <c r="AW79" s="108" t="s">
        <v>503</v>
      </c>
      <c r="AX79" s="108" t="s">
        <v>503</v>
      </c>
      <c r="AY79" s="108" t="s">
        <v>503</v>
      </c>
      <c r="AZ79" s="108" t="s">
        <v>503</v>
      </c>
      <c r="BA79" s="108" t="s">
        <v>503</v>
      </c>
      <c r="BB79" s="108" t="s">
        <v>503</v>
      </c>
      <c r="BC79" s="108" t="s">
        <v>503</v>
      </c>
      <c r="BD79" s="108" t="s">
        <v>503</v>
      </c>
      <c r="BE79" s="108" t="s">
        <v>503</v>
      </c>
      <c r="BF79" s="108" t="s">
        <v>503</v>
      </c>
      <c r="BG79" s="108" t="s">
        <v>503</v>
      </c>
      <c r="BH79" s="108" t="s">
        <v>503</v>
      </c>
      <c r="BI79" s="108" t="s">
        <v>503</v>
      </c>
      <c r="BJ79" s="108" t="s">
        <v>503</v>
      </c>
      <c r="BK79" s="108" t="s">
        <v>503</v>
      </c>
      <c r="BL79" s="108" t="s">
        <v>503</v>
      </c>
      <c r="BM79" s="108" t="s">
        <v>503</v>
      </c>
      <c r="BN79" s="108" t="s">
        <v>503</v>
      </c>
      <c r="BO79" s="108" t="s">
        <v>503</v>
      </c>
      <c r="BP79" s="108" t="s">
        <v>503</v>
      </c>
      <c r="BQ79" s="108" t="s">
        <v>503</v>
      </c>
      <c r="BR79" s="108" t="s">
        <v>503</v>
      </c>
      <c r="BS79" s="108" t="s">
        <v>503</v>
      </c>
      <c r="BT79" s="108" t="s">
        <v>503</v>
      </c>
      <c r="BU79" s="108" t="s">
        <v>503</v>
      </c>
      <c r="BV79" s="108" t="s">
        <v>503</v>
      </c>
      <c r="BW79" s="108" t="s">
        <v>503</v>
      </c>
      <c r="BX79" s="108" t="s">
        <v>503</v>
      </c>
      <c r="BY79" s="108" t="s">
        <v>503</v>
      </c>
      <c r="BZ79" s="77">
        <v>2240</v>
      </c>
      <c r="CA79" s="117">
        <f>+BZ79*19%</f>
        <v>425.6</v>
      </c>
      <c r="CB79" s="71">
        <f>+BZ79+CA79</f>
        <v>2665.6</v>
      </c>
      <c r="CC79" s="108" t="s">
        <v>503</v>
      </c>
      <c r="CD79" s="108" t="s">
        <v>503</v>
      </c>
      <c r="CE79" s="108" t="s">
        <v>503</v>
      </c>
      <c r="CF79" s="108" t="s">
        <v>503</v>
      </c>
      <c r="CG79" s="108" t="s">
        <v>503</v>
      </c>
      <c r="CH79" s="108" t="s">
        <v>503</v>
      </c>
      <c r="CI79" s="108" t="s">
        <v>503</v>
      </c>
      <c r="CJ79" s="108" t="s">
        <v>503</v>
      </c>
      <c r="CK79" s="108" t="s">
        <v>503</v>
      </c>
      <c r="CL79" s="108" t="s">
        <v>503</v>
      </c>
      <c r="CM79" s="108" t="s">
        <v>503</v>
      </c>
      <c r="CN79" s="108" t="s">
        <v>503</v>
      </c>
      <c r="CO79" s="108" t="s">
        <v>503</v>
      </c>
      <c r="CP79" s="108" t="s">
        <v>503</v>
      </c>
      <c r="CQ79" s="108" t="s">
        <v>503</v>
      </c>
      <c r="CR79" s="108" t="s">
        <v>503</v>
      </c>
      <c r="CS79" s="108" t="s">
        <v>503</v>
      </c>
      <c r="CT79" s="108" t="s">
        <v>503</v>
      </c>
      <c r="CU79" s="108" t="s">
        <v>503</v>
      </c>
      <c r="CV79" s="108" t="s">
        <v>503</v>
      </c>
      <c r="CW79" s="108" t="s">
        <v>503</v>
      </c>
      <c r="CX79" s="108" t="s">
        <v>503</v>
      </c>
      <c r="CY79" s="108" t="s">
        <v>503</v>
      </c>
      <c r="CZ79" s="108" t="s">
        <v>503</v>
      </c>
      <c r="DA79" s="108" t="s">
        <v>503</v>
      </c>
      <c r="DB79" s="108" t="s">
        <v>503</v>
      </c>
      <c r="DC79" s="108" t="s">
        <v>503</v>
      </c>
      <c r="DD79" s="108" t="s">
        <v>503</v>
      </c>
      <c r="DE79" s="108" t="s">
        <v>503</v>
      </c>
      <c r="DF79" s="108" t="s">
        <v>503</v>
      </c>
      <c r="DG79" s="108" t="s">
        <v>503</v>
      </c>
      <c r="DH79" s="108" t="s">
        <v>503</v>
      </c>
      <c r="DI79" s="108" t="s">
        <v>503</v>
      </c>
      <c r="DJ79" s="108" t="s">
        <v>503</v>
      </c>
      <c r="DK79" s="108" t="s">
        <v>503</v>
      </c>
      <c r="DL79" s="108" t="s">
        <v>503</v>
      </c>
      <c r="DM79" s="108" t="s">
        <v>503</v>
      </c>
      <c r="DN79" s="108" t="s">
        <v>503</v>
      </c>
      <c r="DO79" s="108" t="s">
        <v>503</v>
      </c>
      <c r="DP79" s="108" t="s">
        <v>669</v>
      </c>
      <c r="DQ79" s="108" t="s">
        <v>669</v>
      </c>
      <c r="DR79" s="108" t="s">
        <v>669</v>
      </c>
      <c r="DS79" s="108" t="s">
        <v>669</v>
      </c>
      <c r="DT79" s="108" t="s">
        <v>669</v>
      </c>
      <c r="DU79" s="108" t="s">
        <v>669</v>
      </c>
      <c r="DV79" s="108" t="s">
        <v>503</v>
      </c>
      <c r="DW79" s="108" t="s">
        <v>503</v>
      </c>
      <c r="DX79" s="108" t="s">
        <v>503</v>
      </c>
      <c r="DY79" s="108" t="s">
        <v>503</v>
      </c>
      <c r="DZ79" s="108" t="s">
        <v>503</v>
      </c>
      <c r="EA79" s="108" t="s">
        <v>503</v>
      </c>
      <c r="EB79" s="108" t="s">
        <v>503</v>
      </c>
      <c r="EC79" s="108" t="s">
        <v>503</v>
      </c>
      <c r="ED79" s="108" t="s">
        <v>503</v>
      </c>
      <c r="EE79" s="108" t="s">
        <v>503</v>
      </c>
      <c r="EF79" s="108" t="s">
        <v>503</v>
      </c>
      <c r="EG79" s="108" t="s">
        <v>503</v>
      </c>
      <c r="EH79" s="108" t="s">
        <v>503</v>
      </c>
      <c r="EI79" s="108" t="s">
        <v>503</v>
      </c>
      <c r="EJ79" s="108" t="s">
        <v>503</v>
      </c>
      <c r="EK79" s="108" t="s">
        <v>503</v>
      </c>
      <c r="EL79" s="108" t="s">
        <v>503</v>
      </c>
      <c r="EM79" s="108" t="s">
        <v>503</v>
      </c>
      <c r="EN79" s="108" t="s">
        <v>503</v>
      </c>
      <c r="EO79" s="108" t="s">
        <v>503</v>
      </c>
      <c r="EP79" s="108" t="s">
        <v>503</v>
      </c>
      <c r="EQ79" s="108" t="s">
        <v>502</v>
      </c>
      <c r="ER79" s="108" t="s">
        <v>502</v>
      </c>
      <c r="ES79" s="108" t="s">
        <v>502</v>
      </c>
      <c r="ET79" s="108" t="s">
        <v>502</v>
      </c>
      <c r="EU79" s="108" t="s">
        <v>502</v>
      </c>
      <c r="EV79" s="108" t="s">
        <v>502</v>
      </c>
      <c r="EW79" s="108" t="s">
        <v>503</v>
      </c>
      <c r="EX79" s="108" t="s">
        <v>503</v>
      </c>
      <c r="EY79" s="108" t="s">
        <v>503</v>
      </c>
      <c r="EZ79" s="108" t="s">
        <v>503</v>
      </c>
      <c r="FA79" s="108" t="s">
        <v>503</v>
      </c>
      <c r="FB79" s="108" t="s">
        <v>503</v>
      </c>
      <c r="FC79" s="108" t="s">
        <v>502</v>
      </c>
      <c r="FD79" s="108" t="s">
        <v>502</v>
      </c>
      <c r="FE79" s="108" t="s">
        <v>502</v>
      </c>
      <c r="FF79" s="108" t="s">
        <v>503</v>
      </c>
      <c r="FG79" s="108" t="s">
        <v>503</v>
      </c>
      <c r="FH79" s="108" t="s">
        <v>503</v>
      </c>
      <c r="FI79" s="108" t="s">
        <v>503</v>
      </c>
      <c r="FJ79" s="108" t="s">
        <v>503</v>
      </c>
      <c r="FK79" s="108" t="s">
        <v>503</v>
      </c>
      <c r="FL79" s="108" t="s">
        <v>503</v>
      </c>
      <c r="FM79" s="108" t="s">
        <v>503</v>
      </c>
      <c r="FN79" s="108" t="s">
        <v>503</v>
      </c>
      <c r="FO79" s="108" t="s">
        <v>502</v>
      </c>
      <c r="FP79" s="108" t="s">
        <v>502</v>
      </c>
      <c r="FQ79" s="108" t="s">
        <v>502</v>
      </c>
      <c r="FR79" s="108" t="s">
        <v>502</v>
      </c>
      <c r="FS79" s="108" t="s">
        <v>502</v>
      </c>
      <c r="FT79" s="108" t="s">
        <v>502</v>
      </c>
      <c r="FU79" s="108" t="s">
        <v>502</v>
      </c>
      <c r="FV79" s="108" t="s">
        <v>502</v>
      </c>
      <c r="FW79" s="108" t="s">
        <v>502</v>
      </c>
      <c r="FX79" s="108" t="s">
        <v>503</v>
      </c>
      <c r="FY79" s="108" t="s">
        <v>503</v>
      </c>
      <c r="FZ79" s="108" t="s">
        <v>503</v>
      </c>
      <c r="GA79" s="108" t="s">
        <v>503</v>
      </c>
      <c r="GB79" s="108" t="s">
        <v>503</v>
      </c>
      <c r="GC79" s="108" t="s">
        <v>503</v>
      </c>
      <c r="GD79" s="108" t="s">
        <v>503</v>
      </c>
      <c r="GE79" s="108" t="s">
        <v>503</v>
      </c>
      <c r="GF79" s="108" t="s">
        <v>503</v>
      </c>
      <c r="GG79" s="108" t="s">
        <v>669</v>
      </c>
      <c r="GH79" s="108" t="s">
        <v>669</v>
      </c>
      <c r="GI79" s="108" t="s">
        <v>669</v>
      </c>
      <c r="GJ79" s="108" t="s">
        <v>669</v>
      </c>
      <c r="GK79" s="108" t="s">
        <v>669</v>
      </c>
      <c r="GL79" s="108" t="s">
        <v>669</v>
      </c>
      <c r="GM79" s="108" t="s">
        <v>502</v>
      </c>
      <c r="GN79" s="108" t="s">
        <v>502</v>
      </c>
      <c r="GO79" s="108" t="s">
        <v>502</v>
      </c>
      <c r="GP79" s="108" t="s">
        <v>664</v>
      </c>
      <c r="GQ79" s="108" t="s">
        <v>664</v>
      </c>
      <c r="GR79" s="108" t="s">
        <v>664</v>
      </c>
      <c r="GS79" s="47">
        <f>1800/1.19</f>
        <v>1512.6050420168067</v>
      </c>
      <c r="GT79" s="47">
        <f t="shared" si="23"/>
        <v>287.39495798319325</v>
      </c>
      <c r="GU79" s="69">
        <f t="shared" si="24"/>
        <v>1800</v>
      </c>
      <c r="GV79" s="108" t="s">
        <v>502</v>
      </c>
      <c r="GW79" s="108" t="s">
        <v>502</v>
      </c>
      <c r="GX79" s="108" t="s">
        <v>502</v>
      </c>
      <c r="GY79" s="108" t="s">
        <v>664</v>
      </c>
      <c r="GZ79" s="108" t="s">
        <v>664</v>
      </c>
      <c r="HA79" s="108" t="s">
        <v>664</v>
      </c>
      <c r="HB79" s="108" t="s">
        <v>664</v>
      </c>
      <c r="HC79" s="108" t="s">
        <v>664</v>
      </c>
      <c r="HD79" s="108" t="s">
        <v>664</v>
      </c>
      <c r="HE79" s="108" t="s">
        <v>664</v>
      </c>
      <c r="HF79" s="108" t="s">
        <v>664</v>
      </c>
      <c r="HG79" s="108" t="s">
        <v>664</v>
      </c>
      <c r="HH79" s="108" t="s">
        <v>503</v>
      </c>
      <c r="HI79" s="108" t="s">
        <v>503</v>
      </c>
      <c r="HJ79" s="108" t="s">
        <v>503</v>
      </c>
      <c r="HK79" s="108" t="s">
        <v>503</v>
      </c>
      <c r="HL79" s="108" t="s">
        <v>503</v>
      </c>
      <c r="HM79" s="108" t="s">
        <v>503</v>
      </c>
      <c r="HN79" s="108" t="s">
        <v>664</v>
      </c>
      <c r="HO79" s="108" t="s">
        <v>664</v>
      </c>
      <c r="HP79" s="108" t="s">
        <v>664</v>
      </c>
      <c r="HQ79" s="108" t="s">
        <v>503</v>
      </c>
      <c r="HR79" s="108" t="s">
        <v>503</v>
      </c>
      <c r="HS79" s="108" t="s">
        <v>503</v>
      </c>
      <c r="HT79" s="108" t="s">
        <v>502</v>
      </c>
      <c r="HU79" s="108" t="s">
        <v>502</v>
      </c>
      <c r="HV79" s="108" t="s">
        <v>502</v>
      </c>
      <c r="HW79" s="108" t="s">
        <v>502</v>
      </c>
      <c r="HX79" s="108" t="s">
        <v>502</v>
      </c>
      <c r="HY79" s="108" t="s">
        <v>502</v>
      </c>
      <c r="HZ79" s="118" t="s">
        <v>502</v>
      </c>
      <c r="IA79" s="118" t="s">
        <v>502</v>
      </c>
      <c r="IB79" s="118" t="s">
        <v>502</v>
      </c>
      <c r="IC79" s="118" t="s">
        <v>502</v>
      </c>
      <c r="ID79" s="118" t="s">
        <v>502</v>
      </c>
      <c r="IE79" s="118" t="s">
        <v>502</v>
      </c>
      <c r="IF79" s="118" t="s">
        <v>502</v>
      </c>
      <c r="IG79" s="118" t="s">
        <v>502</v>
      </c>
      <c r="IH79" s="118" t="s">
        <v>502</v>
      </c>
      <c r="II79" s="118" t="s">
        <v>502</v>
      </c>
      <c r="IJ79" s="118" t="s">
        <v>502</v>
      </c>
      <c r="IK79" s="118" t="s">
        <v>502</v>
      </c>
      <c r="IL79" s="118" t="s">
        <v>502</v>
      </c>
      <c r="IM79" s="118" t="s">
        <v>502</v>
      </c>
      <c r="IN79" s="118" t="s">
        <v>502</v>
      </c>
      <c r="IO79" s="120" t="s">
        <v>503</v>
      </c>
      <c r="IP79" s="120" t="s">
        <v>503</v>
      </c>
      <c r="IQ79" s="120" t="s">
        <v>503</v>
      </c>
      <c r="IR79" s="118" t="s">
        <v>669</v>
      </c>
      <c r="IS79" s="118" t="s">
        <v>669</v>
      </c>
      <c r="IT79" s="118" t="s">
        <v>669</v>
      </c>
      <c r="IU79" s="120" t="s">
        <v>503</v>
      </c>
      <c r="IV79" s="120" t="s">
        <v>503</v>
      </c>
      <c r="IW79" s="120" t="s">
        <v>503</v>
      </c>
      <c r="IX79" s="120" t="s">
        <v>503</v>
      </c>
      <c r="IY79" s="120" t="s">
        <v>503</v>
      </c>
      <c r="IZ79" s="120" t="s">
        <v>503</v>
      </c>
      <c r="JA79" s="120" t="s">
        <v>503</v>
      </c>
      <c r="JB79" s="120" t="s">
        <v>503</v>
      </c>
      <c r="JC79" s="120" t="s">
        <v>503</v>
      </c>
      <c r="JD79" s="120" t="s">
        <v>664</v>
      </c>
      <c r="JE79" s="120" t="s">
        <v>664</v>
      </c>
      <c r="JF79" s="120" t="s">
        <v>664</v>
      </c>
      <c r="JG79" s="118" t="s">
        <v>502</v>
      </c>
      <c r="JH79" s="118" t="s">
        <v>502</v>
      </c>
      <c r="JI79" s="118" t="s">
        <v>502</v>
      </c>
      <c r="JJ79" s="118" t="s">
        <v>502</v>
      </c>
      <c r="JK79" s="118" t="s">
        <v>502</v>
      </c>
      <c r="JL79" s="118" t="s">
        <v>502</v>
      </c>
      <c r="JM79" s="118" t="s">
        <v>502</v>
      </c>
      <c r="JN79" s="118" t="s">
        <v>502</v>
      </c>
      <c r="JO79" s="118" t="s">
        <v>502</v>
      </c>
      <c r="JP79" s="110">
        <v>1700</v>
      </c>
      <c r="JQ79" s="111">
        <v>2031.1148479999999</v>
      </c>
      <c r="JR79" s="112">
        <f t="shared" si="30"/>
        <v>2</v>
      </c>
      <c r="JS79" s="113">
        <f t="shared" si="31"/>
        <v>2232.8000000000002</v>
      </c>
      <c r="JT79" s="114">
        <f t="shared" si="32"/>
        <v>2250</v>
      </c>
      <c r="JU79" s="177"/>
    </row>
    <row r="80" spans="1:281" ht="101.25" customHeight="1" x14ac:dyDescent="0.2">
      <c r="A80" s="98">
        <v>180</v>
      </c>
      <c r="B80" s="99">
        <v>180</v>
      </c>
      <c r="C80" s="39" t="s">
        <v>12</v>
      </c>
      <c r="D80" s="100" t="s">
        <v>36</v>
      </c>
      <c r="E80" s="39">
        <v>80111600</v>
      </c>
      <c r="F80" s="168" t="s">
        <v>190</v>
      </c>
      <c r="G80" s="102" t="s">
        <v>51</v>
      </c>
      <c r="H80" s="103" t="s">
        <v>501</v>
      </c>
      <c r="I80" s="108" t="s">
        <v>503</v>
      </c>
      <c r="J80" s="108" t="s">
        <v>503</v>
      </c>
      <c r="K80" s="108" t="s">
        <v>503</v>
      </c>
      <c r="L80" s="118" t="s">
        <v>502</v>
      </c>
      <c r="M80" s="118" t="s">
        <v>502</v>
      </c>
      <c r="N80" s="118" t="s">
        <v>502</v>
      </c>
      <c r="O80" s="108" t="s">
        <v>503</v>
      </c>
      <c r="P80" s="108" t="s">
        <v>503</v>
      </c>
      <c r="Q80" s="108" t="s">
        <v>503</v>
      </c>
      <c r="R80" s="108" t="s">
        <v>503</v>
      </c>
      <c r="S80" s="108" t="s">
        <v>503</v>
      </c>
      <c r="T80" s="108" t="s">
        <v>503</v>
      </c>
      <c r="U80" s="118" t="s">
        <v>502</v>
      </c>
      <c r="V80" s="118" t="s">
        <v>502</v>
      </c>
      <c r="W80" s="118" t="s">
        <v>502</v>
      </c>
      <c r="X80" s="108" t="s">
        <v>503</v>
      </c>
      <c r="Y80" s="108" t="s">
        <v>503</v>
      </c>
      <c r="Z80" s="108" t="s">
        <v>503</v>
      </c>
      <c r="AA80" s="108" t="s">
        <v>503</v>
      </c>
      <c r="AB80" s="108" t="s">
        <v>503</v>
      </c>
      <c r="AC80" s="108" t="s">
        <v>503</v>
      </c>
      <c r="AD80" s="108" t="s">
        <v>503</v>
      </c>
      <c r="AE80" s="108" t="s">
        <v>503</v>
      </c>
      <c r="AF80" s="108" t="s">
        <v>503</v>
      </c>
      <c r="AG80" s="108" t="s">
        <v>503</v>
      </c>
      <c r="AH80" s="108" t="s">
        <v>503</v>
      </c>
      <c r="AI80" s="108" t="s">
        <v>503</v>
      </c>
      <c r="AJ80" s="108" t="s">
        <v>503</v>
      </c>
      <c r="AK80" s="108" t="s">
        <v>503</v>
      </c>
      <c r="AL80" s="108" t="s">
        <v>503</v>
      </c>
      <c r="AM80" s="108" t="s">
        <v>503</v>
      </c>
      <c r="AN80" s="108" t="s">
        <v>503</v>
      </c>
      <c r="AO80" s="108" t="s">
        <v>503</v>
      </c>
      <c r="AP80" s="108" t="s">
        <v>503</v>
      </c>
      <c r="AQ80" s="108" t="s">
        <v>503</v>
      </c>
      <c r="AR80" s="108" t="s">
        <v>503</v>
      </c>
      <c r="AS80" s="118" t="s">
        <v>502</v>
      </c>
      <c r="AT80" s="118" t="s">
        <v>502</v>
      </c>
      <c r="AU80" s="118" t="s">
        <v>502</v>
      </c>
      <c r="AV80" s="108" t="s">
        <v>503</v>
      </c>
      <c r="AW80" s="108" t="s">
        <v>503</v>
      </c>
      <c r="AX80" s="108" t="s">
        <v>503</v>
      </c>
      <c r="AY80" s="108" t="s">
        <v>503</v>
      </c>
      <c r="AZ80" s="108" t="s">
        <v>503</v>
      </c>
      <c r="BA80" s="108" t="s">
        <v>503</v>
      </c>
      <c r="BB80" s="108" t="s">
        <v>503</v>
      </c>
      <c r="BC80" s="108" t="s">
        <v>503</v>
      </c>
      <c r="BD80" s="108" t="s">
        <v>503</v>
      </c>
      <c r="BE80" s="118" t="s">
        <v>502</v>
      </c>
      <c r="BF80" s="118" t="s">
        <v>502</v>
      </c>
      <c r="BG80" s="118" t="s">
        <v>502</v>
      </c>
      <c r="BH80" s="108" t="s">
        <v>503</v>
      </c>
      <c r="BI80" s="108" t="s">
        <v>503</v>
      </c>
      <c r="BJ80" s="108" t="s">
        <v>503</v>
      </c>
      <c r="BK80" s="108" t="s">
        <v>503</v>
      </c>
      <c r="BL80" s="108" t="s">
        <v>503</v>
      </c>
      <c r="BM80" s="108" t="s">
        <v>503</v>
      </c>
      <c r="BN80" s="108" t="s">
        <v>503</v>
      </c>
      <c r="BO80" s="108" t="s">
        <v>503</v>
      </c>
      <c r="BP80" s="108" t="s">
        <v>503</v>
      </c>
      <c r="BQ80" s="108" t="s">
        <v>503</v>
      </c>
      <c r="BR80" s="108" t="s">
        <v>503</v>
      </c>
      <c r="BS80" s="108" t="s">
        <v>503</v>
      </c>
      <c r="BT80" s="108" t="s">
        <v>503</v>
      </c>
      <c r="BU80" s="108" t="s">
        <v>503</v>
      </c>
      <c r="BV80" s="108" t="s">
        <v>503</v>
      </c>
      <c r="BW80" s="108" t="s">
        <v>503</v>
      </c>
      <c r="BX80" s="108" t="s">
        <v>503</v>
      </c>
      <c r="BY80" s="108" t="s">
        <v>503</v>
      </c>
      <c r="BZ80" s="77">
        <v>212800.00000000003</v>
      </c>
      <c r="CA80" s="119">
        <f>+BZ80*19%</f>
        <v>40432.000000000007</v>
      </c>
      <c r="CB80" s="118">
        <f>+BZ80+CA80</f>
        <v>253232.00000000003</v>
      </c>
      <c r="CC80" s="108" t="s">
        <v>503</v>
      </c>
      <c r="CD80" s="108" t="s">
        <v>503</v>
      </c>
      <c r="CE80" s="108" t="s">
        <v>503</v>
      </c>
      <c r="CF80" s="108" t="s">
        <v>503</v>
      </c>
      <c r="CG80" s="108" t="s">
        <v>503</v>
      </c>
      <c r="CH80" s="108" t="s">
        <v>503</v>
      </c>
      <c r="CI80" s="108" t="s">
        <v>503</v>
      </c>
      <c r="CJ80" s="108" t="s">
        <v>503</v>
      </c>
      <c r="CK80" s="108" t="s">
        <v>503</v>
      </c>
      <c r="CL80" s="108" t="s">
        <v>503</v>
      </c>
      <c r="CM80" s="108" t="s">
        <v>503</v>
      </c>
      <c r="CN80" s="108" t="s">
        <v>503</v>
      </c>
      <c r="CO80" s="108" t="s">
        <v>503</v>
      </c>
      <c r="CP80" s="108" t="s">
        <v>503</v>
      </c>
      <c r="CQ80" s="108" t="s">
        <v>503</v>
      </c>
      <c r="CR80" s="108" t="s">
        <v>503</v>
      </c>
      <c r="CS80" s="108" t="s">
        <v>503</v>
      </c>
      <c r="CT80" s="108" t="s">
        <v>503</v>
      </c>
      <c r="CU80" s="108" t="s">
        <v>503</v>
      </c>
      <c r="CV80" s="108" t="s">
        <v>503</v>
      </c>
      <c r="CW80" s="108" t="s">
        <v>503</v>
      </c>
      <c r="CX80" s="108" t="s">
        <v>503</v>
      </c>
      <c r="CY80" s="108" t="s">
        <v>503</v>
      </c>
      <c r="CZ80" s="108" t="s">
        <v>503</v>
      </c>
      <c r="DA80" s="108" t="s">
        <v>503</v>
      </c>
      <c r="DB80" s="108" t="s">
        <v>503</v>
      </c>
      <c r="DC80" s="108" t="s">
        <v>503</v>
      </c>
      <c r="DD80" s="108" t="s">
        <v>503</v>
      </c>
      <c r="DE80" s="108" t="s">
        <v>503</v>
      </c>
      <c r="DF80" s="108" t="s">
        <v>503</v>
      </c>
      <c r="DG80" s="108" t="s">
        <v>503</v>
      </c>
      <c r="DH80" s="108" t="s">
        <v>503</v>
      </c>
      <c r="DI80" s="108" t="s">
        <v>503</v>
      </c>
      <c r="DJ80" s="108" t="s">
        <v>503</v>
      </c>
      <c r="DK80" s="108" t="s">
        <v>503</v>
      </c>
      <c r="DL80" s="108" t="s">
        <v>503</v>
      </c>
      <c r="DM80" s="108" t="s">
        <v>503</v>
      </c>
      <c r="DN80" s="108" t="s">
        <v>503</v>
      </c>
      <c r="DO80" s="108" t="s">
        <v>503</v>
      </c>
      <c r="DP80" s="108" t="s">
        <v>669</v>
      </c>
      <c r="DQ80" s="108" t="s">
        <v>669</v>
      </c>
      <c r="DR80" s="108" t="s">
        <v>669</v>
      </c>
      <c r="DS80" s="108" t="s">
        <v>669</v>
      </c>
      <c r="DT80" s="108" t="s">
        <v>669</v>
      </c>
      <c r="DU80" s="108" t="s">
        <v>669</v>
      </c>
      <c r="DV80" s="108" t="s">
        <v>503</v>
      </c>
      <c r="DW80" s="108" t="s">
        <v>503</v>
      </c>
      <c r="DX80" s="108" t="s">
        <v>503</v>
      </c>
      <c r="DY80" s="108" t="s">
        <v>503</v>
      </c>
      <c r="DZ80" s="108" t="s">
        <v>503</v>
      </c>
      <c r="EA80" s="108" t="s">
        <v>503</v>
      </c>
      <c r="EB80" s="108" t="s">
        <v>503</v>
      </c>
      <c r="EC80" s="108" t="s">
        <v>503</v>
      </c>
      <c r="ED80" s="108" t="s">
        <v>503</v>
      </c>
      <c r="EE80" s="108" t="s">
        <v>503</v>
      </c>
      <c r="EF80" s="108" t="s">
        <v>503</v>
      </c>
      <c r="EG80" s="108" t="s">
        <v>503</v>
      </c>
      <c r="EH80" s="108" t="s">
        <v>503</v>
      </c>
      <c r="EI80" s="108" t="s">
        <v>503</v>
      </c>
      <c r="EJ80" s="108" t="s">
        <v>503</v>
      </c>
      <c r="EK80" s="108" t="s">
        <v>503</v>
      </c>
      <c r="EL80" s="108" t="s">
        <v>503</v>
      </c>
      <c r="EM80" s="108" t="s">
        <v>503</v>
      </c>
      <c r="EN80" s="108" t="s">
        <v>503</v>
      </c>
      <c r="EO80" s="108" t="s">
        <v>503</v>
      </c>
      <c r="EP80" s="108" t="s">
        <v>503</v>
      </c>
      <c r="EQ80" s="108" t="s">
        <v>502</v>
      </c>
      <c r="ER80" s="108" t="s">
        <v>502</v>
      </c>
      <c r="ES80" s="108" t="s">
        <v>502</v>
      </c>
      <c r="ET80" s="108" t="s">
        <v>502</v>
      </c>
      <c r="EU80" s="108" t="s">
        <v>502</v>
      </c>
      <c r="EV80" s="108" t="s">
        <v>502</v>
      </c>
      <c r="EW80" s="108" t="s">
        <v>502</v>
      </c>
      <c r="EX80" s="108" t="s">
        <v>502</v>
      </c>
      <c r="EY80" s="108" t="s">
        <v>502</v>
      </c>
      <c r="EZ80" s="108" t="s">
        <v>502</v>
      </c>
      <c r="FA80" s="108" t="s">
        <v>502</v>
      </c>
      <c r="FB80" s="108" t="s">
        <v>502</v>
      </c>
      <c r="FC80" s="108" t="s">
        <v>502</v>
      </c>
      <c r="FD80" s="108" t="s">
        <v>502</v>
      </c>
      <c r="FE80" s="108" t="s">
        <v>502</v>
      </c>
      <c r="FF80" s="108" t="s">
        <v>503</v>
      </c>
      <c r="FG80" s="108" t="s">
        <v>503</v>
      </c>
      <c r="FH80" s="108" t="s">
        <v>503</v>
      </c>
      <c r="FI80" s="108" t="s">
        <v>503</v>
      </c>
      <c r="FJ80" s="108" t="s">
        <v>503</v>
      </c>
      <c r="FK80" s="108" t="s">
        <v>503</v>
      </c>
      <c r="FL80" s="108" t="s">
        <v>503</v>
      </c>
      <c r="FM80" s="108" t="s">
        <v>503</v>
      </c>
      <c r="FN80" s="108" t="s">
        <v>503</v>
      </c>
      <c r="FO80" s="108" t="s">
        <v>502</v>
      </c>
      <c r="FP80" s="108" t="s">
        <v>502</v>
      </c>
      <c r="FQ80" s="108" t="s">
        <v>502</v>
      </c>
      <c r="FR80" s="108" t="s">
        <v>502</v>
      </c>
      <c r="FS80" s="108" t="s">
        <v>502</v>
      </c>
      <c r="FT80" s="108" t="s">
        <v>502</v>
      </c>
      <c r="FU80" s="108" t="s">
        <v>502</v>
      </c>
      <c r="FV80" s="108" t="s">
        <v>502</v>
      </c>
      <c r="FW80" s="108" t="s">
        <v>502</v>
      </c>
      <c r="FX80" s="108" t="s">
        <v>503</v>
      </c>
      <c r="FY80" s="108" t="s">
        <v>503</v>
      </c>
      <c r="FZ80" s="108" t="s">
        <v>503</v>
      </c>
      <c r="GA80" s="108" t="s">
        <v>503</v>
      </c>
      <c r="GB80" s="108" t="s">
        <v>503</v>
      </c>
      <c r="GC80" s="108" t="s">
        <v>503</v>
      </c>
      <c r="GD80" s="108" t="s">
        <v>503</v>
      </c>
      <c r="GE80" s="108" t="s">
        <v>503</v>
      </c>
      <c r="GF80" s="108" t="s">
        <v>503</v>
      </c>
      <c r="GG80" s="108" t="s">
        <v>669</v>
      </c>
      <c r="GH80" s="108" t="s">
        <v>669</v>
      </c>
      <c r="GI80" s="108" t="s">
        <v>669</v>
      </c>
      <c r="GJ80" s="47">
        <v>191587</v>
      </c>
      <c r="GK80" s="47">
        <f>+GJ80*19%</f>
        <v>36401.53</v>
      </c>
      <c r="GL80" s="47">
        <f>+GJ80+GK80</f>
        <v>227988.53</v>
      </c>
      <c r="GM80" s="108" t="s">
        <v>502</v>
      </c>
      <c r="GN80" s="108" t="s">
        <v>502</v>
      </c>
      <c r="GO80" s="108" t="s">
        <v>502</v>
      </c>
      <c r="GP80" s="108" t="s">
        <v>664</v>
      </c>
      <c r="GQ80" s="108" t="s">
        <v>664</v>
      </c>
      <c r="GR80" s="108" t="s">
        <v>664</v>
      </c>
      <c r="GS80" s="108" t="s">
        <v>502</v>
      </c>
      <c r="GT80" s="108" t="s">
        <v>502</v>
      </c>
      <c r="GU80" s="108" t="s">
        <v>502</v>
      </c>
      <c r="GV80" s="108" t="s">
        <v>502</v>
      </c>
      <c r="GW80" s="108" t="s">
        <v>502</v>
      </c>
      <c r="GX80" s="108" t="s">
        <v>502</v>
      </c>
      <c r="GY80" s="108" t="s">
        <v>664</v>
      </c>
      <c r="GZ80" s="108" t="s">
        <v>664</v>
      </c>
      <c r="HA80" s="108" t="s">
        <v>664</v>
      </c>
      <c r="HB80" s="108" t="s">
        <v>664</v>
      </c>
      <c r="HC80" s="108" t="s">
        <v>664</v>
      </c>
      <c r="HD80" s="108" t="s">
        <v>664</v>
      </c>
      <c r="HE80" s="108" t="s">
        <v>664</v>
      </c>
      <c r="HF80" s="108" t="s">
        <v>664</v>
      </c>
      <c r="HG80" s="108" t="s">
        <v>664</v>
      </c>
      <c r="HH80" s="108" t="s">
        <v>664</v>
      </c>
      <c r="HI80" s="108" t="s">
        <v>664</v>
      </c>
      <c r="HJ80" s="108" t="s">
        <v>664</v>
      </c>
      <c r="HK80" s="108" t="s">
        <v>664</v>
      </c>
      <c r="HL80" s="108" t="s">
        <v>664</v>
      </c>
      <c r="HM80" s="108" t="s">
        <v>664</v>
      </c>
      <c r="HN80" s="108" t="s">
        <v>664</v>
      </c>
      <c r="HO80" s="108" t="s">
        <v>664</v>
      </c>
      <c r="HP80" s="108" t="s">
        <v>664</v>
      </c>
      <c r="HQ80" s="108" t="s">
        <v>503</v>
      </c>
      <c r="HR80" s="108" t="s">
        <v>503</v>
      </c>
      <c r="HS80" s="108" t="s">
        <v>503</v>
      </c>
      <c r="HT80" s="108" t="s">
        <v>502</v>
      </c>
      <c r="HU80" s="108" t="s">
        <v>502</v>
      </c>
      <c r="HV80" s="108" t="s">
        <v>502</v>
      </c>
      <c r="HW80" s="118">
        <v>120000</v>
      </c>
      <c r="HX80" s="118">
        <f>+HW80*19%</f>
        <v>22800</v>
      </c>
      <c r="HY80" s="118">
        <f>+HW80+HX80</f>
        <v>142800</v>
      </c>
      <c r="HZ80" s="118" t="s">
        <v>502</v>
      </c>
      <c r="IA80" s="118" t="s">
        <v>502</v>
      </c>
      <c r="IB80" s="118" t="s">
        <v>502</v>
      </c>
      <c r="IC80" s="118" t="s">
        <v>502</v>
      </c>
      <c r="ID80" s="118" t="s">
        <v>502</v>
      </c>
      <c r="IE80" s="118" t="s">
        <v>502</v>
      </c>
      <c r="IF80" s="118" t="s">
        <v>502</v>
      </c>
      <c r="IG80" s="118" t="s">
        <v>502</v>
      </c>
      <c r="IH80" s="118" t="s">
        <v>502</v>
      </c>
      <c r="II80" s="118" t="s">
        <v>502</v>
      </c>
      <c r="IJ80" s="118" t="s">
        <v>502</v>
      </c>
      <c r="IK80" s="118" t="s">
        <v>502</v>
      </c>
      <c r="IL80" s="118" t="s">
        <v>502</v>
      </c>
      <c r="IM80" s="118" t="s">
        <v>502</v>
      </c>
      <c r="IN80" s="118" t="s">
        <v>502</v>
      </c>
      <c r="IO80" s="120" t="s">
        <v>503</v>
      </c>
      <c r="IP80" s="120" t="s">
        <v>503</v>
      </c>
      <c r="IQ80" s="120" t="s">
        <v>503</v>
      </c>
      <c r="IR80" s="118" t="s">
        <v>669</v>
      </c>
      <c r="IS80" s="118" t="s">
        <v>669</v>
      </c>
      <c r="IT80" s="118" t="s">
        <v>669</v>
      </c>
      <c r="IU80" s="120" t="s">
        <v>503</v>
      </c>
      <c r="IV80" s="120" t="s">
        <v>503</v>
      </c>
      <c r="IW80" s="120" t="s">
        <v>503</v>
      </c>
      <c r="IX80" s="120" t="s">
        <v>503</v>
      </c>
      <c r="IY80" s="120" t="s">
        <v>503</v>
      </c>
      <c r="IZ80" s="120" t="s">
        <v>503</v>
      </c>
      <c r="JA80" s="120" t="s">
        <v>503</v>
      </c>
      <c r="JB80" s="120" t="s">
        <v>503</v>
      </c>
      <c r="JC80" s="120" t="s">
        <v>503</v>
      </c>
      <c r="JD80" s="120" t="s">
        <v>664</v>
      </c>
      <c r="JE80" s="120" t="s">
        <v>664</v>
      </c>
      <c r="JF80" s="120" t="s">
        <v>664</v>
      </c>
      <c r="JG80" s="118" t="s">
        <v>502</v>
      </c>
      <c r="JH80" s="118" t="s">
        <v>502</v>
      </c>
      <c r="JI80" s="118" t="s">
        <v>502</v>
      </c>
      <c r="JJ80" s="118" t="s">
        <v>502</v>
      </c>
      <c r="JK80" s="118" t="s">
        <v>502</v>
      </c>
      <c r="JL80" s="118" t="s">
        <v>502</v>
      </c>
      <c r="JM80" s="180">
        <v>120000</v>
      </c>
      <c r="JN80" s="180">
        <f>+JM80*0%</f>
        <v>0</v>
      </c>
      <c r="JO80" s="180">
        <f>+JM80+JN80</f>
        <v>120000</v>
      </c>
      <c r="JP80" s="110">
        <v>127550</v>
      </c>
      <c r="JQ80" s="111">
        <v>152393.35227199999</v>
      </c>
      <c r="JR80" s="112">
        <f t="shared" si="30"/>
        <v>4</v>
      </c>
      <c r="JS80" s="113">
        <f t="shared" si="31"/>
        <v>186005.13250000001</v>
      </c>
      <c r="JT80" s="114">
        <f t="shared" si="32"/>
        <v>186050</v>
      </c>
      <c r="JU80" s="177"/>
    </row>
    <row r="81" spans="1:281" ht="101.25" customHeight="1" x14ac:dyDescent="0.2">
      <c r="A81" s="98">
        <v>181</v>
      </c>
      <c r="B81" s="99">
        <v>181</v>
      </c>
      <c r="C81" s="39" t="s">
        <v>12</v>
      </c>
      <c r="D81" s="154" t="s">
        <v>37</v>
      </c>
      <c r="E81" s="39">
        <v>82150000</v>
      </c>
      <c r="F81" s="135" t="s">
        <v>685</v>
      </c>
      <c r="G81" s="102" t="s">
        <v>59</v>
      </c>
      <c r="H81" s="103" t="s">
        <v>501</v>
      </c>
      <c r="I81" s="108" t="s">
        <v>503</v>
      </c>
      <c r="J81" s="108" t="s">
        <v>503</v>
      </c>
      <c r="K81" s="108" t="s">
        <v>503</v>
      </c>
      <c r="L81" s="118" t="s">
        <v>502</v>
      </c>
      <c r="M81" s="118" t="s">
        <v>502</v>
      </c>
      <c r="N81" s="118" t="s">
        <v>502</v>
      </c>
      <c r="O81" s="108" t="s">
        <v>503</v>
      </c>
      <c r="P81" s="108" t="s">
        <v>503</v>
      </c>
      <c r="Q81" s="108" t="s">
        <v>503</v>
      </c>
      <c r="R81" s="108" t="s">
        <v>503</v>
      </c>
      <c r="S81" s="108" t="s">
        <v>503</v>
      </c>
      <c r="T81" s="108" t="s">
        <v>503</v>
      </c>
      <c r="U81" s="118" t="s">
        <v>502</v>
      </c>
      <c r="V81" s="118" t="s">
        <v>502</v>
      </c>
      <c r="W81" s="118" t="s">
        <v>502</v>
      </c>
      <c r="X81" s="108" t="s">
        <v>503</v>
      </c>
      <c r="Y81" s="108" t="s">
        <v>503</v>
      </c>
      <c r="Z81" s="108" t="s">
        <v>503</v>
      </c>
      <c r="AA81" s="108" t="s">
        <v>503</v>
      </c>
      <c r="AB81" s="108" t="s">
        <v>503</v>
      </c>
      <c r="AC81" s="108" t="s">
        <v>503</v>
      </c>
      <c r="AD81" s="108" t="s">
        <v>503</v>
      </c>
      <c r="AE81" s="108" t="s">
        <v>503</v>
      </c>
      <c r="AF81" s="108" t="s">
        <v>503</v>
      </c>
      <c r="AG81" s="108" t="s">
        <v>503</v>
      </c>
      <c r="AH81" s="108" t="s">
        <v>503</v>
      </c>
      <c r="AI81" s="108" t="s">
        <v>503</v>
      </c>
      <c r="AJ81" s="108" t="s">
        <v>503</v>
      </c>
      <c r="AK81" s="108" t="s">
        <v>503</v>
      </c>
      <c r="AL81" s="108" t="s">
        <v>503</v>
      </c>
      <c r="AM81" s="108" t="s">
        <v>503</v>
      </c>
      <c r="AN81" s="108" t="s">
        <v>503</v>
      </c>
      <c r="AO81" s="108" t="s">
        <v>503</v>
      </c>
      <c r="AP81" s="108" t="s">
        <v>503</v>
      </c>
      <c r="AQ81" s="108" t="s">
        <v>503</v>
      </c>
      <c r="AR81" s="108" t="s">
        <v>503</v>
      </c>
      <c r="AS81" s="118" t="s">
        <v>502</v>
      </c>
      <c r="AT81" s="118" t="s">
        <v>502</v>
      </c>
      <c r="AU81" s="118" t="s">
        <v>502</v>
      </c>
      <c r="AV81" s="108" t="s">
        <v>503</v>
      </c>
      <c r="AW81" s="108" t="s">
        <v>503</v>
      </c>
      <c r="AX81" s="108" t="s">
        <v>503</v>
      </c>
      <c r="AY81" s="108" t="s">
        <v>503</v>
      </c>
      <c r="AZ81" s="108" t="s">
        <v>503</v>
      </c>
      <c r="BA81" s="108" t="s">
        <v>503</v>
      </c>
      <c r="BB81" s="108" t="s">
        <v>503</v>
      </c>
      <c r="BC81" s="108" t="s">
        <v>503</v>
      </c>
      <c r="BD81" s="108" t="s">
        <v>503</v>
      </c>
      <c r="BE81" s="118" t="s">
        <v>502</v>
      </c>
      <c r="BF81" s="118" t="s">
        <v>502</v>
      </c>
      <c r="BG81" s="118" t="s">
        <v>502</v>
      </c>
      <c r="BH81" s="108" t="s">
        <v>503</v>
      </c>
      <c r="BI81" s="108" t="s">
        <v>503</v>
      </c>
      <c r="BJ81" s="108" t="s">
        <v>503</v>
      </c>
      <c r="BK81" s="108" t="s">
        <v>503</v>
      </c>
      <c r="BL81" s="108" t="s">
        <v>503</v>
      </c>
      <c r="BM81" s="108" t="s">
        <v>503</v>
      </c>
      <c r="BN81" s="108" t="s">
        <v>503</v>
      </c>
      <c r="BO81" s="108" t="s">
        <v>503</v>
      </c>
      <c r="BP81" s="108" t="s">
        <v>503</v>
      </c>
      <c r="BQ81" s="108" t="s">
        <v>503</v>
      </c>
      <c r="BR81" s="108" t="s">
        <v>503</v>
      </c>
      <c r="BS81" s="108" t="s">
        <v>503</v>
      </c>
      <c r="BT81" s="108" t="s">
        <v>503</v>
      </c>
      <c r="BU81" s="108" t="s">
        <v>503</v>
      </c>
      <c r="BV81" s="108" t="s">
        <v>503</v>
      </c>
      <c r="BW81" s="108" t="s">
        <v>503</v>
      </c>
      <c r="BX81" s="108" t="s">
        <v>503</v>
      </c>
      <c r="BY81" s="108" t="s">
        <v>503</v>
      </c>
      <c r="BZ81" s="108" t="s">
        <v>503</v>
      </c>
      <c r="CA81" s="108" t="s">
        <v>503</v>
      </c>
      <c r="CB81" s="108" t="s">
        <v>503</v>
      </c>
      <c r="CC81" s="108" t="s">
        <v>503</v>
      </c>
      <c r="CD81" s="108" t="s">
        <v>503</v>
      </c>
      <c r="CE81" s="108" t="s">
        <v>503</v>
      </c>
      <c r="CF81" s="108" t="s">
        <v>503</v>
      </c>
      <c r="CG81" s="108" t="s">
        <v>503</v>
      </c>
      <c r="CH81" s="108" t="s">
        <v>503</v>
      </c>
      <c r="CI81" s="108" t="s">
        <v>503</v>
      </c>
      <c r="CJ81" s="108" t="s">
        <v>503</v>
      </c>
      <c r="CK81" s="108" t="s">
        <v>503</v>
      </c>
      <c r="CL81" s="108" t="s">
        <v>503</v>
      </c>
      <c r="CM81" s="108" t="s">
        <v>503</v>
      </c>
      <c r="CN81" s="108" t="s">
        <v>503</v>
      </c>
      <c r="CO81" s="108" t="s">
        <v>503</v>
      </c>
      <c r="CP81" s="108" t="s">
        <v>503</v>
      </c>
      <c r="CQ81" s="108" t="s">
        <v>503</v>
      </c>
      <c r="CR81" s="108" t="s">
        <v>503</v>
      </c>
      <c r="CS81" s="108" t="s">
        <v>503</v>
      </c>
      <c r="CT81" s="108" t="s">
        <v>503</v>
      </c>
      <c r="CU81" s="108" t="s">
        <v>503</v>
      </c>
      <c r="CV81" s="108" t="s">
        <v>503</v>
      </c>
      <c r="CW81" s="108" t="s">
        <v>503</v>
      </c>
      <c r="CX81" s="108" t="s">
        <v>503</v>
      </c>
      <c r="CY81" s="108" t="s">
        <v>503</v>
      </c>
      <c r="CZ81" s="108" t="s">
        <v>503</v>
      </c>
      <c r="DA81" s="108" t="s">
        <v>503</v>
      </c>
      <c r="DB81" s="108" t="s">
        <v>503</v>
      </c>
      <c r="DC81" s="108" t="s">
        <v>503</v>
      </c>
      <c r="DD81" s="108" t="s">
        <v>503</v>
      </c>
      <c r="DE81" s="108" t="s">
        <v>503</v>
      </c>
      <c r="DF81" s="108" t="s">
        <v>503</v>
      </c>
      <c r="DG81" s="108" t="s">
        <v>503</v>
      </c>
      <c r="DH81" s="108" t="s">
        <v>503</v>
      </c>
      <c r="DI81" s="108" t="s">
        <v>503</v>
      </c>
      <c r="DJ81" s="108" t="s">
        <v>503</v>
      </c>
      <c r="DK81" s="108" t="s">
        <v>503</v>
      </c>
      <c r="DL81" s="108" t="s">
        <v>503</v>
      </c>
      <c r="DM81" s="108" t="s">
        <v>503</v>
      </c>
      <c r="DN81" s="108" t="s">
        <v>503</v>
      </c>
      <c r="DO81" s="108" t="s">
        <v>503</v>
      </c>
      <c r="DP81" s="47">
        <v>720000</v>
      </c>
      <c r="DQ81" s="159">
        <f t="shared" ref="DQ81:DQ86" si="33">+DP81*19%</f>
        <v>136800</v>
      </c>
      <c r="DR81" s="47">
        <f t="shared" ref="DR81:DR86" si="34">+DP81+DQ81</f>
        <v>856800</v>
      </c>
      <c r="DS81" s="118">
        <v>1380000</v>
      </c>
      <c r="DT81" s="119">
        <f t="shared" ref="DT81:DT86" si="35">+DS81*19%</f>
        <v>262200</v>
      </c>
      <c r="DU81" s="118">
        <f t="shared" ref="DU81:DU86" si="36">+DS81+DT81</f>
        <v>1642200</v>
      </c>
      <c r="DV81" s="108" t="s">
        <v>503</v>
      </c>
      <c r="DW81" s="108" t="s">
        <v>503</v>
      </c>
      <c r="DX81" s="108" t="s">
        <v>503</v>
      </c>
      <c r="DY81" s="108" t="s">
        <v>503</v>
      </c>
      <c r="DZ81" s="108" t="s">
        <v>503</v>
      </c>
      <c r="EA81" s="108" t="s">
        <v>503</v>
      </c>
      <c r="EB81" s="108" t="s">
        <v>503</v>
      </c>
      <c r="EC81" s="108" t="s">
        <v>503</v>
      </c>
      <c r="ED81" s="108" t="s">
        <v>503</v>
      </c>
      <c r="EE81" s="108" t="s">
        <v>503</v>
      </c>
      <c r="EF81" s="108" t="s">
        <v>503</v>
      </c>
      <c r="EG81" s="108" t="s">
        <v>503</v>
      </c>
      <c r="EH81" s="108" t="s">
        <v>503</v>
      </c>
      <c r="EI81" s="108" t="s">
        <v>503</v>
      </c>
      <c r="EJ81" s="108" t="s">
        <v>503</v>
      </c>
      <c r="EK81" s="108" t="s">
        <v>503</v>
      </c>
      <c r="EL81" s="108" t="s">
        <v>503</v>
      </c>
      <c r="EM81" s="108" t="s">
        <v>503</v>
      </c>
      <c r="EN81" s="108" t="s">
        <v>503</v>
      </c>
      <c r="EO81" s="108" t="s">
        <v>503</v>
      </c>
      <c r="EP81" s="108" t="s">
        <v>503</v>
      </c>
      <c r="EQ81" s="108" t="s">
        <v>502</v>
      </c>
      <c r="ER81" s="108" t="s">
        <v>502</v>
      </c>
      <c r="ES81" s="108" t="s">
        <v>502</v>
      </c>
      <c r="ET81" s="108" t="s">
        <v>502</v>
      </c>
      <c r="EU81" s="108" t="s">
        <v>502</v>
      </c>
      <c r="EV81" s="108" t="s">
        <v>502</v>
      </c>
      <c r="EW81" s="108" t="s">
        <v>502</v>
      </c>
      <c r="EX81" s="108" t="s">
        <v>502</v>
      </c>
      <c r="EY81" s="108" t="s">
        <v>502</v>
      </c>
      <c r="EZ81" s="108" t="s">
        <v>502</v>
      </c>
      <c r="FA81" s="108" t="s">
        <v>502</v>
      </c>
      <c r="FB81" s="108" t="s">
        <v>502</v>
      </c>
      <c r="FC81" s="108" t="s">
        <v>502</v>
      </c>
      <c r="FD81" s="108" t="s">
        <v>502</v>
      </c>
      <c r="FE81" s="108" t="s">
        <v>502</v>
      </c>
      <c r="FF81" s="108" t="s">
        <v>503</v>
      </c>
      <c r="FG81" s="108" t="s">
        <v>503</v>
      </c>
      <c r="FH81" s="108" t="s">
        <v>503</v>
      </c>
      <c r="FI81" s="108" t="s">
        <v>503</v>
      </c>
      <c r="FJ81" s="108" t="s">
        <v>503</v>
      </c>
      <c r="FK81" s="108" t="s">
        <v>503</v>
      </c>
      <c r="FL81" s="108" t="s">
        <v>503</v>
      </c>
      <c r="FM81" s="108" t="s">
        <v>503</v>
      </c>
      <c r="FN81" s="108" t="s">
        <v>503</v>
      </c>
      <c r="FO81" s="108" t="s">
        <v>502</v>
      </c>
      <c r="FP81" s="108" t="s">
        <v>502</v>
      </c>
      <c r="FQ81" s="108" t="s">
        <v>502</v>
      </c>
      <c r="FR81" s="108" t="s">
        <v>502</v>
      </c>
      <c r="FS81" s="108" t="s">
        <v>502</v>
      </c>
      <c r="FT81" s="108" t="s">
        <v>502</v>
      </c>
      <c r="FU81" s="108" t="s">
        <v>502</v>
      </c>
      <c r="FV81" s="108" t="s">
        <v>502</v>
      </c>
      <c r="FW81" s="108" t="s">
        <v>502</v>
      </c>
      <c r="FX81" s="108" t="s">
        <v>503</v>
      </c>
      <c r="FY81" s="108" t="s">
        <v>503</v>
      </c>
      <c r="FZ81" s="108" t="s">
        <v>503</v>
      </c>
      <c r="GA81" s="108" t="s">
        <v>503</v>
      </c>
      <c r="GB81" s="108" t="s">
        <v>503</v>
      </c>
      <c r="GC81" s="108" t="s">
        <v>503</v>
      </c>
      <c r="GD81" s="108" t="s">
        <v>503</v>
      </c>
      <c r="GE81" s="108" t="s">
        <v>503</v>
      </c>
      <c r="GF81" s="108" t="s">
        <v>503</v>
      </c>
      <c r="GG81" s="108" t="s">
        <v>669</v>
      </c>
      <c r="GH81" s="108" t="s">
        <v>669</v>
      </c>
      <c r="GI81" s="108" t="s">
        <v>669</v>
      </c>
      <c r="GJ81" s="108" t="s">
        <v>669</v>
      </c>
      <c r="GK81" s="108" t="s">
        <v>669</v>
      </c>
      <c r="GL81" s="108" t="s">
        <v>669</v>
      </c>
      <c r="GM81" s="108" t="s">
        <v>502</v>
      </c>
      <c r="GN81" s="108" t="s">
        <v>502</v>
      </c>
      <c r="GO81" s="108" t="s">
        <v>502</v>
      </c>
      <c r="GP81" s="108" t="s">
        <v>664</v>
      </c>
      <c r="GQ81" s="108" t="s">
        <v>664</v>
      </c>
      <c r="GR81" s="108" t="s">
        <v>664</v>
      </c>
      <c r="GS81" s="108" t="s">
        <v>502</v>
      </c>
      <c r="GT81" s="108" t="s">
        <v>502</v>
      </c>
      <c r="GU81" s="108" t="s">
        <v>502</v>
      </c>
      <c r="GV81" s="108" t="s">
        <v>502</v>
      </c>
      <c r="GW81" s="108" t="s">
        <v>502</v>
      </c>
      <c r="GX81" s="108" t="s">
        <v>502</v>
      </c>
      <c r="GY81" s="108" t="s">
        <v>664</v>
      </c>
      <c r="GZ81" s="108" t="s">
        <v>664</v>
      </c>
      <c r="HA81" s="108" t="s">
        <v>664</v>
      </c>
      <c r="HB81" s="108" t="s">
        <v>664</v>
      </c>
      <c r="HC81" s="108" t="s">
        <v>664</v>
      </c>
      <c r="HD81" s="108" t="s">
        <v>664</v>
      </c>
      <c r="HE81" s="71">
        <v>1411770</v>
      </c>
      <c r="HF81" s="71">
        <f t="shared" ref="HF81:HF86" si="37">+HE81*19%</f>
        <v>268236.3</v>
      </c>
      <c r="HG81" s="71">
        <f t="shared" ref="HG81:HG86" si="38">+HE81+HF81</f>
        <v>1680006.3</v>
      </c>
      <c r="HH81" s="108" t="s">
        <v>664</v>
      </c>
      <c r="HI81" s="108" t="s">
        <v>664</v>
      </c>
      <c r="HJ81" s="108" t="s">
        <v>664</v>
      </c>
      <c r="HK81" s="108" t="s">
        <v>664</v>
      </c>
      <c r="HL81" s="108" t="s">
        <v>664</v>
      </c>
      <c r="HM81" s="108" t="s">
        <v>664</v>
      </c>
      <c r="HN81" s="108" t="s">
        <v>664</v>
      </c>
      <c r="HO81" s="108" t="s">
        <v>664</v>
      </c>
      <c r="HP81" s="108" t="s">
        <v>664</v>
      </c>
      <c r="HQ81" s="108" t="s">
        <v>503</v>
      </c>
      <c r="HR81" s="108" t="s">
        <v>503</v>
      </c>
      <c r="HS81" s="108" t="s">
        <v>503</v>
      </c>
      <c r="HT81" s="108" t="s">
        <v>502</v>
      </c>
      <c r="HU81" s="108" t="s">
        <v>502</v>
      </c>
      <c r="HV81" s="108" t="s">
        <v>502</v>
      </c>
      <c r="HW81" s="108" t="s">
        <v>503</v>
      </c>
      <c r="HX81" s="108" t="s">
        <v>503</v>
      </c>
      <c r="HY81" s="108" t="s">
        <v>503</v>
      </c>
      <c r="HZ81" s="118" t="s">
        <v>502</v>
      </c>
      <c r="IA81" s="118" t="s">
        <v>502</v>
      </c>
      <c r="IB81" s="118" t="s">
        <v>502</v>
      </c>
      <c r="IC81" s="118" t="s">
        <v>502</v>
      </c>
      <c r="ID81" s="118" t="s">
        <v>502</v>
      </c>
      <c r="IE81" s="118" t="s">
        <v>502</v>
      </c>
      <c r="IF81" s="118" t="s">
        <v>502</v>
      </c>
      <c r="IG81" s="118" t="s">
        <v>502</v>
      </c>
      <c r="IH81" s="118" t="s">
        <v>502</v>
      </c>
      <c r="II81" s="118" t="s">
        <v>502</v>
      </c>
      <c r="IJ81" s="118" t="s">
        <v>502</v>
      </c>
      <c r="IK81" s="118" t="s">
        <v>502</v>
      </c>
      <c r="IL81" s="118" t="s">
        <v>502</v>
      </c>
      <c r="IM81" s="118" t="s">
        <v>502</v>
      </c>
      <c r="IN81" s="118" t="s">
        <v>502</v>
      </c>
      <c r="IO81" s="120" t="s">
        <v>503</v>
      </c>
      <c r="IP81" s="120" t="s">
        <v>503</v>
      </c>
      <c r="IQ81" s="120" t="s">
        <v>503</v>
      </c>
      <c r="IR81" s="118" t="s">
        <v>669</v>
      </c>
      <c r="IS81" s="118" t="s">
        <v>669</v>
      </c>
      <c r="IT81" s="118" t="s">
        <v>669</v>
      </c>
      <c r="IU81" s="120" t="s">
        <v>503</v>
      </c>
      <c r="IV81" s="120" t="s">
        <v>503</v>
      </c>
      <c r="IW81" s="120" t="s">
        <v>503</v>
      </c>
      <c r="IX81" s="120" t="s">
        <v>503</v>
      </c>
      <c r="IY81" s="120" t="s">
        <v>503</v>
      </c>
      <c r="IZ81" s="120" t="s">
        <v>503</v>
      </c>
      <c r="JA81" s="120" t="s">
        <v>503</v>
      </c>
      <c r="JB81" s="120" t="s">
        <v>503</v>
      </c>
      <c r="JC81" s="120" t="s">
        <v>503</v>
      </c>
      <c r="JD81" s="120" t="s">
        <v>664</v>
      </c>
      <c r="JE81" s="120" t="s">
        <v>664</v>
      </c>
      <c r="JF81" s="120" t="s">
        <v>664</v>
      </c>
      <c r="JG81" s="118" t="s">
        <v>502</v>
      </c>
      <c r="JH81" s="118" t="s">
        <v>502</v>
      </c>
      <c r="JI81" s="118" t="s">
        <v>502</v>
      </c>
      <c r="JJ81" s="118" t="s">
        <v>502</v>
      </c>
      <c r="JK81" s="118" t="s">
        <v>502</v>
      </c>
      <c r="JL81" s="118" t="s">
        <v>502</v>
      </c>
      <c r="JM81" s="118" t="s">
        <v>502</v>
      </c>
      <c r="JN81" s="118" t="s">
        <v>502</v>
      </c>
      <c r="JO81" s="118" t="s">
        <v>502</v>
      </c>
      <c r="JP81" s="110">
        <v>881300</v>
      </c>
      <c r="JQ81" s="111">
        <v>1052953.8326719999</v>
      </c>
      <c r="JR81" s="112">
        <f t="shared" si="30"/>
        <v>3</v>
      </c>
      <c r="JS81" s="113">
        <v>116150</v>
      </c>
      <c r="JT81" s="114">
        <f t="shared" si="32"/>
        <v>116150</v>
      </c>
      <c r="JU81" s="177"/>
    </row>
    <row r="82" spans="1:281" ht="101.25" customHeight="1" x14ac:dyDescent="0.2">
      <c r="A82" s="98">
        <v>181</v>
      </c>
      <c r="B82" s="99">
        <v>181</v>
      </c>
      <c r="C82" s="39" t="s">
        <v>12</v>
      </c>
      <c r="D82" s="154" t="s">
        <v>37</v>
      </c>
      <c r="E82" s="39">
        <v>82150000</v>
      </c>
      <c r="F82" s="135" t="s">
        <v>686</v>
      </c>
      <c r="G82" s="102" t="s">
        <v>61</v>
      </c>
      <c r="H82" s="103" t="s">
        <v>501</v>
      </c>
      <c r="I82" s="108" t="s">
        <v>503</v>
      </c>
      <c r="J82" s="108" t="s">
        <v>503</v>
      </c>
      <c r="K82" s="108" t="s">
        <v>503</v>
      </c>
      <c r="L82" s="118" t="s">
        <v>502</v>
      </c>
      <c r="M82" s="118" t="s">
        <v>502</v>
      </c>
      <c r="N82" s="118" t="s">
        <v>502</v>
      </c>
      <c r="O82" s="108" t="s">
        <v>503</v>
      </c>
      <c r="P82" s="108" t="s">
        <v>503</v>
      </c>
      <c r="Q82" s="108" t="s">
        <v>503</v>
      </c>
      <c r="R82" s="108" t="s">
        <v>503</v>
      </c>
      <c r="S82" s="108" t="s">
        <v>503</v>
      </c>
      <c r="T82" s="108" t="s">
        <v>503</v>
      </c>
      <c r="U82" s="118" t="s">
        <v>502</v>
      </c>
      <c r="V82" s="118" t="s">
        <v>502</v>
      </c>
      <c r="W82" s="118" t="s">
        <v>502</v>
      </c>
      <c r="X82" s="108" t="s">
        <v>503</v>
      </c>
      <c r="Y82" s="108" t="s">
        <v>503</v>
      </c>
      <c r="Z82" s="108" t="s">
        <v>503</v>
      </c>
      <c r="AA82" s="108" t="s">
        <v>503</v>
      </c>
      <c r="AB82" s="108" t="s">
        <v>503</v>
      </c>
      <c r="AC82" s="108" t="s">
        <v>503</v>
      </c>
      <c r="AD82" s="108" t="s">
        <v>503</v>
      </c>
      <c r="AE82" s="108" t="s">
        <v>503</v>
      </c>
      <c r="AF82" s="108" t="s">
        <v>503</v>
      </c>
      <c r="AG82" s="108" t="s">
        <v>503</v>
      </c>
      <c r="AH82" s="108" t="s">
        <v>503</v>
      </c>
      <c r="AI82" s="108" t="s">
        <v>503</v>
      </c>
      <c r="AJ82" s="108" t="s">
        <v>503</v>
      </c>
      <c r="AK82" s="108" t="s">
        <v>503</v>
      </c>
      <c r="AL82" s="108" t="s">
        <v>503</v>
      </c>
      <c r="AM82" s="108" t="s">
        <v>503</v>
      </c>
      <c r="AN82" s="108" t="s">
        <v>503</v>
      </c>
      <c r="AO82" s="108" t="s">
        <v>503</v>
      </c>
      <c r="AP82" s="108" t="s">
        <v>503</v>
      </c>
      <c r="AQ82" s="108" t="s">
        <v>503</v>
      </c>
      <c r="AR82" s="108" t="s">
        <v>503</v>
      </c>
      <c r="AS82" s="118" t="s">
        <v>502</v>
      </c>
      <c r="AT82" s="118" t="s">
        <v>502</v>
      </c>
      <c r="AU82" s="118" t="s">
        <v>502</v>
      </c>
      <c r="AV82" s="108" t="s">
        <v>503</v>
      </c>
      <c r="AW82" s="108" t="s">
        <v>503</v>
      </c>
      <c r="AX82" s="108" t="s">
        <v>503</v>
      </c>
      <c r="AY82" s="108" t="s">
        <v>503</v>
      </c>
      <c r="AZ82" s="108" t="s">
        <v>503</v>
      </c>
      <c r="BA82" s="108" t="s">
        <v>503</v>
      </c>
      <c r="BB82" s="108" t="s">
        <v>503</v>
      </c>
      <c r="BC82" s="108" t="s">
        <v>503</v>
      </c>
      <c r="BD82" s="108" t="s">
        <v>503</v>
      </c>
      <c r="BE82" s="118" t="s">
        <v>502</v>
      </c>
      <c r="BF82" s="118" t="s">
        <v>502</v>
      </c>
      <c r="BG82" s="118" t="s">
        <v>502</v>
      </c>
      <c r="BH82" s="108" t="s">
        <v>503</v>
      </c>
      <c r="BI82" s="108" t="s">
        <v>503</v>
      </c>
      <c r="BJ82" s="108" t="s">
        <v>503</v>
      </c>
      <c r="BK82" s="108" t="s">
        <v>503</v>
      </c>
      <c r="BL82" s="108" t="s">
        <v>503</v>
      </c>
      <c r="BM82" s="108" t="s">
        <v>503</v>
      </c>
      <c r="BN82" s="108" t="s">
        <v>503</v>
      </c>
      <c r="BO82" s="108" t="s">
        <v>503</v>
      </c>
      <c r="BP82" s="108" t="s">
        <v>503</v>
      </c>
      <c r="BQ82" s="108" t="s">
        <v>503</v>
      </c>
      <c r="BR82" s="108" t="s">
        <v>503</v>
      </c>
      <c r="BS82" s="108" t="s">
        <v>503</v>
      </c>
      <c r="BT82" s="108" t="s">
        <v>503</v>
      </c>
      <c r="BU82" s="108" t="s">
        <v>503</v>
      </c>
      <c r="BV82" s="108" t="s">
        <v>503</v>
      </c>
      <c r="BW82" s="108" t="s">
        <v>503</v>
      </c>
      <c r="BX82" s="108" t="s">
        <v>503</v>
      </c>
      <c r="BY82" s="108" t="s">
        <v>503</v>
      </c>
      <c r="BZ82" s="108" t="s">
        <v>503</v>
      </c>
      <c r="CA82" s="108" t="s">
        <v>503</v>
      </c>
      <c r="CB82" s="108" t="s">
        <v>503</v>
      </c>
      <c r="CC82" s="108" t="s">
        <v>503</v>
      </c>
      <c r="CD82" s="108" t="s">
        <v>503</v>
      </c>
      <c r="CE82" s="108" t="s">
        <v>503</v>
      </c>
      <c r="CF82" s="108" t="s">
        <v>503</v>
      </c>
      <c r="CG82" s="108" t="s">
        <v>503</v>
      </c>
      <c r="CH82" s="108" t="s">
        <v>503</v>
      </c>
      <c r="CI82" s="108" t="s">
        <v>503</v>
      </c>
      <c r="CJ82" s="108" t="s">
        <v>503</v>
      </c>
      <c r="CK82" s="108" t="s">
        <v>503</v>
      </c>
      <c r="CL82" s="108" t="s">
        <v>503</v>
      </c>
      <c r="CM82" s="108" t="s">
        <v>503</v>
      </c>
      <c r="CN82" s="108" t="s">
        <v>503</v>
      </c>
      <c r="CO82" s="108" t="s">
        <v>503</v>
      </c>
      <c r="CP82" s="108" t="s">
        <v>503</v>
      </c>
      <c r="CQ82" s="108" t="s">
        <v>503</v>
      </c>
      <c r="CR82" s="108" t="s">
        <v>503</v>
      </c>
      <c r="CS82" s="108" t="s">
        <v>503</v>
      </c>
      <c r="CT82" s="108" t="s">
        <v>503</v>
      </c>
      <c r="CU82" s="108" t="s">
        <v>503</v>
      </c>
      <c r="CV82" s="108" t="s">
        <v>503</v>
      </c>
      <c r="CW82" s="108" t="s">
        <v>503</v>
      </c>
      <c r="CX82" s="108" t="s">
        <v>503</v>
      </c>
      <c r="CY82" s="108" t="s">
        <v>503</v>
      </c>
      <c r="CZ82" s="108" t="s">
        <v>503</v>
      </c>
      <c r="DA82" s="108" t="s">
        <v>503</v>
      </c>
      <c r="DB82" s="108" t="s">
        <v>503</v>
      </c>
      <c r="DC82" s="108" t="s">
        <v>503</v>
      </c>
      <c r="DD82" s="108" t="s">
        <v>503</v>
      </c>
      <c r="DE82" s="108" t="s">
        <v>503</v>
      </c>
      <c r="DF82" s="108" t="s">
        <v>503</v>
      </c>
      <c r="DG82" s="108" t="s">
        <v>503</v>
      </c>
      <c r="DH82" s="108" t="s">
        <v>503</v>
      </c>
      <c r="DI82" s="108" t="s">
        <v>503</v>
      </c>
      <c r="DJ82" s="108" t="s">
        <v>503</v>
      </c>
      <c r="DK82" s="108" t="s">
        <v>503</v>
      </c>
      <c r="DL82" s="108" t="s">
        <v>503</v>
      </c>
      <c r="DM82" s="108" t="s">
        <v>503</v>
      </c>
      <c r="DN82" s="108" t="s">
        <v>503</v>
      </c>
      <c r="DO82" s="108" t="s">
        <v>503</v>
      </c>
      <c r="DP82" s="47">
        <v>720000</v>
      </c>
      <c r="DQ82" s="159">
        <f t="shared" si="33"/>
        <v>136800</v>
      </c>
      <c r="DR82" s="47">
        <f t="shared" si="34"/>
        <v>856800</v>
      </c>
      <c r="DS82" s="118">
        <v>1380000</v>
      </c>
      <c r="DT82" s="119">
        <f t="shared" si="35"/>
        <v>262200</v>
      </c>
      <c r="DU82" s="118">
        <f t="shared" si="36"/>
        <v>1642200</v>
      </c>
      <c r="DV82" s="108" t="s">
        <v>503</v>
      </c>
      <c r="DW82" s="108" t="s">
        <v>503</v>
      </c>
      <c r="DX82" s="108" t="s">
        <v>503</v>
      </c>
      <c r="DY82" s="108" t="s">
        <v>503</v>
      </c>
      <c r="DZ82" s="108" t="s">
        <v>503</v>
      </c>
      <c r="EA82" s="108" t="s">
        <v>503</v>
      </c>
      <c r="EB82" s="108" t="s">
        <v>503</v>
      </c>
      <c r="EC82" s="108" t="s">
        <v>503</v>
      </c>
      <c r="ED82" s="108" t="s">
        <v>503</v>
      </c>
      <c r="EE82" s="108" t="s">
        <v>503</v>
      </c>
      <c r="EF82" s="108" t="s">
        <v>503</v>
      </c>
      <c r="EG82" s="108" t="s">
        <v>503</v>
      </c>
      <c r="EH82" s="108" t="s">
        <v>503</v>
      </c>
      <c r="EI82" s="108" t="s">
        <v>503</v>
      </c>
      <c r="EJ82" s="108" t="s">
        <v>503</v>
      </c>
      <c r="EK82" s="108" t="s">
        <v>503</v>
      </c>
      <c r="EL82" s="108" t="s">
        <v>503</v>
      </c>
      <c r="EM82" s="108" t="s">
        <v>503</v>
      </c>
      <c r="EN82" s="108" t="s">
        <v>503</v>
      </c>
      <c r="EO82" s="108" t="s">
        <v>503</v>
      </c>
      <c r="EP82" s="108" t="s">
        <v>503</v>
      </c>
      <c r="EQ82" s="108" t="s">
        <v>502</v>
      </c>
      <c r="ER82" s="108" t="s">
        <v>502</v>
      </c>
      <c r="ES82" s="108" t="s">
        <v>502</v>
      </c>
      <c r="ET82" s="108" t="s">
        <v>502</v>
      </c>
      <c r="EU82" s="108" t="s">
        <v>502</v>
      </c>
      <c r="EV82" s="108" t="s">
        <v>502</v>
      </c>
      <c r="EW82" s="108" t="s">
        <v>502</v>
      </c>
      <c r="EX82" s="108" t="s">
        <v>502</v>
      </c>
      <c r="EY82" s="108" t="s">
        <v>502</v>
      </c>
      <c r="EZ82" s="108" t="s">
        <v>502</v>
      </c>
      <c r="FA82" s="108" t="s">
        <v>502</v>
      </c>
      <c r="FB82" s="108" t="s">
        <v>502</v>
      </c>
      <c r="FC82" s="108" t="s">
        <v>502</v>
      </c>
      <c r="FD82" s="108" t="s">
        <v>502</v>
      </c>
      <c r="FE82" s="108" t="s">
        <v>502</v>
      </c>
      <c r="FF82" s="108" t="s">
        <v>503</v>
      </c>
      <c r="FG82" s="108" t="s">
        <v>503</v>
      </c>
      <c r="FH82" s="108" t="s">
        <v>503</v>
      </c>
      <c r="FI82" s="108" t="s">
        <v>503</v>
      </c>
      <c r="FJ82" s="108" t="s">
        <v>503</v>
      </c>
      <c r="FK82" s="108" t="s">
        <v>503</v>
      </c>
      <c r="FL82" s="108" t="s">
        <v>503</v>
      </c>
      <c r="FM82" s="108" t="s">
        <v>503</v>
      </c>
      <c r="FN82" s="108" t="s">
        <v>503</v>
      </c>
      <c r="FO82" s="108" t="s">
        <v>502</v>
      </c>
      <c r="FP82" s="108" t="s">
        <v>502</v>
      </c>
      <c r="FQ82" s="108" t="s">
        <v>502</v>
      </c>
      <c r="FR82" s="108" t="s">
        <v>502</v>
      </c>
      <c r="FS82" s="108" t="s">
        <v>502</v>
      </c>
      <c r="FT82" s="108" t="s">
        <v>502</v>
      </c>
      <c r="FU82" s="108" t="s">
        <v>502</v>
      </c>
      <c r="FV82" s="108" t="s">
        <v>502</v>
      </c>
      <c r="FW82" s="108" t="s">
        <v>502</v>
      </c>
      <c r="FX82" s="108" t="s">
        <v>503</v>
      </c>
      <c r="FY82" s="108" t="s">
        <v>503</v>
      </c>
      <c r="FZ82" s="108" t="s">
        <v>503</v>
      </c>
      <c r="GA82" s="108" t="s">
        <v>503</v>
      </c>
      <c r="GB82" s="108" t="s">
        <v>503</v>
      </c>
      <c r="GC82" s="108" t="s">
        <v>503</v>
      </c>
      <c r="GD82" s="108" t="s">
        <v>503</v>
      </c>
      <c r="GE82" s="108" t="s">
        <v>503</v>
      </c>
      <c r="GF82" s="108" t="s">
        <v>503</v>
      </c>
      <c r="GG82" s="108" t="s">
        <v>669</v>
      </c>
      <c r="GH82" s="108" t="s">
        <v>669</v>
      </c>
      <c r="GI82" s="108" t="s">
        <v>669</v>
      </c>
      <c r="GJ82" s="108" t="s">
        <v>669</v>
      </c>
      <c r="GK82" s="108" t="s">
        <v>669</v>
      </c>
      <c r="GL82" s="108" t="s">
        <v>669</v>
      </c>
      <c r="GM82" s="108" t="s">
        <v>502</v>
      </c>
      <c r="GN82" s="108" t="s">
        <v>502</v>
      </c>
      <c r="GO82" s="108" t="s">
        <v>502</v>
      </c>
      <c r="GP82" s="108" t="s">
        <v>664</v>
      </c>
      <c r="GQ82" s="108" t="s">
        <v>664</v>
      </c>
      <c r="GR82" s="108" t="s">
        <v>664</v>
      </c>
      <c r="GS82" s="108" t="s">
        <v>502</v>
      </c>
      <c r="GT82" s="108" t="s">
        <v>502</v>
      </c>
      <c r="GU82" s="108" t="s">
        <v>502</v>
      </c>
      <c r="GV82" s="108" t="s">
        <v>502</v>
      </c>
      <c r="GW82" s="108" t="s">
        <v>502</v>
      </c>
      <c r="GX82" s="108" t="s">
        <v>502</v>
      </c>
      <c r="GY82" s="108" t="s">
        <v>664</v>
      </c>
      <c r="GZ82" s="108" t="s">
        <v>664</v>
      </c>
      <c r="HA82" s="108" t="s">
        <v>664</v>
      </c>
      <c r="HB82" s="108" t="s">
        <v>664</v>
      </c>
      <c r="HC82" s="108" t="s">
        <v>664</v>
      </c>
      <c r="HD82" s="108" t="s">
        <v>664</v>
      </c>
      <c r="HE82" s="71">
        <v>1411770</v>
      </c>
      <c r="HF82" s="71">
        <f t="shared" si="37"/>
        <v>268236.3</v>
      </c>
      <c r="HG82" s="71">
        <f t="shared" si="38"/>
        <v>1680006.3</v>
      </c>
      <c r="HH82" s="108" t="s">
        <v>664</v>
      </c>
      <c r="HI82" s="108" t="s">
        <v>664</v>
      </c>
      <c r="HJ82" s="108" t="s">
        <v>664</v>
      </c>
      <c r="HK82" s="108" t="s">
        <v>664</v>
      </c>
      <c r="HL82" s="108" t="s">
        <v>664</v>
      </c>
      <c r="HM82" s="108" t="s">
        <v>664</v>
      </c>
      <c r="HN82" s="108" t="s">
        <v>664</v>
      </c>
      <c r="HO82" s="108" t="s">
        <v>664</v>
      </c>
      <c r="HP82" s="108" t="s">
        <v>664</v>
      </c>
      <c r="HQ82" s="108" t="s">
        <v>503</v>
      </c>
      <c r="HR82" s="108" t="s">
        <v>503</v>
      </c>
      <c r="HS82" s="108" t="s">
        <v>503</v>
      </c>
      <c r="HT82" s="108" t="s">
        <v>502</v>
      </c>
      <c r="HU82" s="108" t="s">
        <v>502</v>
      </c>
      <c r="HV82" s="108" t="s">
        <v>502</v>
      </c>
      <c r="HW82" s="108" t="s">
        <v>503</v>
      </c>
      <c r="HX82" s="108" t="s">
        <v>503</v>
      </c>
      <c r="HY82" s="108" t="s">
        <v>503</v>
      </c>
      <c r="HZ82" s="118" t="s">
        <v>502</v>
      </c>
      <c r="IA82" s="118" t="s">
        <v>502</v>
      </c>
      <c r="IB82" s="118" t="s">
        <v>502</v>
      </c>
      <c r="IC82" s="118" t="s">
        <v>502</v>
      </c>
      <c r="ID82" s="118" t="s">
        <v>502</v>
      </c>
      <c r="IE82" s="118" t="s">
        <v>502</v>
      </c>
      <c r="IF82" s="118" t="s">
        <v>502</v>
      </c>
      <c r="IG82" s="118" t="s">
        <v>502</v>
      </c>
      <c r="IH82" s="118" t="s">
        <v>502</v>
      </c>
      <c r="II82" s="118" t="s">
        <v>502</v>
      </c>
      <c r="IJ82" s="118" t="s">
        <v>502</v>
      </c>
      <c r="IK82" s="118" t="s">
        <v>502</v>
      </c>
      <c r="IL82" s="118" t="s">
        <v>502</v>
      </c>
      <c r="IM82" s="118" t="s">
        <v>502</v>
      </c>
      <c r="IN82" s="118" t="s">
        <v>502</v>
      </c>
      <c r="IO82" s="120" t="s">
        <v>503</v>
      </c>
      <c r="IP82" s="120" t="s">
        <v>503</v>
      </c>
      <c r="IQ82" s="120" t="s">
        <v>503</v>
      </c>
      <c r="IR82" s="118" t="s">
        <v>669</v>
      </c>
      <c r="IS82" s="118" t="s">
        <v>669</v>
      </c>
      <c r="IT82" s="118" t="s">
        <v>669</v>
      </c>
      <c r="IU82" s="120" t="s">
        <v>503</v>
      </c>
      <c r="IV82" s="120" t="s">
        <v>503</v>
      </c>
      <c r="IW82" s="120" t="s">
        <v>503</v>
      </c>
      <c r="IX82" s="120" t="s">
        <v>503</v>
      </c>
      <c r="IY82" s="120" t="s">
        <v>503</v>
      </c>
      <c r="IZ82" s="120" t="s">
        <v>503</v>
      </c>
      <c r="JA82" s="120" t="s">
        <v>503</v>
      </c>
      <c r="JB82" s="120" t="s">
        <v>503</v>
      </c>
      <c r="JC82" s="120" t="s">
        <v>503</v>
      </c>
      <c r="JD82" s="120" t="s">
        <v>664</v>
      </c>
      <c r="JE82" s="120" t="s">
        <v>664</v>
      </c>
      <c r="JF82" s="120" t="s">
        <v>664</v>
      </c>
      <c r="JG82" s="118" t="s">
        <v>502</v>
      </c>
      <c r="JH82" s="118" t="s">
        <v>502</v>
      </c>
      <c r="JI82" s="118" t="s">
        <v>502</v>
      </c>
      <c r="JJ82" s="118" t="s">
        <v>502</v>
      </c>
      <c r="JK82" s="118" t="s">
        <v>502</v>
      </c>
      <c r="JL82" s="118" t="s">
        <v>502</v>
      </c>
      <c r="JM82" s="118" t="s">
        <v>502</v>
      </c>
      <c r="JN82" s="118" t="s">
        <v>502</v>
      </c>
      <c r="JO82" s="118" t="s">
        <v>502</v>
      </c>
      <c r="JP82" s="110">
        <v>881300</v>
      </c>
      <c r="JQ82" s="111">
        <v>1052953.8326719999</v>
      </c>
      <c r="JR82" s="112">
        <f t="shared" si="30"/>
        <v>3</v>
      </c>
      <c r="JS82" s="113">
        <v>464500</v>
      </c>
      <c r="JT82" s="114">
        <f t="shared" si="32"/>
        <v>464500</v>
      </c>
      <c r="JU82" s="177"/>
    </row>
    <row r="83" spans="1:281" ht="101.25" customHeight="1" x14ac:dyDescent="0.2">
      <c r="A83" s="98">
        <v>181</v>
      </c>
      <c r="B83" s="99">
        <v>181</v>
      </c>
      <c r="C83" s="39" t="s">
        <v>12</v>
      </c>
      <c r="D83" s="154" t="s">
        <v>37</v>
      </c>
      <c r="E83" s="39">
        <v>82150000</v>
      </c>
      <c r="F83" s="135" t="s">
        <v>686</v>
      </c>
      <c r="G83" s="102" t="s">
        <v>62</v>
      </c>
      <c r="H83" s="103" t="s">
        <v>501</v>
      </c>
      <c r="I83" s="108" t="s">
        <v>503</v>
      </c>
      <c r="J83" s="108" t="s">
        <v>503</v>
      </c>
      <c r="K83" s="108" t="s">
        <v>503</v>
      </c>
      <c r="L83" s="118" t="s">
        <v>502</v>
      </c>
      <c r="M83" s="118" t="s">
        <v>502</v>
      </c>
      <c r="N83" s="118" t="s">
        <v>502</v>
      </c>
      <c r="O83" s="108" t="s">
        <v>503</v>
      </c>
      <c r="P83" s="108" t="s">
        <v>503</v>
      </c>
      <c r="Q83" s="108" t="s">
        <v>503</v>
      </c>
      <c r="R83" s="108" t="s">
        <v>503</v>
      </c>
      <c r="S83" s="108" t="s">
        <v>503</v>
      </c>
      <c r="T83" s="108" t="s">
        <v>503</v>
      </c>
      <c r="U83" s="118" t="s">
        <v>502</v>
      </c>
      <c r="V83" s="118" t="s">
        <v>502</v>
      </c>
      <c r="W83" s="118" t="s">
        <v>502</v>
      </c>
      <c r="X83" s="108" t="s">
        <v>503</v>
      </c>
      <c r="Y83" s="108" t="s">
        <v>503</v>
      </c>
      <c r="Z83" s="108" t="s">
        <v>503</v>
      </c>
      <c r="AA83" s="108" t="s">
        <v>503</v>
      </c>
      <c r="AB83" s="108" t="s">
        <v>503</v>
      </c>
      <c r="AC83" s="108" t="s">
        <v>503</v>
      </c>
      <c r="AD83" s="108" t="s">
        <v>503</v>
      </c>
      <c r="AE83" s="108" t="s">
        <v>503</v>
      </c>
      <c r="AF83" s="108" t="s">
        <v>503</v>
      </c>
      <c r="AG83" s="108" t="s">
        <v>503</v>
      </c>
      <c r="AH83" s="108" t="s">
        <v>503</v>
      </c>
      <c r="AI83" s="108" t="s">
        <v>503</v>
      </c>
      <c r="AJ83" s="108" t="s">
        <v>503</v>
      </c>
      <c r="AK83" s="108" t="s">
        <v>503</v>
      </c>
      <c r="AL83" s="108" t="s">
        <v>503</v>
      </c>
      <c r="AM83" s="108" t="s">
        <v>503</v>
      </c>
      <c r="AN83" s="108" t="s">
        <v>503</v>
      </c>
      <c r="AO83" s="108" t="s">
        <v>503</v>
      </c>
      <c r="AP83" s="108" t="s">
        <v>503</v>
      </c>
      <c r="AQ83" s="108" t="s">
        <v>503</v>
      </c>
      <c r="AR83" s="108" t="s">
        <v>503</v>
      </c>
      <c r="AS83" s="118" t="s">
        <v>502</v>
      </c>
      <c r="AT83" s="118" t="s">
        <v>502</v>
      </c>
      <c r="AU83" s="118" t="s">
        <v>502</v>
      </c>
      <c r="AV83" s="108" t="s">
        <v>503</v>
      </c>
      <c r="AW83" s="108" t="s">
        <v>503</v>
      </c>
      <c r="AX83" s="108" t="s">
        <v>503</v>
      </c>
      <c r="AY83" s="108" t="s">
        <v>503</v>
      </c>
      <c r="AZ83" s="108" t="s">
        <v>503</v>
      </c>
      <c r="BA83" s="108" t="s">
        <v>503</v>
      </c>
      <c r="BB83" s="108" t="s">
        <v>503</v>
      </c>
      <c r="BC83" s="108" t="s">
        <v>503</v>
      </c>
      <c r="BD83" s="108" t="s">
        <v>503</v>
      </c>
      <c r="BE83" s="118" t="s">
        <v>502</v>
      </c>
      <c r="BF83" s="118" t="s">
        <v>502</v>
      </c>
      <c r="BG83" s="118" t="s">
        <v>502</v>
      </c>
      <c r="BH83" s="108" t="s">
        <v>503</v>
      </c>
      <c r="BI83" s="108" t="s">
        <v>503</v>
      </c>
      <c r="BJ83" s="108" t="s">
        <v>503</v>
      </c>
      <c r="BK83" s="108" t="s">
        <v>503</v>
      </c>
      <c r="BL83" s="108" t="s">
        <v>503</v>
      </c>
      <c r="BM83" s="108" t="s">
        <v>503</v>
      </c>
      <c r="BN83" s="108" t="s">
        <v>503</v>
      </c>
      <c r="BO83" s="108" t="s">
        <v>503</v>
      </c>
      <c r="BP83" s="108" t="s">
        <v>503</v>
      </c>
      <c r="BQ83" s="108" t="s">
        <v>503</v>
      </c>
      <c r="BR83" s="108" t="s">
        <v>503</v>
      </c>
      <c r="BS83" s="108" t="s">
        <v>503</v>
      </c>
      <c r="BT83" s="108" t="s">
        <v>503</v>
      </c>
      <c r="BU83" s="108" t="s">
        <v>503</v>
      </c>
      <c r="BV83" s="108" t="s">
        <v>503</v>
      </c>
      <c r="BW83" s="108" t="s">
        <v>503</v>
      </c>
      <c r="BX83" s="108" t="s">
        <v>503</v>
      </c>
      <c r="BY83" s="108" t="s">
        <v>503</v>
      </c>
      <c r="BZ83" s="108" t="s">
        <v>503</v>
      </c>
      <c r="CA83" s="108" t="s">
        <v>503</v>
      </c>
      <c r="CB83" s="108" t="s">
        <v>503</v>
      </c>
      <c r="CC83" s="108" t="s">
        <v>503</v>
      </c>
      <c r="CD83" s="108" t="s">
        <v>503</v>
      </c>
      <c r="CE83" s="108" t="s">
        <v>503</v>
      </c>
      <c r="CF83" s="108" t="s">
        <v>503</v>
      </c>
      <c r="CG83" s="108" t="s">
        <v>503</v>
      </c>
      <c r="CH83" s="108" t="s">
        <v>503</v>
      </c>
      <c r="CI83" s="108" t="s">
        <v>503</v>
      </c>
      <c r="CJ83" s="108" t="s">
        <v>503</v>
      </c>
      <c r="CK83" s="108" t="s">
        <v>503</v>
      </c>
      <c r="CL83" s="108" t="s">
        <v>503</v>
      </c>
      <c r="CM83" s="108" t="s">
        <v>503</v>
      </c>
      <c r="CN83" s="108" t="s">
        <v>503</v>
      </c>
      <c r="CO83" s="108" t="s">
        <v>503</v>
      </c>
      <c r="CP83" s="108" t="s">
        <v>503</v>
      </c>
      <c r="CQ83" s="108" t="s">
        <v>503</v>
      </c>
      <c r="CR83" s="108" t="s">
        <v>503</v>
      </c>
      <c r="CS83" s="108" t="s">
        <v>503</v>
      </c>
      <c r="CT83" s="108" t="s">
        <v>503</v>
      </c>
      <c r="CU83" s="108" t="s">
        <v>503</v>
      </c>
      <c r="CV83" s="108" t="s">
        <v>503</v>
      </c>
      <c r="CW83" s="108" t="s">
        <v>503</v>
      </c>
      <c r="CX83" s="108" t="s">
        <v>503</v>
      </c>
      <c r="CY83" s="108" t="s">
        <v>503</v>
      </c>
      <c r="CZ83" s="108" t="s">
        <v>503</v>
      </c>
      <c r="DA83" s="108" t="s">
        <v>503</v>
      </c>
      <c r="DB83" s="108" t="s">
        <v>503</v>
      </c>
      <c r="DC83" s="108" t="s">
        <v>503</v>
      </c>
      <c r="DD83" s="108" t="s">
        <v>503</v>
      </c>
      <c r="DE83" s="108" t="s">
        <v>503</v>
      </c>
      <c r="DF83" s="108" t="s">
        <v>503</v>
      </c>
      <c r="DG83" s="108" t="s">
        <v>503</v>
      </c>
      <c r="DH83" s="108" t="s">
        <v>503</v>
      </c>
      <c r="DI83" s="108" t="s">
        <v>503</v>
      </c>
      <c r="DJ83" s="108" t="s">
        <v>503</v>
      </c>
      <c r="DK83" s="108" t="s">
        <v>503</v>
      </c>
      <c r="DL83" s="108" t="s">
        <v>503</v>
      </c>
      <c r="DM83" s="108" t="s">
        <v>503</v>
      </c>
      <c r="DN83" s="108" t="s">
        <v>503</v>
      </c>
      <c r="DO83" s="108" t="s">
        <v>503</v>
      </c>
      <c r="DP83" s="47">
        <v>720000</v>
      </c>
      <c r="DQ83" s="159">
        <f t="shared" si="33"/>
        <v>136800</v>
      </c>
      <c r="DR83" s="47">
        <f t="shared" si="34"/>
        <v>856800</v>
      </c>
      <c r="DS83" s="118">
        <v>1380000</v>
      </c>
      <c r="DT83" s="119">
        <f t="shared" si="35"/>
        <v>262200</v>
      </c>
      <c r="DU83" s="118">
        <f t="shared" si="36"/>
        <v>1642200</v>
      </c>
      <c r="DV83" s="108" t="s">
        <v>503</v>
      </c>
      <c r="DW83" s="108" t="s">
        <v>503</v>
      </c>
      <c r="DX83" s="108" t="s">
        <v>503</v>
      </c>
      <c r="DY83" s="108" t="s">
        <v>503</v>
      </c>
      <c r="DZ83" s="108" t="s">
        <v>503</v>
      </c>
      <c r="EA83" s="108" t="s">
        <v>503</v>
      </c>
      <c r="EB83" s="108" t="s">
        <v>503</v>
      </c>
      <c r="EC83" s="108" t="s">
        <v>503</v>
      </c>
      <c r="ED83" s="108" t="s">
        <v>503</v>
      </c>
      <c r="EE83" s="108" t="s">
        <v>503</v>
      </c>
      <c r="EF83" s="108" t="s">
        <v>503</v>
      </c>
      <c r="EG83" s="108" t="s">
        <v>503</v>
      </c>
      <c r="EH83" s="108" t="s">
        <v>503</v>
      </c>
      <c r="EI83" s="108" t="s">
        <v>503</v>
      </c>
      <c r="EJ83" s="108" t="s">
        <v>503</v>
      </c>
      <c r="EK83" s="108" t="s">
        <v>503</v>
      </c>
      <c r="EL83" s="108" t="s">
        <v>503</v>
      </c>
      <c r="EM83" s="108" t="s">
        <v>503</v>
      </c>
      <c r="EN83" s="108" t="s">
        <v>503</v>
      </c>
      <c r="EO83" s="108" t="s">
        <v>503</v>
      </c>
      <c r="EP83" s="108" t="s">
        <v>503</v>
      </c>
      <c r="EQ83" s="108" t="s">
        <v>502</v>
      </c>
      <c r="ER83" s="108" t="s">
        <v>502</v>
      </c>
      <c r="ES83" s="108" t="s">
        <v>502</v>
      </c>
      <c r="ET83" s="108" t="s">
        <v>502</v>
      </c>
      <c r="EU83" s="108" t="s">
        <v>502</v>
      </c>
      <c r="EV83" s="108" t="s">
        <v>502</v>
      </c>
      <c r="EW83" s="108" t="s">
        <v>502</v>
      </c>
      <c r="EX83" s="108" t="s">
        <v>502</v>
      </c>
      <c r="EY83" s="108" t="s">
        <v>502</v>
      </c>
      <c r="EZ83" s="108" t="s">
        <v>502</v>
      </c>
      <c r="FA83" s="108" t="s">
        <v>502</v>
      </c>
      <c r="FB83" s="108" t="s">
        <v>502</v>
      </c>
      <c r="FC83" s="108" t="s">
        <v>502</v>
      </c>
      <c r="FD83" s="108" t="s">
        <v>502</v>
      </c>
      <c r="FE83" s="108" t="s">
        <v>502</v>
      </c>
      <c r="FF83" s="108" t="s">
        <v>503</v>
      </c>
      <c r="FG83" s="108" t="s">
        <v>503</v>
      </c>
      <c r="FH83" s="108" t="s">
        <v>503</v>
      </c>
      <c r="FI83" s="108" t="s">
        <v>503</v>
      </c>
      <c r="FJ83" s="108" t="s">
        <v>503</v>
      </c>
      <c r="FK83" s="108" t="s">
        <v>503</v>
      </c>
      <c r="FL83" s="108" t="s">
        <v>503</v>
      </c>
      <c r="FM83" s="108" t="s">
        <v>503</v>
      </c>
      <c r="FN83" s="108" t="s">
        <v>503</v>
      </c>
      <c r="FO83" s="108" t="s">
        <v>502</v>
      </c>
      <c r="FP83" s="108" t="s">
        <v>502</v>
      </c>
      <c r="FQ83" s="108" t="s">
        <v>502</v>
      </c>
      <c r="FR83" s="108" t="s">
        <v>502</v>
      </c>
      <c r="FS83" s="108" t="s">
        <v>502</v>
      </c>
      <c r="FT83" s="108" t="s">
        <v>502</v>
      </c>
      <c r="FU83" s="108" t="s">
        <v>502</v>
      </c>
      <c r="FV83" s="108" t="s">
        <v>502</v>
      </c>
      <c r="FW83" s="108" t="s">
        <v>502</v>
      </c>
      <c r="FX83" s="108" t="s">
        <v>503</v>
      </c>
      <c r="FY83" s="108" t="s">
        <v>503</v>
      </c>
      <c r="FZ83" s="108" t="s">
        <v>503</v>
      </c>
      <c r="GA83" s="108" t="s">
        <v>503</v>
      </c>
      <c r="GB83" s="108" t="s">
        <v>503</v>
      </c>
      <c r="GC83" s="108" t="s">
        <v>503</v>
      </c>
      <c r="GD83" s="108" t="s">
        <v>503</v>
      </c>
      <c r="GE83" s="108" t="s">
        <v>503</v>
      </c>
      <c r="GF83" s="108" t="s">
        <v>503</v>
      </c>
      <c r="GG83" s="108" t="s">
        <v>669</v>
      </c>
      <c r="GH83" s="108" t="s">
        <v>669</v>
      </c>
      <c r="GI83" s="108" t="s">
        <v>669</v>
      </c>
      <c r="GJ83" s="108" t="s">
        <v>669</v>
      </c>
      <c r="GK83" s="108" t="s">
        <v>669</v>
      </c>
      <c r="GL83" s="108" t="s">
        <v>669</v>
      </c>
      <c r="GM83" s="108" t="s">
        <v>502</v>
      </c>
      <c r="GN83" s="108" t="s">
        <v>502</v>
      </c>
      <c r="GO83" s="108" t="s">
        <v>502</v>
      </c>
      <c r="GP83" s="108" t="s">
        <v>664</v>
      </c>
      <c r="GQ83" s="108" t="s">
        <v>664</v>
      </c>
      <c r="GR83" s="108" t="s">
        <v>664</v>
      </c>
      <c r="GS83" s="108" t="s">
        <v>502</v>
      </c>
      <c r="GT83" s="108" t="s">
        <v>502</v>
      </c>
      <c r="GU83" s="108" t="s">
        <v>502</v>
      </c>
      <c r="GV83" s="108" t="s">
        <v>502</v>
      </c>
      <c r="GW83" s="108" t="s">
        <v>502</v>
      </c>
      <c r="GX83" s="108" t="s">
        <v>502</v>
      </c>
      <c r="GY83" s="108" t="s">
        <v>664</v>
      </c>
      <c r="GZ83" s="108" t="s">
        <v>664</v>
      </c>
      <c r="HA83" s="108" t="s">
        <v>664</v>
      </c>
      <c r="HB83" s="108" t="s">
        <v>664</v>
      </c>
      <c r="HC83" s="108" t="s">
        <v>664</v>
      </c>
      <c r="HD83" s="108" t="s">
        <v>664</v>
      </c>
      <c r="HE83" s="71">
        <v>1411770</v>
      </c>
      <c r="HF83" s="71">
        <f t="shared" si="37"/>
        <v>268236.3</v>
      </c>
      <c r="HG83" s="71">
        <f t="shared" si="38"/>
        <v>1680006.3</v>
      </c>
      <c r="HH83" s="108" t="s">
        <v>664</v>
      </c>
      <c r="HI83" s="108" t="s">
        <v>664</v>
      </c>
      <c r="HJ83" s="108" t="s">
        <v>664</v>
      </c>
      <c r="HK83" s="108" t="s">
        <v>664</v>
      </c>
      <c r="HL83" s="108" t="s">
        <v>664</v>
      </c>
      <c r="HM83" s="108" t="s">
        <v>664</v>
      </c>
      <c r="HN83" s="108" t="s">
        <v>664</v>
      </c>
      <c r="HO83" s="108" t="s">
        <v>664</v>
      </c>
      <c r="HP83" s="108" t="s">
        <v>664</v>
      </c>
      <c r="HQ83" s="108" t="s">
        <v>503</v>
      </c>
      <c r="HR83" s="108" t="s">
        <v>503</v>
      </c>
      <c r="HS83" s="108" t="s">
        <v>503</v>
      </c>
      <c r="HT83" s="108" t="s">
        <v>502</v>
      </c>
      <c r="HU83" s="108" t="s">
        <v>502</v>
      </c>
      <c r="HV83" s="108" t="s">
        <v>502</v>
      </c>
      <c r="HW83" s="108" t="s">
        <v>503</v>
      </c>
      <c r="HX83" s="108" t="s">
        <v>503</v>
      </c>
      <c r="HY83" s="108" t="s">
        <v>503</v>
      </c>
      <c r="HZ83" s="118" t="s">
        <v>502</v>
      </c>
      <c r="IA83" s="118" t="s">
        <v>502</v>
      </c>
      <c r="IB83" s="118" t="s">
        <v>502</v>
      </c>
      <c r="IC83" s="118" t="s">
        <v>502</v>
      </c>
      <c r="ID83" s="118" t="s">
        <v>502</v>
      </c>
      <c r="IE83" s="118" t="s">
        <v>502</v>
      </c>
      <c r="IF83" s="118" t="s">
        <v>502</v>
      </c>
      <c r="IG83" s="118" t="s">
        <v>502</v>
      </c>
      <c r="IH83" s="118" t="s">
        <v>502</v>
      </c>
      <c r="II83" s="118" t="s">
        <v>502</v>
      </c>
      <c r="IJ83" s="118" t="s">
        <v>502</v>
      </c>
      <c r="IK83" s="118" t="s">
        <v>502</v>
      </c>
      <c r="IL83" s="118" t="s">
        <v>502</v>
      </c>
      <c r="IM83" s="118" t="s">
        <v>502</v>
      </c>
      <c r="IN83" s="118" t="s">
        <v>502</v>
      </c>
      <c r="IO83" s="120" t="s">
        <v>503</v>
      </c>
      <c r="IP83" s="120" t="s">
        <v>503</v>
      </c>
      <c r="IQ83" s="120" t="s">
        <v>503</v>
      </c>
      <c r="IR83" s="118" t="s">
        <v>669</v>
      </c>
      <c r="IS83" s="118" t="s">
        <v>669</v>
      </c>
      <c r="IT83" s="118" t="s">
        <v>669</v>
      </c>
      <c r="IU83" s="120" t="s">
        <v>503</v>
      </c>
      <c r="IV83" s="120" t="s">
        <v>503</v>
      </c>
      <c r="IW83" s="120" t="s">
        <v>503</v>
      </c>
      <c r="IX83" s="120" t="s">
        <v>503</v>
      </c>
      <c r="IY83" s="120" t="s">
        <v>503</v>
      </c>
      <c r="IZ83" s="120" t="s">
        <v>503</v>
      </c>
      <c r="JA83" s="120" t="s">
        <v>503</v>
      </c>
      <c r="JB83" s="120" t="s">
        <v>503</v>
      </c>
      <c r="JC83" s="120" t="s">
        <v>503</v>
      </c>
      <c r="JD83" s="120" t="s">
        <v>664</v>
      </c>
      <c r="JE83" s="120" t="s">
        <v>664</v>
      </c>
      <c r="JF83" s="120" t="s">
        <v>664</v>
      </c>
      <c r="JG83" s="118" t="s">
        <v>502</v>
      </c>
      <c r="JH83" s="118" t="s">
        <v>502</v>
      </c>
      <c r="JI83" s="118" t="s">
        <v>502</v>
      </c>
      <c r="JJ83" s="118" t="s">
        <v>502</v>
      </c>
      <c r="JK83" s="118" t="s">
        <v>502</v>
      </c>
      <c r="JL83" s="118" t="s">
        <v>502</v>
      </c>
      <c r="JM83" s="118" t="s">
        <v>502</v>
      </c>
      <c r="JN83" s="118" t="s">
        <v>502</v>
      </c>
      <c r="JO83" s="118" t="s">
        <v>502</v>
      </c>
      <c r="JP83" s="110">
        <v>881300</v>
      </c>
      <c r="JQ83" s="111">
        <v>1052953.8326719999</v>
      </c>
      <c r="JR83" s="112">
        <f t="shared" si="30"/>
        <v>3</v>
      </c>
      <c r="JS83" s="113">
        <v>696750</v>
      </c>
      <c r="JT83" s="114">
        <f t="shared" si="32"/>
        <v>696750</v>
      </c>
      <c r="JU83" s="177"/>
    </row>
    <row r="84" spans="1:281" ht="101.25" customHeight="1" x14ac:dyDescent="0.2">
      <c r="A84" s="98">
        <v>181</v>
      </c>
      <c r="B84" s="99">
        <v>181</v>
      </c>
      <c r="C84" s="39" t="s">
        <v>12</v>
      </c>
      <c r="D84" s="154" t="s">
        <v>37</v>
      </c>
      <c r="E84" s="39">
        <v>82150000</v>
      </c>
      <c r="F84" s="135" t="s">
        <v>686</v>
      </c>
      <c r="G84" s="102" t="s">
        <v>63</v>
      </c>
      <c r="H84" s="103" t="s">
        <v>501</v>
      </c>
      <c r="I84" s="108" t="s">
        <v>503</v>
      </c>
      <c r="J84" s="108" t="s">
        <v>503</v>
      </c>
      <c r="K84" s="108" t="s">
        <v>503</v>
      </c>
      <c r="L84" s="118" t="s">
        <v>502</v>
      </c>
      <c r="M84" s="118" t="s">
        <v>502</v>
      </c>
      <c r="N84" s="118" t="s">
        <v>502</v>
      </c>
      <c r="O84" s="108" t="s">
        <v>503</v>
      </c>
      <c r="P84" s="108" t="s">
        <v>503</v>
      </c>
      <c r="Q84" s="108" t="s">
        <v>503</v>
      </c>
      <c r="R84" s="108" t="s">
        <v>503</v>
      </c>
      <c r="S84" s="108" t="s">
        <v>503</v>
      </c>
      <c r="T84" s="108" t="s">
        <v>503</v>
      </c>
      <c r="U84" s="118" t="s">
        <v>502</v>
      </c>
      <c r="V84" s="118" t="s">
        <v>502</v>
      </c>
      <c r="W84" s="118" t="s">
        <v>502</v>
      </c>
      <c r="X84" s="108" t="s">
        <v>503</v>
      </c>
      <c r="Y84" s="108" t="s">
        <v>503</v>
      </c>
      <c r="Z84" s="108" t="s">
        <v>503</v>
      </c>
      <c r="AA84" s="108" t="s">
        <v>503</v>
      </c>
      <c r="AB84" s="108" t="s">
        <v>503</v>
      </c>
      <c r="AC84" s="108" t="s">
        <v>503</v>
      </c>
      <c r="AD84" s="108" t="s">
        <v>503</v>
      </c>
      <c r="AE84" s="108" t="s">
        <v>503</v>
      </c>
      <c r="AF84" s="108" t="s">
        <v>503</v>
      </c>
      <c r="AG84" s="108" t="s">
        <v>503</v>
      </c>
      <c r="AH84" s="108" t="s">
        <v>503</v>
      </c>
      <c r="AI84" s="108" t="s">
        <v>503</v>
      </c>
      <c r="AJ84" s="108" t="s">
        <v>503</v>
      </c>
      <c r="AK84" s="108" t="s">
        <v>503</v>
      </c>
      <c r="AL84" s="108" t="s">
        <v>503</v>
      </c>
      <c r="AM84" s="108" t="s">
        <v>503</v>
      </c>
      <c r="AN84" s="108" t="s">
        <v>503</v>
      </c>
      <c r="AO84" s="108" t="s">
        <v>503</v>
      </c>
      <c r="AP84" s="108" t="s">
        <v>503</v>
      </c>
      <c r="AQ84" s="108" t="s">
        <v>503</v>
      </c>
      <c r="AR84" s="108" t="s">
        <v>503</v>
      </c>
      <c r="AS84" s="118" t="s">
        <v>502</v>
      </c>
      <c r="AT84" s="118" t="s">
        <v>502</v>
      </c>
      <c r="AU84" s="118" t="s">
        <v>502</v>
      </c>
      <c r="AV84" s="108" t="s">
        <v>503</v>
      </c>
      <c r="AW84" s="108" t="s">
        <v>503</v>
      </c>
      <c r="AX84" s="108" t="s">
        <v>503</v>
      </c>
      <c r="AY84" s="108" t="s">
        <v>503</v>
      </c>
      <c r="AZ84" s="108" t="s">
        <v>503</v>
      </c>
      <c r="BA84" s="108" t="s">
        <v>503</v>
      </c>
      <c r="BB84" s="108" t="s">
        <v>503</v>
      </c>
      <c r="BC84" s="108" t="s">
        <v>503</v>
      </c>
      <c r="BD84" s="108" t="s">
        <v>503</v>
      </c>
      <c r="BE84" s="118" t="s">
        <v>502</v>
      </c>
      <c r="BF84" s="118" t="s">
        <v>502</v>
      </c>
      <c r="BG84" s="118" t="s">
        <v>502</v>
      </c>
      <c r="BH84" s="108" t="s">
        <v>503</v>
      </c>
      <c r="BI84" s="108" t="s">
        <v>503</v>
      </c>
      <c r="BJ84" s="108" t="s">
        <v>503</v>
      </c>
      <c r="BK84" s="108" t="s">
        <v>503</v>
      </c>
      <c r="BL84" s="108" t="s">
        <v>503</v>
      </c>
      <c r="BM84" s="108" t="s">
        <v>503</v>
      </c>
      <c r="BN84" s="108" t="s">
        <v>503</v>
      </c>
      <c r="BO84" s="108" t="s">
        <v>503</v>
      </c>
      <c r="BP84" s="108" t="s">
        <v>503</v>
      </c>
      <c r="BQ84" s="108" t="s">
        <v>503</v>
      </c>
      <c r="BR84" s="108" t="s">
        <v>503</v>
      </c>
      <c r="BS84" s="108" t="s">
        <v>503</v>
      </c>
      <c r="BT84" s="108" t="s">
        <v>503</v>
      </c>
      <c r="BU84" s="108" t="s">
        <v>503</v>
      </c>
      <c r="BV84" s="108" t="s">
        <v>503</v>
      </c>
      <c r="BW84" s="108" t="s">
        <v>503</v>
      </c>
      <c r="BX84" s="108" t="s">
        <v>503</v>
      </c>
      <c r="BY84" s="108" t="s">
        <v>503</v>
      </c>
      <c r="BZ84" s="108" t="s">
        <v>503</v>
      </c>
      <c r="CA84" s="108" t="s">
        <v>503</v>
      </c>
      <c r="CB84" s="108" t="s">
        <v>503</v>
      </c>
      <c r="CC84" s="108" t="s">
        <v>503</v>
      </c>
      <c r="CD84" s="108" t="s">
        <v>503</v>
      </c>
      <c r="CE84" s="108" t="s">
        <v>503</v>
      </c>
      <c r="CF84" s="108" t="s">
        <v>503</v>
      </c>
      <c r="CG84" s="108" t="s">
        <v>503</v>
      </c>
      <c r="CH84" s="108" t="s">
        <v>503</v>
      </c>
      <c r="CI84" s="108" t="s">
        <v>503</v>
      </c>
      <c r="CJ84" s="108" t="s">
        <v>503</v>
      </c>
      <c r="CK84" s="108" t="s">
        <v>503</v>
      </c>
      <c r="CL84" s="108" t="s">
        <v>503</v>
      </c>
      <c r="CM84" s="108" t="s">
        <v>503</v>
      </c>
      <c r="CN84" s="108" t="s">
        <v>503</v>
      </c>
      <c r="CO84" s="108" t="s">
        <v>503</v>
      </c>
      <c r="CP84" s="108" t="s">
        <v>503</v>
      </c>
      <c r="CQ84" s="108" t="s">
        <v>503</v>
      </c>
      <c r="CR84" s="108" t="s">
        <v>503</v>
      </c>
      <c r="CS84" s="108" t="s">
        <v>503</v>
      </c>
      <c r="CT84" s="108" t="s">
        <v>503</v>
      </c>
      <c r="CU84" s="108" t="s">
        <v>503</v>
      </c>
      <c r="CV84" s="108" t="s">
        <v>503</v>
      </c>
      <c r="CW84" s="108" t="s">
        <v>503</v>
      </c>
      <c r="CX84" s="108" t="s">
        <v>503</v>
      </c>
      <c r="CY84" s="108" t="s">
        <v>503</v>
      </c>
      <c r="CZ84" s="108" t="s">
        <v>503</v>
      </c>
      <c r="DA84" s="108" t="s">
        <v>503</v>
      </c>
      <c r="DB84" s="108" t="s">
        <v>503</v>
      </c>
      <c r="DC84" s="108" t="s">
        <v>503</v>
      </c>
      <c r="DD84" s="108" t="s">
        <v>503</v>
      </c>
      <c r="DE84" s="108" t="s">
        <v>503</v>
      </c>
      <c r="DF84" s="108" t="s">
        <v>503</v>
      </c>
      <c r="DG84" s="108" t="s">
        <v>503</v>
      </c>
      <c r="DH84" s="108" t="s">
        <v>503</v>
      </c>
      <c r="DI84" s="108" t="s">
        <v>503</v>
      </c>
      <c r="DJ84" s="108" t="s">
        <v>503</v>
      </c>
      <c r="DK84" s="108" t="s">
        <v>503</v>
      </c>
      <c r="DL84" s="108" t="s">
        <v>503</v>
      </c>
      <c r="DM84" s="108" t="s">
        <v>503</v>
      </c>
      <c r="DN84" s="108" t="s">
        <v>503</v>
      </c>
      <c r="DO84" s="108" t="s">
        <v>503</v>
      </c>
      <c r="DP84" s="47">
        <v>720000</v>
      </c>
      <c r="DQ84" s="159">
        <f t="shared" si="33"/>
        <v>136800</v>
      </c>
      <c r="DR84" s="47">
        <f t="shared" si="34"/>
        <v>856800</v>
      </c>
      <c r="DS84" s="118">
        <v>1380000</v>
      </c>
      <c r="DT84" s="119">
        <f t="shared" si="35"/>
        <v>262200</v>
      </c>
      <c r="DU84" s="118">
        <f t="shared" si="36"/>
        <v>1642200</v>
      </c>
      <c r="DV84" s="108" t="s">
        <v>503</v>
      </c>
      <c r="DW84" s="108" t="s">
        <v>503</v>
      </c>
      <c r="DX84" s="108" t="s">
        <v>503</v>
      </c>
      <c r="DY84" s="108" t="s">
        <v>503</v>
      </c>
      <c r="DZ84" s="108" t="s">
        <v>503</v>
      </c>
      <c r="EA84" s="108" t="s">
        <v>503</v>
      </c>
      <c r="EB84" s="108" t="s">
        <v>503</v>
      </c>
      <c r="EC84" s="108" t="s">
        <v>503</v>
      </c>
      <c r="ED84" s="108" t="s">
        <v>503</v>
      </c>
      <c r="EE84" s="108" t="s">
        <v>503</v>
      </c>
      <c r="EF84" s="108" t="s">
        <v>503</v>
      </c>
      <c r="EG84" s="108" t="s">
        <v>503</v>
      </c>
      <c r="EH84" s="108" t="s">
        <v>503</v>
      </c>
      <c r="EI84" s="108" t="s">
        <v>503</v>
      </c>
      <c r="EJ84" s="108" t="s">
        <v>503</v>
      </c>
      <c r="EK84" s="108" t="s">
        <v>503</v>
      </c>
      <c r="EL84" s="108" t="s">
        <v>503</v>
      </c>
      <c r="EM84" s="108" t="s">
        <v>503</v>
      </c>
      <c r="EN84" s="108" t="s">
        <v>503</v>
      </c>
      <c r="EO84" s="108" t="s">
        <v>503</v>
      </c>
      <c r="EP84" s="108" t="s">
        <v>503</v>
      </c>
      <c r="EQ84" s="108" t="s">
        <v>502</v>
      </c>
      <c r="ER84" s="108" t="s">
        <v>502</v>
      </c>
      <c r="ES84" s="108" t="s">
        <v>502</v>
      </c>
      <c r="ET84" s="108" t="s">
        <v>502</v>
      </c>
      <c r="EU84" s="108" t="s">
        <v>502</v>
      </c>
      <c r="EV84" s="108" t="s">
        <v>502</v>
      </c>
      <c r="EW84" s="108" t="s">
        <v>502</v>
      </c>
      <c r="EX84" s="108" t="s">
        <v>502</v>
      </c>
      <c r="EY84" s="108" t="s">
        <v>502</v>
      </c>
      <c r="EZ84" s="108" t="s">
        <v>502</v>
      </c>
      <c r="FA84" s="108" t="s">
        <v>502</v>
      </c>
      <c r="FB84" s="108" t="s">
        <v>502</v>
      </c>
      <c r="FC84" s="108" t="s">
        <v>502</v>
      </c>
      <c r="FD84" s="108" t="s">
        <v>502</v>
      </c>
      <c r="FE84" s="108" t="s">
        <v>502</v>
      </c>
      <c r="FF84" s="108" t="s">
        <v>503</v>
      </c>
      <c r="FG84" s="108" t="s">
        <v>503</v>
      </c>
      <c r="FH84" s="108" t="s">
        <v>503</v>
      </c>
      <c r="FI84" s="108" t="s">
        <v>503</v>
      </c>
      <c r="FJ84" s="108" t="s">
        <v>503</v>
      </c>
      <c r="FK84" s="108" t="s">
        <v>503</v>
      </c>
      <c r="FL84" s="108" t="s">
        <v>503</v>
      </c>
      <c r="FM84" s="108" t="s">
        <v>503</v>
      </c>
      <c r="FN84" s="108" t="s">
        <v>503</v>
      </c>
      <c r="FO84" s="108" t="s">
        <v>502</v>
      </c>
      <c r="FP84" s="108" t="s">
        <v>502</v>
      </c>
      <c r="FQ84" s="108" t="s">
        <v>502</v>
      </c>
      <c r="FR84" s="108" t="s">
        <v>502</v>
      </c>
      <c r="FS84" s="108" t="s">
        <v>502</v>
      </c>
      <c r="FT84" s="108" t="s">
        <v>502</v>
      </c>
      <c r="FU84" s="108" t="s">
        <v>502</v>
      </c>
      <c r="FV84" s="108" t="s">
        <v>502</v>
      </c>
      <c r="FW84" s="108" t="s">
        <v>502</v>
      </c>
      <c r="FX84" s="108" t="s">
        <v>503</v>
      </c>
      <c r="FY84" s="108" t="s">
        <v>503</v>
      </c>
      <c r="FZ84" s="108" t="s">
        <v>503</v>
      </c>
      <c r="GA84" s="108" t="s">
        <v>503</v>
      </c>
      <c r="GB84" s="108" t="s">
        <v>503</v>
      </c>
      <c r="GC84" s="108" t="s">
        <v>503</v>
      </c>
      <c r="GD84" s="108" t="s">
        <v>503</v>
      </c>
      <c r="GE84" s="108" t="s">
        <v>503</v>
      </c>
      <c r="GF84" s="108" t="s">
        <v>503</v>
      </c>
      <c r="GG84" s="108" t="s">
        <v>669</v>
      </c>
      <c r="GH84" s="108" t="s">
        <v>669</v>
      </c>
      <c r="GI84" s="108" t="s">
        <v>669</v>
      </c>
      <c r="GJ84" s="108" t="s">
        <v>669</v>
      </c>
      <c r="GK84" s="108" t="s">
        <v>669</v>
      </c>
      <c r="GL84" s="108" t="s">
        <v>669</v>
      </c>
      <c r="GM84" s="108" t="s">
        <v>502</v>
      </c>
      <c r="GN84" s="108" t="s">
        <v>502</v>
      </c>
      <c r="GO84" s="108" t="s">
        <v>502</v>
      </c>
      <c r="GP84" s="108" t="s">
        <v>664</v>
      </c>
      <c r="GQ84" s="108" t="s">
        <v>664</v>
      </c>
      <c r="GR84" s="108" t="s">
        <v>664</v>
      </c>
      <c r="GS84" s="108" t="s">
        <v>502</v>
      </c>
      <c r="GT84" s="108" t="s">
        <v>502</v>
      </c>
      <c r="GU84" s="108" t="s">
        <v>502</v>
      </c>
      <c r="GV84" s="108" t="s">
        <v>502</v>
      </c>
      <c r="GW84" s="108" t="s">
        <v>502</v>
      </c>
      <c r="GX84" s="108" t="s">
        <v>502</v>
      </c>
      <c r="GY84" s="108" t="s">
        <v>664</v>
      </c>
      <c r="GZ84" s="108" t="s">
        <v>664</v>
      </c>
      <c r="HA84" s="108" t="s">
        <v>664</v>
      </c>
      <c r="HB84" s="108" t="s">
        <v>664</v>
      </c>
      <c r="HC84" s="108" t="s">
        <v>664</v>
      </c>
      <c r="HD84" s="108" t="s">
        <v>664</v>
      </c>
      <c r="HE84" s="71">
        <v>1411770</v>
      </c>
      <c r="HF84" s="71">
        <f t="shared" si="37"/>
        <v>268236.3</v>
      </c>
      <c r="HG84" s="71">
        <f t="shared" si="38"/>
        <v>1680006.3</v>
      </c>
      <c r="HH84" s="108" t="s">
        <v>664</v>
      </c>
      <c r="HI84" s="108" t="s">
        <v>664</v>
      </c>
      <c r="HJ84" s="108" t="s">
        <v>664</v>
      </c>
      <c r="HK84" s="108" t="s">
        <v>664</v>
      </c>
      <c r="HL84" s="108" t="s">
        <v>664</v>
      </c>
      <c r="HM84" s="108" t="s">
        <v>664</v>
      </c>
      <c r="HN84" s="108" t="s">
        <v>664</v>
      </c>
      <c r="HO84" s="108" t="s">
        <v>664</v>
      </c>
      <c r="HP84" s="108" t="s">
        <v>664</v>
      </c>
      <c r="HQ84" s="108" t="s">
        <v>503</v>
      </c>
      <c r="HR84" s="108" t="s">
        <v>503</v>
      </c>
      <c r="HS84" s="108" t="s">
        <v>503</v>
      </c>
      <c r="HT84" s="108" t="s">
        <v>502</v>
      </c>
      <c r="HU84" s="108" t="s">
        <v>502</v>
      </c>
      <c r="HV84" s="108" t="s">
        <v>502</v>
      </c>
      <c r="HW84" s="108" t="s">
        <v>503</v>
      </c>
      <c r="HX84" s="108" t="s">
        <v>503</v>
      </c>
      <c r="HY84" s="108" t="s">
        <v>503</v>
      </c>
      <c r="HZ84" s="118" t="s">
        <v>502</v>
      </c>
      <c r="IA84" s="118" t="s">
        <v>502</v>
      </c>
      <c r="IB84" s="118" t="s">
        <v>502</v>
      </c>
      <c r="IC84" s="118" t="s">
        <v>502</v>
      </c>
      <c r="ID84" s="118" t="s">
        <v>502</v>
      </c>
      <c r="IE84" s="118" t="s">
        <v>502</v>
      </c>
      <c r="IF84" s="118" t="s">
        <v>502</v>
      </c>
      <c r="IG84" s="118" t="s">
        <v>502</v>
      </c>
      <c r="IH84" s="118" t="s">
        <v>502</v>
      </c>
      <c r="II84" s="118" t="s">
        <v>502</v>
      </c>
      <c r="IJ84" s="118" t="s">
        <v>502</v>
      </c>
      <c r="IK84" s="118" t="s">
        <v>502</v>
      </c>
      <c r="IL84" s="118" t="s">
        <v>502</v>
      </c>
      <c r="IM84" s="118" t="s">
        <v>502</v>
      </c>
      <c r="IN84" s="118" t="s">
        <v>502</v>
      </c>
      <c r="IO84" s="120" t="s">
        <v>503</v>
      </c>
      <c r="IP84" s="120" t="s">
        <v>503</v>
      </c>
      <c r="IQ84" s="120" t="s">
        <v>503</v>
      </c>
      <c r="IR84" s="118" t="s">
        <v>669</v>
      </c>
      <c r="IS84" s="118" t="s">
        <v>669</v>
      </c>
      <c r="IT84" s="118" t="s">
        <v>669</v>
      </c>
      <c r="IU84" s="120" t="s">
        <v>503</v>
      </c>
      <c r="IV84" s="120" t="s">
        <v>503</v>
      </c>
      <c r="IW84" s="120" t="s">
        <v>503</v>
      </c>
      <c r="IX84" s="120" t="s">
        <v>503</v>
      </c>
      <c r="IY84" s="120" t="s">
        <v>503</v>
      </c>
      <c r="IZ84" s="120" t="s">
        <v>503</v>
      </c>
      <c r="JA84" s="120" t="s">
        <v>503</v>
      </c>
      <c r="JB84" s="120" t="s">
        <v>503</v>
      </c>
      <c r="JC84" s="120" t="s">
        <v>503</v>
      </c>
      <c r="JD84" s="120" t="s">
        <v>664</v>
      </c>
      <c r="JE84" s="120" t="s">
        <v>664</v>
      </c>
      <c r="JF84" s="120" t="s">
        <v>664</v>
      </c>
      <c r="JG84" s="118" t="s">
        <v>502</v>
      </c>
      <c r="JH84" s="118" t="s">
        <v>502</v>
      </c>
      <c r="JI84" s="118" t="s">
        <v>502</v>
      </c>
      <c r="JJ84" s="118" t="s">
        <v>502</v>
      </c>
      <c r="JK84" s="118" t="s">
        <v>502</v>
      </c>
      <c r="JL84" s="118" t="s">
        <v>502</v>
      </c>
      <c r="JM84" s="118" t="s">
        <v>502</v>
      </c>
      <c r="JN84" s="118" t="s">
        <v>502</v>
      </c>
      <c r="JO84" s="118" t="s">
        <v>502</v>
      </c>
      <c r="JP84" s="110">
        <v>881300</v>
      </c>
      <c r="JQ84" s="111">
        <v>1052953.8326719999</v>
      </c>
      <c r="JR84" s="112">
        <f t="shared" si="30"/>
        <v>3</v>
      </c>
      <c r="JS84" s="113">
        <v>929000</v>
      </c>
      <c r="JT84" s="114">
        <f t="shared" si="32"/>
        <v>929000</v>
      </c>
      <c r="JU84" s="177"/>
    </row>
    <row r="85" spans="1:281" ht="101.25" customHeight="1" x14ac:dyDescent="0.2">
      <c r="A85" s="98">
        <v>181</v>
      </c>
      <c r="B85" s="99">
        <v>181</v>
      </c>
      <c r="C85" s="39" t="s">
        <v>12</v>
      </c>
      <c r="D85" s="154" t="s">
        <v>37</v>
      </c>
      <c r="E85" s="39">
        <v>82150000</v>
      </c>
      <c r="F85" s="135" t="s">
        <v>687</v>
      </c>
      <c r="G85" s="102" t="s">
        <v>64</v>
      </c>
      <c r="H85" s="103" t="s">
        <v>501</v>
      </c>
      <c r="I85" s="108" t="s">
        <v>503</v>
      </c>
      <c r="J85" s="108" t="s">
        <v>503</v>
      </c>
      <c r="K85" s="108" t="s">
        <v>503</v>
      </c>
      <c r="L85" s="118" t="s">
        <v>502</v>
      </c>
      <c r="M85" s="118" t="s">
        <v>502</v>
      </c>
      <c r="N85" s="118" t="s">
        <v>502</v>
      </c>
      <c r="O85" s="108" t="s">
        <v>503</v>
      </c>
      <c r="P85" s="108" t="s">
        <v>503</v>
      </c>
      <c r="Q85" s="108" t="s">
        <v>503</v>
      </c>
      <c r="R85" s="108" t="s">
        <v>503</v>
      </c>
      <c r="S85" s="108" t="s">
        <v>503</v>
      </c>
      <c r="T85" s="108" t="s">
        <v>503</v>
      </c>
      <c r="U85" s="118" t="s">
        <v>502</v>
      </c>
      <c r="V85" s="118" t="s">
        <v>502</v>
      </c>
      <c r="W85" s="118" t="s">
        <v>502</v>
      </c>
      <c r="X85" s="108" t="s">
        <v>503</v>
      </c>
      <c r="Y85" s="108" t="s">
        <v>503</v>
      </c>
      <c r="Z85" s="108" t="s">
        <v>503</v>
      </c>
      <c r="AA85" s="108" t="s">
        <v>503</v>
      </c>
      <c r="AB85" s="108" t="s">
        <v>503</v>
      </c>
      <c r="AC85" s="108" t="s">
        <v>503</v>
      </c>
      <c r="AD85" s="108" t="s">
        <v>503</v>
      </c>
      <c r="AE85" s="108" t="s">
        <v>503</v>
      </c>
      <c r="AF85" s="108" t="s">
        <v>503</v>
      </c>
      <c r="AG85" s="108" t="s">
        <v>503</v>
      </c>
      <c r="AH85" s="108" t="s">
        <v>503</v>
      </c>
      <c r="AI85" s="108" t="s">
        <v>503</v>
      </c>
      <c r="AJ85" s="108" t="s">
        <v>503</v>
      </c>
      <c r="AK85" s="108" t="s">
        <v>503</v>
      </c>
      <c r="AL85" s="108" t="s">
        <v>503</v>
      </c>
      <c r="AM85" s="108" t="s">
        <v>503</v>
      </c>
      <c r="AN85" s="108" t="s">
        <v>503</v>
      </c>
      <c r="AO85" s="108" t="s">
        <v>503</v>
      </c>
      <c r="AP85" s="108" t="s">
        <v>503</v>
      </c>
      <c r="AQ85" s="108" t="s">
        <v>503</v>
      </c>
      <c r="AR85" s="108" t="s">
        <v>503</v>
      </c>
      <c r="AS85" s="118" t="s">
        <v>502</v>
      </c>
      <c r="AT85" s="118" t="s">
        <v>502</v>
      </c>
      <c r="AU85" s="118" t="s">
        <v>502</v>
      </c>
      <c r="AV85" s="108" t="s">
        <v>503</v>
      </c>
      <c r="AW85" s="108" t="s">
        <v>503</v>
      </c>
      <c r="AX85" s="108" t="s">
        <v>503</v>
      </c>
      <c r="AY85" s="108" t="s">
        <v>503</v>
      </c>
      <c r="AZ85" s="108" t="s">
        <v>503</v>
      </c>
      <c r="BA85" s="108" t="s">
        <v>503</v>
      </c>
      <c r="BB85" s="108" t="s">
        <v>503</v>
      </c>
      <c r="BC85" s="108" t="s">
        <v>503</v>
      </c>
      <c r="BD85" s="108" t="s">
        <v>503</v>
      </c>
      <c r="BE85" s="118" t="s">
        <v>502</v>
      </c>
      <c r="BF85" s="118" t="s">
        <v>502</v>
      </c>
      <c r="BG85" s="118" t="s">
        <v>502</v>
      </c>
      <c r="BH85" s="108" t="s">
        <v>503</v>
      </c>
      <c r="BI85" s="108" t="s">
        <v>503</v>
      </c>
      <c r="BJ85" s="108" t="s">
        <v>503</v>
      </c>
      <c r="BK85" s="108" t="s">
        <v>503</v>
      </c>
      <c r="BL85" s="108" t="s">
        <v>503</v>
      </c>
      <c r="BM85" s="108" t="s">
        <v>503</v>
      </c>
      <c r="BN85" s="108" t="s">
        <v>503</v>
      </c>
      <c r="BO85" s="108" t="s">
        <v>503</v>
      </c>
      <c r="BP85" s="108" t="s">
        <v>503</v>
      </c>
      <c r="BQ85" s="108" t="s">
        <v>503</v>
      </c>
      <c r="BR85" s="108" t="s">
        <v>503</v>
      </c>
      <c r="BS85" s="108" t="s">
        <v>503</v>
      </c>
      <c r="BT85" s="108" t="s">
        <v>503</v>
      </c>
      <c r="BU85" s="108" t="s">
        <v>503</v>
      </c>
      <c r="BV85" s="108" t="s">
        <v>503</v>
      </c>
      <c r="BW85" s="108" t="s">
        <v>503</v>
      </c>
      <c r="BX85" s="108" t="s">
        <v>503</v>
      </c>
      <c r="BY85" s="108" t="s">
        <v>503</v>
      </c>
      <c r="BZ85" s="108" t="s">
        <v>503</v>
      </c>
      <c r="CA85" s="108" t="s">
        <v>503</v>
      </c>
      <c r="CB85" s="108" t="s">
        <v>503</v>
      </c>
      <c r="CC85" s="108" t="s">
        <v>503</v>
      </c>
      <c r="CD85" s="108" t="s">
        <v>503</v>
      </c>
      <c r="CE85" s="108" t="s">
        <v>503</v>
      </c>
      <c r="CF85" s="108" t="s">
        <v>503</v>
      </c>
      <c r="CG85" s="108" t="s">
        <v>503</v>
      </c>
      <c r="CH85" s="108" t="s">
        <v>503</v>
      </c>
      <c r="CI85" s="108" t="s">
        <v>503</v>
      </c>
      <c r="CJ85" s="108" t="s">
        <v>503</v>
      </c>
      <c r="CK85" s="108" t="s">
        <v>503</v>
      </c>
      <c r="CL85" s="108" t="s">
        <v>503</v>
      </c>
      <c r="CM85" s="108" t="s">
        <v>503</v>
      </c>
      <c r="CN85" s="108" t="s">
        <v>503</v>
      </c>
      <c r="CO85" s="108" t="s">
        <v>503</v>
      </c>
      <c r="CP85" s="108" t="s">
        <v>503</v>
      </c>
      <c r="CQ85" s="108" t="s">
        <v>503</v>
      </c>
      <c r="CR85" s="108" t="s">
        <v>503</v>
      </c>
      <c r="CS85" s="108" t="s">
        <v>503</v>
      </c>
      <c r="CT85" s="108" t="s">
        <v>503</v>
      </c>
      <c r="CU85" s="108" t="s">
        <v>503</v>
      </c>
      <c r="CV85" s="108" t="s">
        <v>503</v>
      </c>
      <c r="CW85" s="108" t="s">
        <v>503</v>
      </c>
      <c r="CX85" s="108" t="s">
        <v>503</v>
      </c>
      <c r="CY85" s="108" t="s">
        <v>503</v>
      </c>
      <c r="CZ85" s="108" t="s">
        <v>503</v>
      </c>
      <c r="DA85" s="108" t="s">
        <v>503</v>
      </c>
      <c r="DB85" s="108" t="s">
        <v>503</v>
      </c>
      <c r="DC85" s="108" t="s">
        <v>503</v>
      </c>
      <c r="DD85" s="108" t="s">
        <v>503</v>
      </c>
      <c r="DE85" s="108" t="s">
        <v>503</v>
      </c>
      <c r="DF85" s="108" t="s">
        <v>503</v>
      </c>
      <c r="DG85" s="108" t="s">
        <v>503</v>
      </c>
      <c r="DH85" s="108" t="s">
        <v>503</v>
      </c>
      <c r="DI85" s="108" t="s">
        <v>503</v>
      </c>
      <c r="DJ85" s="108" t="s">
        <v>503</v>
      </c>
      <c r="DK85" s="108" t="s">
        <v>503</v>
      </c>
      <c r="DL85" s="108" t="s">
        <v>503</v>
      </c>
      <c r="DM85" s="108" t="s">
        <v>503</v>
      </c>
      <c r="DN85" s="108" t="s">
        <v>503</v>
      </c>
      <c r="DO85" s="108" t="s">
        <v>503</v>
      </c>
      <c r="DP85" s="47">
        <v>720000</v>
      </c>
      <c r="DQ85" s="159">
        <f t="shared" si="33"/>
        <v>136800</v>
      </c>
      <c r="DR85" s="47">
        <f t="shared" si="34"/>
        <v>856800</v>
      </c>
      <c r="DS85" s="118">
        <v>1380000</v>
      </c>
      <c r="DT85" s="119">
        <f t="shared" si="35"/>
        <v>262200</v>
      </c>
      <c r="DU85" s="118">
        <f t="shared" si="36"/>
        <v>1642200</v>
      </c>
      <c r="DV85" s="108" t="s">
        <v>503</v>
      </c>
      <c r="DW85" s="108" t="s">
        <v>503</v>
      </c>
      <c r="DX85" s="108" t="s">
        <v>503</v>
      </c>
      <c r="DY85" s="108" t="s">
        <v>503</v>
      </c>
      <c r="DZ85" s="108" t="s">
        <v>503</v>
      </c>
      <c r="EA85" s="108" t="s">
        <v>503</v>
      </c>
      <c r="EB85" s="108" t="s">
        <v>503</v>
      </c>
      <c r="EC85" s="108" t="s">
        <v>503</v>
      </c>
      <c r="ED85" s="108" t="s">
        <v>503</v>
      </c>
      <c r="EE85" s="108" t="s">
        <v>503</v>
      </c>
      <c r="EF85" s="108" t="s">
        <v>503</v>
      </c>
      <c r="EG85" s="108" t="s">
        <v>503</v>
      </c>
      <c r="EH85" s="108" t="s">
        <v>503</v>
      </c>
      <c r="EI85" s="108" t="s">
        <v>503</v>
      </c>
      <c r="EJ85" s="108" t="s">
        <v>503</v>
      </c>
      <c r="EK85" s="108" t="s">
        <v>503</v>
      </c>
      <c r="EL85" s="108" t="s">
        <v>503</v>
      </c>
      <c r="EM85" s="108" t="s">
        <v>503</v>
      </c>
      <c r="EN85" s="108" t="s">
        <v>503</v>
      </c>
      <c r="EO85" s="108" t="s">
        <v>503</v>
      </c>
      <c r="EP85" s="108" t="s">
        <v>503</v>
      </c>
      <c r="EQ85" s="108" t="s">
        <v>502</v>
      </c>
      <c r="ER85" s="108" t="s">
        <v>502</v>
      </c>
      <c r="ES85" s="108" t="s">
        <v>502</v>
      </c>
      <c r="ET85" s="108" t="s">
        <v>502</v>
      </c>
      <c r="EU85" s="108" t="s">
        <v>502</v>
      </c>
      <c r="EV85" s="108" t="s">
        <v>502</v>
      </c>
      <c r="EW85" s="108" t="s">
        <v>502</v>
      </c>
      <c r="EX85" s="108" t="s">
        <v>502</v>
      </c>
      <c r="EY85" s="108" t="s">
        <v>502</v>
      </c>
      <c r="EZ85" s="108" t="s">
        <v>502</v>
      </c>
      <c r="FA85" s="108" t="s">
        <v>502</v>
      </c>
      <c r="FB85" s="108" t="s">
        <v>502</v>
      </c>
      <c r="FC85" s="108" t="s">
        <v>502</v>
      </c>
      <c r="FD85" s="108" t="s">
        <v>502</v>
      </c>
      <c r="FE85" s="108" t="s">
        <v>502</v>
      </c>
      <c r="FF85" s="108" t="s">
        <v>503</v>
      </c>
      <c r="FG85" s="108" t="s">
        <v>503</v>
      </c>
      <c r="FH85" s="108" t="s">
        <v>503</v>
      </c>
      <c r="FI85" s="108" t="s">
        <v>503</v>
      </c>
      <c r="FJ85" s="108" t="s">
        <v>503</v>
      </c>
      <c r="FK85" s="108" t="s">
        <v>503</v>
      </c>
      <c r="FL85" s="108" t="s">
        <v>503</v>
      </c>
      <c r="FM85" s="108" t="s">
        <v>503</v>
      </c>
      <c r="FN85" s="108" t="s">
        <v>503</v>
      </c>
      <c r="FO85" s="108" t="s">
        <v>502</v>
      </c>
      <c r="FP85" s="108" t="s">
        <v>502</v>
      </c>
      <c r="FQ85" s="108" t="s">
        <v>502</v>
      </c>
      <c r="FR85" s="108" t="s">
        <v>502</v>
      </c>
      <c r="FS85" s="108" t="s">
        <v>502</v>
      </c>
      <c r="FT85" s="108" t="s">
        <v>502</v>
      </c>
      <c r="FU85" s="108" t="s">
        <v>502</v>
      </c>
      <c r="FV85" s="108" t="s">
        <v>502</v>
      </c>
      <c r="FW85" s="108" t="s">
        <v>502</v>
      </c>
      <c r="FX85" s="108" t="s">
        <v>503</v>
      </c>
      <c r="FY85" s="108" t="s">
        <v>503</v>
      </c>
      <c r="FZ85" s="108" t="s">
        <v>503</v>
      </c>
      <c r="GA85" s="108" t="s">
        <v>503</v>
      </c>
      <c r="GB85" s="108" t="s">
        <v>503</v>
      </c>
      <c r="GC85" s="108" t="s">
        <v>503</v>
      </c>
      <c r="GD85" s="108" t="s">
        <v>503</v>
      </c>
      <c r="GE85" s="108" t="s">
        <v>503</v>
      </c>
      <c r="GF85" s="108" t="s">
        <v>503</v>
      </c>
      <c r="GG85" s="108" t="s">
        <v>669</v>
      </c>
      <c r="GH85" s="108" t="s">
        <v>669</v>
      </c>
      <c r="GI85" s="108" t="s">
        <v>669</v>
      </c>
      <c r="GJ85" s="108" t="s">
        <v>669</v>
      </c>
      <c r="GK85" s="108" t="s">
        <v>669</v>
      </c>
      <c r="GL85" s="108" t="s">
        <v>669</v>
      </c>
      <c r="GM85" s="108" t="s">
        <v>502</v>
      </c>
      <c r="GN85" s="108" t="s">
        <v>502</v>
      </c>
      <c r="GO85" s="108" t="s">
        <v>502</v>
      </c>
      <c r="GP85" s="108" t="s">
        <v>664</v>
      </c>
      <c r="GQ85" s="108" t="s">
        <v>664</v>
      </c>
      <c r="GR85" s="108" t="s">
        <v>664</v>
      </c>
      <c r="GS85" s="108" t="s">
        <v>502</v>
      </c>
      <c r="GT85" s="108" t="s">
        <v>502</v>
      </c>
      <c r="GU85" s="108" t="s">
        <v>502</v>
      </c>
      <c r="GV85" s="108" t="s">
        <v>502</v>
      </c>
      <c r="GW85" s="108" t="s">
        <v>502</v>
      </c>
      <c r="GX85" s="108" t="s">
        <v>502</v>
      </c>
      <c r="GY85" s="108" t="s">
        <v>664</v>
      </c>
      <c r="GZ85" s="108" t="s">
        <v>664</v>
      </c>
      <c r="HA85" s="108" t="s">
        <v>664</v>
      </c>
      <c r="HB85" s="108" t="s">
        <v>664</v>
      </c>
      <c r="HC85" s="108" t="s">
        <v>664</v>
      </c>
      <c r="HD85" s="108" t="s">
        <v>664</v>
      </c>
      <c r="HE85" s="71">
        <v>1411770</v>
      </c>
      <c r="HF85" s="71">
        <f t="shared" si="37"/>
        <v>268236.3</v>
      </c>
      <c r="HG85" s="71">
        <f t="shared" si="38"/>
        <v>1680006.3</v>
      </c>
      <c r="HH85" s="108" t="s">
        <v>664</v>
      </c>
      <c r="HI85" s="108" t="s">
        <v>664</v>
      </c>
      <c r="HJ85" s="108" t="s">
        <v>664</v>
      </c>
      <c r="HK85" s="108" t="s">
        <v>664</v>
      </c>
      <c r="HL85" s="108" t="s">
        <v>664</v>
      </c>
      <c r="HM85" s="108" t="s">
        <v>664</v>
      </c>
      <c r="HN85" s="108" t="s">
        <v>664</v>
      </c>
      <c r="HO85" s="108" t="s">
        <v>664</v>
      </c>
      <c r="HP85" s="108" t="s">
        <v>664</v>
      </c>
      <c r="HQ85" s="108" t="s">
        <v>503</v>
      </c>
      <c r="HR85" s="108" t="s">
        <v>503</v>
      </c>
      <c r="HS85" s="108" t="s">
        <v>503</v>
      </c>
      <c r="HT85" s="108" t="s">
        <v>502</v>
      </c>
      <c r="HU85" s="108" t="s">
        <v>502</v>
      </c>
      <c r="HV85" s="108" t="s">
        <v>502</v>
      </c>
      <c r="HW85" s="108" t="s">
        <v>503</v>
      </c>
      <c r="HX85" s="108" t="s">
        <v>503</v>
      </c>
      <c r="HY85" s="108" t="s">
        <v>503</v>
      </c>
      <c r="HZ85" s="118" t="s">
        <v>502</v>
      </c>
      <c r="IA85" s="118" t="s">
        <v>502</v>
      </c>
      <c r="IB85" s="118" t="s">
        <v>502</v>
      </c>
      <c r="IC85" s="118" t="s">
        <v>502</v>
      </c>
      <c r="ID85" s="118" t="s">
        <v>502</v>
      </c>
      <c r="IE85" s="118" t="s">
        <v>502</v>
      </c>
      <c r="IF85" s="118" t="s">
        <v>502</v>
      </c>
      <c r="IG85" s="118" t="s">
        <v>502</v>
      </c>
      <c r="IH85" s="118" t="s">
        <v>502</v>
      </c>
      <c r="II85" s="118" t="s">
        <v>502</v>
      </c>
      <c r="IJ85" s="118" t="s">
        <v>502</v>
      </c>
      <c r="IK85" s="118" t="s">
        <v>502</v>
      </c>
      <c r="IL85" s="118" t="s">
        <v>502</v>
      </c>
      <c r="IM85" s="118" t="s">
        <v>502</v>
      </c>
      <c r="IN85" s="118" t="s">
        <v>502</v>
      </c>
      <c r="IO85" s="120" t="s">
        <v>503</v>
      </c>
      <c r="IP85" s="120" t="s">
        <v>503</v>
      </c>
      <c r="IQ85" s="120" t="s">
        <v>503</v>
      </c>
      <c r="IR85" s="118" t="s">
        <v>669</v>
      </c>
      <c r="IS85" s="118" t="s">
        <v>669</v>
      </c>
      <c r="IT85" s="118" t="s">
        <v>669</v>
      </c>
      <c r="IU85" s="120" t="s">
        <v>503</v>
      </c>
      <c r="IV85" s="120" t="s">
        <v>503</v>
      </c>
      <c r="IW85" s="120" t="s">
        <v>503</v>
      </c>
      <c r="IX85" s="120" t="s">
        <v>503</v>
      </c>
      <c r="IY85" s="120" t="s">
        <v>503</v>
      </c>
      <c r="IZ85" s="120" t="s">
        <v>503</v>
      </c>
      <c r="JA85" s="120" t="s">
        <v>503</v>
      </c>
      <c r="JB85" s="120" t="s">
        <v>503</v>
      </c>
      <c r="JC85" s="120" t="s">
        <v>503</v>
      </c>
      <c r="JD85" s="120" t="s">
        <v>664</v>
      </c>
      <c r="JE85" s="120" t="s">
        <v>664</v>
      </c>
      <c r="JF85" s="120" t="s">
        <v>664</v>
      </c>
      <c r="JG85" s="118" t="s">
        <v>502</v>
      </c>
      <c r="JH85" s="118" t="s">
        <v>502</v>
      </c>
      <c r="JI85" s="118" t="s">
        <v>502</v>
      </c>
      <c r="JJ85" s="118" t="s">
        <v>502</v>
      </c>
      <c r="JK85" s="118" t="s">
        <v>502</v>
      </c>
      <c r="JL85" s="118" t="s">
        <v>502</v>
      </c>
      <c r="JM85" s="118" t="s">
        <v>502</v>
      </c>
      <c r="JN85" s="118" t="s">
        <v>502</v>
      </c>
      <c r="JO85" s="118" t="s">
        <v>502</v>
      </c>
      <c r="JP85" s="110">
        <v>881300</v>
      </c>
      <c r="JQ85" s="111">
        <v>1052953.8326719999</v>
      </c>
      <c r="JR85" s="112">
        <f t="shared" si="30"/>
        <v>3</v>
      </c>
      <c r="JS85" s="113">
        <v>1161250</v>
      </c>
      <c r="JT85" s="114">
        <f t="shared" si="32"/>
        <v>1161250</v>
      </c>
      <c r="JU85" s="177"/>
    </row>
    <row r="86" spans="1:281" ht="101.25" customHeight="1" x14ac:dyDescent="0.2">
      <c r="A86" s="98">
        <v>181</v>
      </c>
      <c r="B86" s="99">
        <v>181</v>
      </c>
      <c r="C86" s="39" t="s">
        <v>12</v>
      </c>
      <c r="D86" s="154" t="s">
        <v>37</v>
      </c>
      <c r="E86" s="39">
        <v>82150000</v>
      </c>
      <c r="F86" s="135" t="s">
        <v>686</v>
      </c>
      <c r="G86" s="102" t="s">
        <v>50</v>
      </c>
      <c r="H86" s="103" t="s">
        <v>501</v>
      </c>
      <c r="I86" s="108" t="s">
        <v>503</v>
      </c>
      <c r="J86" s="108" t="s">
        <v>503</v>
      </c>
      <c r="K86" s="108" t="s">
        <v>503</v>
      </c>
      <c r="L86" s="118" t="s">
        <v>502</v>
      </c>
      <c r="M86" s="118" t="s">
        <v>502</v>
      </c>
      <c r="N86" s="118" t="s">
        <v>502</v>
      </c>
      <c r="O86" s="108" t="s">
        <v>503</v>
      </c>
      <c r="P86" s="108" t="s">
        <v>503</v>
      </c>
      <c r="Q86" s="108" t="s">
        <v>503</v>
      </c>
      <c r="R86" s="108" t="s">
        <v>503</v>
      </c>
      <c r="S86" s="108" t="s">
        <v>503</v>
      </c>
      <c r="T86" s="108" t="s">
        <v>503</v>
      </c>
      <c r="U86" s="118" t="s">
        <v>502</v>
      </c>
      <c r="V86" s="118" t="s">
        <v>502</v>
      </c>
      <c r="W86" s="118" t="s">
        <v>502</v>
      </c>
      <c r="X86" s="108" t="s">
        <v>503</v>
      </c>
      <c r="Y86" s="108" t="s">
        <v>503</v>
      </c>
      <c r="Z86" s="108" t="s">
        <v>503</v>
      </c>
      <c r="AA86" s="108" t="s">
        <v>503</v>
      </c>
      <c r="AB86" s="108" t="s">
        <v>503</v>
      </c>
      <c r="AC86" s="108" t="s">
        <v>503</v>
      </c>
      <c r="AD86" s="108" t="s">
        <v>503</v>
      </c>
      <c r="AE86" s="108" t="s">
        <v>503</v>
      </c>
      <c r="AF86" s="108" t="s">
        <v>503</v>
      </c>
      <c r="AG86" s="108" t="s">
        <v>503</v>
      </c>
      <c r="AH86" s="108" t="s">
        <v>503</v>
      </c>
      <c r="AI86" s="108" t="s">
        <v>503</v>
      </c>
      <c r="AJ86" s="108" t="s">
        <v>503</v>
      </c>
      <c r="AK86" s="108" t="s">
        <v>503</v>
      </c>
      <c r="AL86" s="108" t="s">
        <v>503</v>
      </c>
      <c r="AM86" s="108" t="s">
        <v>503</v>
      </c>
      <c r="AN86" s="108" t="s">
        <v>503</v>
      </c>
      <c r="AO86" s="108" t="s">
        <v>503</v>
      </c>
      <c r="AP86" s="108" t="s">
        <v>503</v>
      </c>
      <c r="AQ86" s="108" t="s">
        <v>503</v>
      </c>
      <c r="AR86" s="108" t="s">
        <v>503</v>
      </c>
      <c r="AS86" s="118" t="s">
        <v>502</v>
      </c>
      <c r="AT86" s="118" t="s">
        <v>502</v>
      </c>
      <c r="AU86" s="118" t="s">
        <v>502</v>
      </c>
      <c r="AV86" s="108" t="s">
        <v>503</v>
      </c>
      <c r="AW86" s="108" t="s">
        <v>503</v>
      </c>
      <c r="AX86" s="108" t="s">
        <v>503</v>
      </c>
      <c r="AY86" s="108" t="s">
        <v>503</v>
      </c>
      <c r="AZ86" s="108" t="s">
        <v>503</v>
      </c>
      <c r="BA86" s="108" t="s">
        <v>503</v>
      </c>
      <c r="BB86" s="108" t="s">
        <v>503</v>
      </c>
      <c r="BC86" s="108" t="s">
        <v>503</v>
      </c>
      <c r="BD86" s="108" t="s">
        <v>503</v>
      </c>
      <c r="BE86" s="118" t="s">
        <v>502</v>
      </c>
      <c r="BF86" s="118" t="s">
        <v>502</v>
      </c>
      <c r="BG86" s="118" t="s">
        <v>502</v>
      </c>
      <c r="BH86" s="108" t="s">
        <v>503</v>
      </c>
      <c r="BI86" s="108" t="s">
        <v>503</v>
      </c>
      <c r="BJ86" s="108" t="s">
        <v>503</v>
      </c>
      <c r="BK86" s="108" t="s">
        <v>503</v>
      </c>
      <c r="BL86" s="108" t="s">
        <v>503</v>
      </c>
      <c r="BM86" s="108" t="s">
        <v>503</v>
      </c>
      <c r="BN86" s="108" t="s">
        <v>503</v>
      </c>
      <c r="BO86" s="108" t="s">
        <v>503</v>
      </c>
      <c r="BP86" s="108" t="s">
        <v>503</v>
      </c>
      <c r="BQ86" s="108" t="s">
        <v>503</v>
      </c>
      <c r="BR86" s="108" t="s">
        <v>503</v>
      </c>
      <c r="BS86" s="108" t="s">
        <v>503</v>
      </c>
      <c r="BT86" s="108" t="s">
        <v>503</v>
      </c>
      <c r="BU86" s="108" t="s">
        <v>503</v>
      </c>
      <c r="BV86" s="108" t="s">
        <v>503</v>
      </c>
      <c r="BW86" s="108" t="s">
        <v>503</v>
      </c>
      <c r="BX86" s="108" t="s">
        <v>503</v>
      </c>
      <c r="BY86" s="108" t="s">
        <v>503</v>
      </c>
      <c r="BZ86" s="108" t="s">
        <v>503</v>
      </c>
      <c r="CA86" s="108" t="s">
        <v>503</v>
      </c>
      <c r="CB86" s="108" t="s">
        <v>503</v>
      </c>
      <c r="CC86" s="108" t="s">
        <v>503</v>
      </c>
      <c r="CD86" s="108" t="s">
        <v>503</v>
      </c>
      <c r="CE86" s="108" t="s">
        <v>503</v>
      </c>
      <c r="CF86" s="108" t="s">
        <v>503</v>
      </c>
      <c r="CG86" s="108" t="s">
        <v>503</v>
      </c>
      <c r="CH86" s="108" t="s">
        <v>503</v>
      </c>
      <c r="CI86" s="108" t="s">
        <v>503</v>
      </c>
      <c r="CJ86" s="108" t="s">
        <v>503</v>
      </c>
      <c r="CK86" s="108" t="s">
        <v>503</v>
      </c>
      <c r="CL86" s="108" t="s">
        <v>503</v>
      </c>
      <c r="CM86" s="108" t="s">
        <v>503</v>
      </c>
      <c r="CN86" s="108" t="s">
        <v>503</v>
      </c>
      <c r="CO86" s="108" t="s">
        <v>503</v>
      </c>
      <c r="CP86" s="108" t="s">
        <v>503</v>
      </c>
      <c r="CQ86" s="108" t="s">
        <v>503</v>
      </c>
      <c r="CR86" s="108" t="s">
        <v>503</v>
      </c>
      <c r="CS86" s="108" t="s">
        <v>503</v>
      </c>
      <c r="CT86" s="108" t="s">
        <v>503</v>
      </c>
      <c r="CU86" s="108" t="s">
        <v>503</v>
      </c>
      <c r="CV86" s="108" t="s">
        <v>503</v>
      </c>
      <c r="CW86" s="108" t="s">
        <v>503</v>
      </c>
      <c r="CX86" s="108" t="s">
        <v>503</v>
      </c>
      <c r="CY86" s="108" t="s">
        <v>503</v>
      </c>
      <c r="CZ86" s="108" t="s">
        <v>503</v>
      </c>
      <c r="DA86" s="108" t="s">
        <v>503</v>
      </c>
      <c r="DB86" s="108" t="s">
        <v>503</v>
      </c>
      <c r="DC86" s="108" t="s">
        <v>503</v>
      </c>
      <c r="DD86" s="108" t="s">
        <v>503</v>
      </c>
      <c r="DE86" s="108" t="s">
        <v>503</v>
      </c>
      <c r="DF86" s="108" t="s">
        <v>503</v>
      </c>
      <c r="DG86" s="108" t="s">
        <v>503</v>
      </c>
      <c r="DH86" s="108" t="s">
        <v>503</v>
      </c>
      <c r="DI86" s="108" t="s">
        <v>503</v>
      </c>
      <c r="DJ86" s="108" t="s">
        <v>503</v>
      </c>
      <c r="DK86" s="108" t="s">
        <v>503</v>
      </c>
      <c r="DL86" s="108" t="s">
        <v>503</v>
      </c>
      <c r="DM86" s="108" t="s">
        <v>503</v>
      </c>
      <c r="DN86" s="108" t="s">
        <v>503</v>
      </c>
      <c r="DO86" s="108" t="s">
        <v>503</v>
      </c>
      <c r="DP86" s="47">
        <v>720000</v>
      </c>
      <c r="DQ86" s="159">
        <f t="shared" si="33"/>
        <v>136800</v>
      </c>
      <c r="DR86" s="47">
        <f t="shared" si="34"/>
        <v>856800</v>
      </c>
      <c r="DS86" s="118">
        <v>1380000</v>
      </c>
      <c r="DT86" s="119">
        <f t="shared" si="35"/>
        <v>262200</v>
      </c>
      <c r="DU86" s="118">
        <f t="shared" si="36"/>
        <v>1642200</v>
      </c>
      <c r="DV86" s="108" t="s">
        <v>503</v>
      </c>
      <c r="DW86" s="108" t="s">
        <v>503</v>
      </c>
      <c r="DX86" s="108" t="s">
        <v>503</v>
      </c>
      <c r="DY86" s="108" t="s">
        <v>503</v>
      </c>
      <c r="DZ86" s="108" t="s">
        <v>503</v>
      </c>
      <c r="EA86" s="108" t="s">
        <v>503</v>
      </c>
      <c r="EB86" s="108" t="s">
        <v>503</v>
      </c>
      <c r="EC86" s="108" t="s">
        <v>503</v>
      </c>
      <c r="ED86" s="108" t="s">
        <v>503</v>
      </c>
      <c r="EE86" s="108" t="s">
        <v>503</v>
      </c>
      <c r="EF86" s="108" t="s">
        <v>503</v>
      </c>
      <c r="EG86" s="108" t="s">
        <v>503</v>
      </c>
      <c r="EH86" s="108" t="s">
        <v>503</v>
      </c>
      <c r="EI86" s="108" t="s">
        <v>503</v>
      </c>
      <c r="EJ86" s="108" t="s">
        <v>503</v>
      </c>
      <c r="EK86" s="108" t="s">
        <v>503</v>
      </c>
      <c r="EL86" s="108" t="s">
        <v>503</v>
      </c>
      <c r="EM86" s="108" t="s">
        <v>503</v>
      </c>
      <c r="EN86" s="108" t="s">
        <v>503</v>
      </c>
      <c r="EO86" s="108" t="s">
        <v>503</v>
      </c>
      <c r="EP86" s="108" t="s">
        <v>503</v>
      </c>
      <c r="EQ86" s="108" t="s">
        <v>502</v>
      </c>
      <c r="ER86" s="108" t="s">
        <v>502</v>
      </c>
      <c r="ES86" s="108" t="s">
        <v>502</v>
      </c>
      <c r="ET86" s="108" t="s">
        <v>502</v>
      </c>
      <c r="EU86" s="108" t="s">
        <v>502</v>
      </c>
      <c r="EV86" s="108" t="s">
        <v>502</v>
      </c>
      <c r="EW86" s="108" t="s">
        <v>502</v>
      </c>
      <c r="EX86" s="108" t="s">
        <v>502</v>
      </c>
      <c r="EY86" s="108" t="s">
        <v>502</v>
      </c>
      <c r="EZ86" s="108" t="s">
        <v>502</v>
      </c>
      <c r="FA86" s="108" t="s">
        <v>502</v>
      </c>
      <c r="FB86" s="108" t="s">
        <v>502</v>
      </c>
      <c r="FC86" s="108" t="s">
        <v>502</v>
      </c>
      <c r="FD86" s="108" t="s">
        <v>502</v>
      </c>
      <c r="FE86" s="108" t="s">
        <v>502</v>
      </c>
      <c r="FF86" s="108" t="s">
        <v>503</v>
      </c>
      <c r="FG86" s="108" t="s">
        <v>503</v>
      </c>
      <c r="FH86" s="108" t="s">
        <v>503</v>
      </c>
      <c r="FI86" s="108" t="s">
        <v>503</v>
      </c>
      <c r="FJ86" s="108" t="s">
        <v>503</v>
      </c>
      <c r="FK86" s="108" t="s">
        <v>503</v>
      </c>
      <c r="FL86" s="108" t="s">
        <v>503</v>
      </c>
      <c r="FM86" s="108" t="s">
        <v>503</v>
      </c>
      <c r="FN86" s="108" t="s">
        <v>503</v>
      </c>
      <c r="FO86" s="108" t="s">
        <v>502</v>
      </c>
      <c r="FP86" s="108" t="s">
        <v>502</v>
      </c>
      <c r="FQ86" s="108" t="s">
        <v>502</v>
      </c>
      <c r="FR86" s="108" t="s">
        <v>502</v>
      </c>
      <c r="FS86" s="108" t="s">
        <v>502</v>
      </c>
      <c r="FT86" s="108" t="s">
        <v>502</v>
      </c>
      <c r="FU86" s="108" t="s">
        <v>502</v>
      </c>
      <c r="FV86" s="108" t="s">
        <v>502</v>
      </c>
      <c r="FW86" s="108" t="s">
        <v>502</v>
      </c>
      <c r="FX86" s="108" t="s">
        <v>503</v>
      </c>
      <c r="FY86" s="108" t="s">
        <v>503</v>
      </c>
      <c r="FZ86" s="108" t="s">
        <v>503</v>
      </c>
      <c r="GA86" s="108" t="s">
        <v>503</v>
      </c>
      <c r="GB86" s="108" t="s">
        <v>503</v>
      </c>
      <c r="GC86" s="108" t="s">
        <v>503</v>
      </c>
      <c r="GD86" s="108" t="s">
        <v>503</v>
      </c>
      <c r="GE86" s="108" t="s">
        <v>503</v>
      </c>
      <c r="GF86" s="108" t="s">
        <v>503</v>
      </c>
      <c r="GG86" s="108" t="s">
        <v>669</v>
      </c>
      <c r="GH86" s="108" t="s">
        <v>669</v>
      </c>
      <c r="GI86" s="108" t="s">
        <v>669</v>
      </c>
      <c r="GJ86" s="108" t="s">
        <v>669</v>
      </c>
      <c r="GK86" s="108" t="s">
        <v>669</v>
      </c>
      <c r="GL86" s="108" t="s">
        <v>669</v>
      </c>
      <c r="GM86" s="108" t="s">
        <v>502</v>
      </c>
      <c r="GN86" s="108" t="s">
        <v>502</v>
      </c>
      <c r="GO86" s="108" t="s">
        <v>502</v>
      </c>
      <c r="GP86" s="108" t="s">
        <v>664</v>
      </c>
      <c r="GQ86" s="108" t="s">
        <v>664</v>
      </c>
      <c r="GR86" s="108" t="s">
        <v>664</v>
      </c>
      <c r="GS86" s="108" t="s">
        <v>502</v>
      </c>
      <c r="GT86" s="108" t="s">
        <v>502</v>
      </c>
      <c r="GU86" s="108" t="s">
        <v>502</v>
      </c>
      <c r="GV86" s="108" t="s">
        <v>502</v>
      </c>
      <c r="GW86" s="108" t="s">
        <v>502</v>
      </c>
      <c r="GX86" s="108" t="s">
        <v>502</v>
      </c>
      <c r="GY86" s="108" t="s">
        <v>664</v>
      </c>
      <c r="GZ86" s="108" t="s">
        <v>664</v>
      </c>
      <c r="HA86" s="108" t="s">
        <v>664</v>
      </c>
      <c r="HB86" s="108" t="s">
        <v>664</v>
      </c>
      <c r="HC86" s="108" t="s">
        <v>664</v>
      </c>
      <c r="HD86" s="108" t="s">
        <v>664</v>
      </c>
      <c r="HE86" s="71">
        <v>1411770</v>
      </c>
      <c r="HF86" s="71">
        <f t="shared" si="37"/>
        <v>268236.3</v>
      </c>
      <c r="HG86" s="71">
        <f t="shared" si="38"/>
        <v>1680006.3</v>
      </c>
      <c r="HH86" s="108" t="s">
        <v>664</v>
      </c>
      <c r="HI86" s="108" t="s">
        <v>664</v>
      </c>
      <c r="HJ86" s="108" t="s">
        <v>664</v>
      </c>
      <c r="HK86" s="108" t="s">
        <v>664</v>
      </c>
      <c r="HL86" s="108" t="s">
        <v>664</v>
      </c>
      <c r="HM86" s="108" t="s">
        <v>664</v>
      </c>
      <c r="HN86" s="108" t="s">
        <v>664</v>
      </c>
      <c r="HO86" s="108" t="s">
        <v>664</v>
      </c>
      <c r="HP86" s="108" t="s">
        <v>664</v>
      </c>
      <c r="HQ86" s="108" t="s">
        <v>503</v>
      </c>
      <c r="HR86" s="108" t="s">
        <v>503</v>
      </c>
      <c r="HS86" s="108" t="s">
        <v>503</v>
      </c>
      <c r="HT86" s="108" t="s">
        <v>502</v>
      </c>
      <c r="HU86" s="108" t="s">
        <v>502</v>
      </c>
      <c r="HV86" s="108" t="s">
        <v>502</v>
      </c>
      <c r="HW86" s="108" t="s">
        <v>503</v>
      </c>
      <c r="HX86" s="108" t="s">
        <v>503</v>
      </c>
      <c r="HY86" s="108" t="s">
        <v>503</v>
      </c>
      <c r="HZ86" s="118" t="s">
        <v>502</v>
      </c>
      <c r="IA86" s="118" t="s">
        <v>502</v>
      </c>
      <c r="IB86" s="118" t="s">
        <v>502</v>
      </c>
      <c r="IC86" s="118" t="s">
        <v>502</v>
      </c>
      <c r="ID86" s="118" t="s">
        <v>502</v>
      </c>
      <c r="IE86" s="118" t="s">
        <v>502</v>
      </c>
      <c r="IF86" s="118" t="s">
        <v>502</v>
      </c>
      <c r="IG86" s="118" t="s">
        <v>502</v>
      </c>
      <c r="IH86" s="118" t="s">
        <v>502</v>
      </c>
      <c r="II86" s="118" t="s">
        <v>502</v>
      </c>
      <c r="IJ86" s="118" t="s">
        <v>502</v>
      </c>
      <c r="IK86" s="118" t="s">
        <v>502</v>
      </c>
      <c r="IL86" s="118" t="s">
        <v>502</v>
      </c>
      <c r="IM86" s="118" t="s">
        <v>502</v>
      </c>
      <c r="IN86" s="118" t="s">
        <v>502</v>
      </c>
      <c r="IO86" s="120" t="s">
        <v>503</v>
      </c>
      <c r="IP86" s="120" t="s">
        <v>503</v>
      </c>
      <c r="IQ86" s="120" t="s">
        <v>503</v>
      </c>
      <c r="IR86" s="118" t="s">
        <v>669</v>
      </c>
      <c r="IS86" s="118" t="s">
        <v>669</v>
      </c>
      <c r="IT86" s="118" t="s">
        <v>669</v>
      </c>
      <c r="IU86" s="120" t="s">
        <v>503</v>
      </c>
      <c r="IV86" s="120" t="s">
        <v>503</v>
      </c>
      <c r="IW86" s="120" t="s">
        <v>503</v>
      </c>
      <c r="IX86" s="120" t="s">
        <v>503</v>
      </c>
      <c r="IY86" s="120" t="s">
        <v>503</v>
      </c>
      <c r="IZ86" s="120" t="s">
        <v>503</v>
      </c>
      <c r="JA86" s="120" t="s">
        <v>503</v>
      </c>
      <c r="JB86" s="120" t="s">
        <v>503</v>
      </c>
      <c r="JC86" s="120" t="s">
        <v>503</v>
      </c>
      <c r="JD86" s="120" t="s">
        <v>664</v>
      </c>
      <c r="JE86" s="120" t="s">
        <v>664</v>
      </c>
      <c r="JF86" s="120" t="s">
        <v>664</v>
      </c>
      <c r="JG86" s="118" t="s">
        <v>502</v>
      </c>
      <c r="JH86" s="118" t="s">
        <v>502</v>
      </c>
      <c r="JI86" s="118" t="s">
        <v>502</v>
      </c>
      <c r="JJ86" s="118" t="s">
        <v>502</v>
      </c>
      <c r="JK86" s="118" t="s">
        <v>502</v>
      </c>
      <c r="JL86" s="118" t="s">
        <v>502</v>
      </c>
      <c r="JM86" s="118" t="s">
        <v>502</v>
      </c>
      <c r="JN86" s="118" t="s">
        <v>502</v>
      </c>
      <c r="JO86" s="118" t="s">
        <v>502</v>
      </c>
      <c r="JP86" s="110">
        <v>881300</v>
      </c>
      <c r="JQ86" s="111">
        <v>1052953.8326719999</v>
      </c>
      <c r="JR86" s="112">
        <f t="shared" si="30"/>
        <v>3</v>
      </c>
      <c r="JS86" s="113">
        <v>1393500</v>
      </c>
      <c r="JT86" s="114">
        <f t="shared" si="32"/>
        <v>1393500</v>
      </c>
      <c r="JU86" s="177"/>
    </row>
    <row r="87" spans="1:281" ht="129" customHeight="1" x14ac:dyDescent="0.2">
      <c r="A87" s="98">
        <v>182</v>
      </c>
      <c r="B87" s="99">
        <v>182</v>
      </c>
      <c r="C87" s="39" t="s">
        <v>12</v>
      </c>
      <c r="D87" s="100" t="s">
        <v>38</v>
      </c>
      <c r="E87" s="39">
        <v>82150000</v>
      </c>
      <c r="F87" s="101" t="s">
        <v>191</v>
      </c>
      <c r="G87" s="102" t="s">
        <v>54</v>
      </c>
      <c r="H87" s="103" t="s">
        <v>501</v>
      </c>
      <c r="I87" s="108" t="s">
        <v>503</v>
      </c>
      <c r="J87" s="108" t="s">
        <v>503</v>
      </c>
      <c r="K87" s="108" t="s">
        <v>503</v>
      </c>
      <c r="L87" s="118" t="s">
        <v>502</v>
      </c>
      <c r="M87" s="118" t="s">
        <v>502</v>
      </c>
      <c r="N87" s="118" t="s">
        <v>502</v>
      </c>
      <c r="O87" s="108" t="s">
        <v>503</v>
      </c>
      <c r="P87" s="108" t="s">
        <v>503</v>
      </c>
      <c r="Q87" s="108" t="s">
        <v>503</v>
      </c>
      <c r="R87" s="108" t="s">
        <v>503</v>
      </c>
      <c r="S87" s="108" t="s">
        <v>503</v>
      </c>
      <c r="T87" s="108" t="s">
        <v>503</v>
      </c>
      <c r="U87" s="118" t="s">
        <v>502</v>
      </c>
      <c r="V87" s="118" t="s">
        <v>502</v>
      </c>
      <c r="W87" s="118" t="s">
        <v>502</v>
      </c>
      <c r="X87" s="108" t="s">
        <v>503</v>
      </c>
      <c r="Y87" s="108" t="s">
        <v>503</v>
      </c>
      <c r="Z87" s="108" t="s">
        <v>503</v>
      </c>
      <c r="AA87" s="108" t="s">
        <v>503</v>
      </c>
      <c r="AB87" s="108" t="s">
        <v>503</v>
      </c>
      <c r="AC87" s="108" t="s">
        <v>503</v>
      </c>
      <c r="AD87" s="108" t="s">
        <v>503</v>
      </c>
      <c r="AE87" s="108" t="s">
        <v>503</v>
      </c>
      <c r="AF87" s="108" t="s">
        <v>503</v>
      </c>
      <c r="AG87" s="108" t="s">
        <v>503</v>
      </c>
      <c r="AH87" s="108" t="s">
        <v>503</v>
      </c>
      <c r="AI87" s="108" t="s">
        <v>503</v>
      </c>
      <c r="AJ87" s="108" t="s">
        <v>503</v>
      </c>
      <c r="AK87" s="108" t="s">
        <v>503</v>
      </c>
      <c r="AL87" s="108" t="s">
        <v>503</v>
      </c>
      <c r="AM87" s="108" t="s">
        <v>503</v>
      </c>
      <c r="AN87" s="108" t="s">
        <v>503</v>
      </c>
      <c r="AO87" s="108" t="s">
        <v>503</v>
      </c>
      <c r="AP87" s="108" t="s">
        <v>503</v>
      </c>
      <c r="AQ87" s="108" t="s">
        <v>503</v>
      </c>
      <c r="AR87" s="108" t="s">
        <v>503</v>
      </c>
      <c r="AS87" s="118" t="s">
        <v>502</v>
      </c>
      <c r="AT87" s="118" t="s">
        <v>502</v>
      </c>
      <c r="AU87" s="118" t="s">
        <v>502</v>
      </c>
      <c r="AV87" s="108" t="s">
        <v>503</v>
      </c>
      <c r="AW87" s="108" t="s">
        <v>503</v>
      </c>
      <c r="AX87" s="108" t="s">
        <v>503</v>
      </c>
      <c r="AY87" s="108" t="s">
        <v>503</v>
      </c>
      <c r="AZ87" s="108" t="s">
        <v>503</v>
      </c>
      <c r="BA87" s="108" t="s">
        <v>503</v>
      </c>
      <c r="BB87" s="108" t="s">
        <v>503</v>
      </c>
      <c r="BC87" s="108" t="s">
        <v>503</v>
      </c>
      <c r="BD87" s="108" t="s">
        <v>503</v>
      </c>
      <c r="BE87" s="118" t="s">
        <v>502</v>
      </c>
      <c r="BF87" s="118" t="s">
        <v>502</v>
      </c>
      <c r="BG87" s="118" t="s">
        <v>502</v>
      </c>
      <c r="BH87" s="108" t="s">
        <v>503</v>
      </c>
      <c r="BI87" s="108" t="s">
        <v>503</v>
      </c>
      <c r="BJ87" s="108" t="s">
        <v>503</v>
      </c>
      <c r="BK87" s="108" t="s">
        <v>503</v>
      </c>
      <c r="BL87" s="108" t="s">
        <v>503</v>
      </c>
      <c r="BM87" s="108" t="s">
        <v>503</v>
      </c>
      <c r="BN87" s="108" t="s">
        <v>503</v>
      </c>
      <c r="BO87" s="108" t="s">
        <v>503</v>
      </c>
      <c r="BP87" s="108" t="s">
        <v>503</v>
      </c>
      <c r="BQ87" s="108" t="s">
        <v>503</v>
      </c>
      <c r="BR87" s="108" t="s">
        <v>503</v>
      </c>
      <c r="BS87" s="108" t="s">
        <v>503</v>
      </c>
      <c r="BT87" s="108" t="s">
        <v>503</v>
      </c>
      <c r="BU87" s="108" t="s">
        <v>503</v>
      </c>
      <c r="BV87" s="108" t="s">
        <v>503</v>
      </c>
      <c r="BW87" s="108" t="s">
        <v>503</v>
      </c>
      <c r="BX87" s="108" t="s">
        <v>503</v>
      </c>
      <c r="BY87" s="108" t="s">
        <v>503</v>
      </c>
      <c r="BZ87" s="108" t="s">
        <v>503</v>
      </c>
      <c r="CA87" s="108" t="s">
        <v>503</v>
      </c>
      <c r="CB87" s="108" t="s">
        <v>503</v>
      </c>
      <c r="CC87" s="108" t="s">
        <v>503</v>
      </c>
      <c r="CD87" s="108" t="s">
        <v>503</v>
      </c>
      <c r="CE87" s="108" t="s">
        <v>503</v>
      </c>
      <c r="CF87" s="108" t="s">
        <v>503</v>
      </c>
      <c r="CG87" s="108" t="s">
        <v>503</v>
      </c>
      <c r="CH87" s="108" t="s">
        <v>503</v>
      </c>
      <c r="CI87" s="108" t="s">
        <v>503</v>
      </c>
      <c r="CJ87" s="108" t="s">
        <v>503</v>
      </c>
      <c r="CK87" s="108" t="s">
        <v>503</v>
      </c>
      <c r="CL87" s="108" t="s">
        <v>503</v>
      </c>
      <c r="CM87" s="108" t="s">
        <v>503</v>
      </c>
      <c r="CN87" s="108" t="s">
        <v>503</v>
      </c>
      <c r="CO87" s="108" t="s">
        <v>503</v>
      </c>
      <c r="CP87" s="108" t="s">
        <v>503</v>
      </c>
      <c r="CQ87" s="108" t="s">
        <v>503</v>
      </c>
      <c r="CR87" s="108" t="s">
        <v>503</v>
      </c>
      <c r="CS87" s="108" t="s">
        <v>503</v>
      </c>
      <c r="CT87" s="108" t="s">
        <v>503</v>
      </c>
      <c r="CU87" s="108" t="s">
        <v>503</v>
      </c>
      <c r="CV87" s="108" t="s">
        <v>503</v>
      </c>
      <c r="CW87" s="108" t="s">
        <v>503</v>
      </c>
      <c r="CX87" s="108" t="s">
        <v>503</v>
      </c>
      <c r="CY87" s="108" t="s">
        <v>503</v>
      </c>
      <c r="CZ87" s="108" t="s">
        <v>503</v>
      </c>
      <c r="DA87" s="108" t="s">
        <v>503</v>
      </c>
      <c r="DB87" s="108" t="s">
        <v>503</v>
      </c>
      <c r="DC87" s="108" t="s">
        <v>503</v>
      </c>
      <c r="DD87" s="108" t="s">
        <v>503</v>
      </c>
      <c r="DE87" s="108" t="s">
        <v>503</v>
      </c>
      <c r="DF87" s="108" t="s">
        <v>503</v>
      </c>
      <c r="DG87" s="108" t="s">
        <v>503</v>
      </c>
      <c r="DH87" s="108" t="s">
        <v>503</v>
      </c>
      <c r="DI87" s="108" t="s">
        <v>503</v>
      </c>
      <c r="DJ87" s="108" t="s">
        <v>503</v>
      </c>
      <c r="DK87" s="108" t="s">
        <v>503</v>
      </c>
      <c r="DL87" s="108" t="s">
        <v>503</v>
      </c>
      <c r="DM87" s="108" t="s">
        <v>503</v>
      </c>
      <c r="DN87" s="108" t="s">
        <v>503</v>
      </c>
      <c r="DO87" s="108" t="s">
        <v>503</v>
      </c>
      <c r="DP87" s="108" t="s">
        <v>669</v>
      </c>
      <c r="DQ87" s="108" t="s">
        <v>669</v>
      </c>
      <c r="DR87" s="108" t="s">
        <v>669</v>
      </c>
      <c r="DS87" s="108" t="s">
        <v>669</v>
      </c>
      <c r="DT87" s="108" t="s">
        <v>669</v>
      </c>
      <c r="DU87" s="108" t="s">
        <v>669</v>
      </c>
      <c r="DV87" s="108" t="s">
        <v>503</v>
      </c>
      <c r="DW87" s="108" t="s">
        <v>503</v>
      </c>
      <c r="DX87" s="108" t="s">
        <v>503</v>
      </c>
      <c r="DY87" s="108" t="s">
        <v>503</v>
      </c>
      <c r="DZ87" s="108" t="s">
        <v>503</v>
      </c>
      <c r="EA87" s="108" t="s">
        <v>503</v>
      </c>
      <c r="EB87" s="108" t="s">
        <v>503</v>
      </c>
      <c r="EC87" s="108" t="s">
        <v>503</v>
      </c>
      <c r="ED87" s="108" t="s">
        <v>503</v>
      </c>
      <c r="EE87" s="108" t="s">
        <v>503</v>
      </c>
      <c r="EF87" s="108" t="s">
        <v>503</v>
      </c>
      <c r="EG87" s="108" t="s">
        <v>503</v>
      </c>
      <c r="EH87" s="108" t="s">
        <v>503</v>
      </c>
      <c r="EI87" s="108" t="s">
        <v>503</v>
      </c>
      <c r="EJ87" s="108" t="s">
        <v>503</v>
      </c>
      <c r="EK87" s="108" t="s">
        <v>503</v>
      </c>
      <c r="EL87" s="108" t="s">
        <v>503</v>
      </c>
      <c r="EM87" s="108" t="s">
        <v>503</v>
      </c>
      <c r="EN87" s="108" t="s">
        <v>503</v>
      </c>
      <c r="EO87" s="108" t="s">
        <v>503</v>
      </c>
      <c r="EP87" s="108" t="s">
        <v>503</v>
      </c>
      <c r="EQ87" s="108" t="s">
        <v>502</v>
      </c>
      <c r="ER87" s="108" t="s">
        <v>502</v>
      </c>
      <c r="ES87" s="108" t="s">
        <v>502</v>
      </c>
      <c r="ET87" s="108" t="s">
        <v>502</v>
      </c>
      <c r="EU87" s="108" t="s">
        <v>502</v>
      </c>
      <c r="EV87" s="108" t="s">
        <v>502</v>
      </c>
      <c r="EW87" s="108" t="s">
        <v>502</v>
      </c>
      <c r="EX87" s="108" t="s">
        <v>502</v>
      </c>
      <c r="EY87" s="108" t="s">
        <v>502</v>
      </c>
      <c r="EZ87" s="108" t="s">
        <v>502</v>
      </c>
      <c r="FA87" s="108" t="s">
        <v>502</v>
      </c>
      <c r="FB87" s="108" t="s">
        <v>502</v>
      </c>
      <c r="FC87" s="108" t="s">
        <v>502</v>
      </c>
      <c r="FD87" s="108" t="s">
        <v>502</v>
      </c>
      <c r="FE87" s="108" t="s">
        <v>502</v>
      </c>
      <c r="FF87" s="108" t="s">
        <v>503</v>
      </c>
      <c r="FG87" s="108" t="s">
        <v>503</v>
      </c>
      <c r="FH87" s="108" t="s">
        <v>503</v>
      </c>
      <c r="FI87" s="108" t="s">
        <v>503</v>
      </c>
      <c r="FJ87" s="108" t="s">
        <v>503</v>
      </c>
      <c r="FK87" s="108" t="s">
        <v>503</v>
      </c>
      <c r="FL87" s="108" t="s">
        <v>503</v>
      </c>
      <c r="FM87" s="108" t="s">
        <v>503</v>
      </c>
      <c r="FN87" s="108" t="s">
        <v>503</v>
      </c>
      <c r="FO87" s="108" t="s">
        <v>502</v>
      </c>
      <c r="FP87" s="108" t="s">
        <v>502</v>
      </c>
      <c r="FQ87" s="108" t="s">
        <v>502</v>
      </c>
      <c r="FR87" s="108" t="s">
        <v>502</v>
      </c>
      <c r="FS87" s="108" t="s">
        <v>502</v>
      </c>
      <c r="FT87" s="108" t="s">
        <v>502</v>
      </c>
      <c r="FU87" s="108" t="s">
        <v>502</v>
      </c>
      <c r="FV87" s="108" t="s">
        <v>502</v>
      </c>
      <c r="FW87" s="108" t="s">
        <v>502</v>
      </c>
      <c r="FX87" s="108" t="s">
        <v>503</v>
      </c>
      <c r="FY87" s="108" t="s">
        <v>503</v>
      </c>
      <c r="FZ87" s="108" t="s">
        <v>503</v>
      </c>
      <c r="GA87" s="108" t="s">
        <v>503</v>
      </c>
      <c r="GB87" s="108" t="s">
        <v>503</v>
      </c>
      <c r="GC87" s="108" t="s">
        <v>503</v>
      </c>
      <c r="GD87" s="108" t="s">
        <v>503</v>
      </c>
      <c r="GE87" s="108" t="s">
        <v>503</v>
      </c>
      <c r="GF87" s="108" t="s">
        <v>503</v>
      </c>
      <c r="GG87" s="108" t="s">
        <v>669</v>
      </c>
      <c r="GH87" s="108" t="s">
        <v>669</v>
      </c>
      <c r="GI87" s="108" t="s">
        <v>669</v>
      </c>
      <c r="GJ87" s="181">
        <f>620379/6</f>
        <v>103396.5</v>
      </c>
      <c r="GK87" s="181">
        <f>+GJ87*19%</f>
        <v>19645.334999999999</v>
      </c>
      <c r="GL87" s="181">
        <f>SUM(GJ87+GK87)*2</f>
        <v>246083.66999999998</v>
      </c>
      <c r="GM87" s="108" t="s">
        <v>502</v>
      </c>
      <c r="GN87" s="108" t="s">
        <v>502</v>
      </c>
      <c r="GO87" s="108" t="s">
        <v>502</v>
      </c>
      <c r="GP87" s="108" t="s">
        <v>664</v>
      </c>
      <c r="GQ87" s="108" t="s">
        <v>664</v>
      </c>
      <c r="GR87" s="108" t="s">
        <v>664</v>
      </c>
      <c r="GS87" s="108" t="s">
        <v>502</v>
      </c>
      <c r="GT87" s="108" t="s">
        <v>502</v>
      </c>
      <c r="GU87" s="108" t="s">
        <v>502</v>
      </c>
      <c r="GV87" s="108" t="s">
        <v>502</v>
      </c>
      <c r="GW87" s="108" t="s">
        <v>502</v>
      </c>
      <c r="GX87" s="108" t="s">
        <v>502</v>
      </c>
      <c r="GY87" s="108" t="s">
        <v>664</v>
      </c>
      <c r="GZ87" s="108" t="s">
        <v>664</v>
      </c>
      <c r="HA87" s="108" t="s">
        <v>664</v>
      </c>
      <c r="HB87" s="108" t="s">
        <v>664</v>
      </c>
      <c r="HC87" s="108" t="s">
        <v>664</v>
      </c>
      <c r="HD87" s="108" t="s">
        <v>664</v>
      </c>
      <c r="HE87" s="108" t="s">
        <v>664</v>
      </c>
      <c r="HF87" s="108" t="s">
        <v>664</v>
      </c>
      <c r="HG87" s="108" t="s">
        <v>664</v>
      </c>
      <c r="HH87" s="108" t="s">
        <v>664</v>
      </c>
      <c r="HI87" s="108" t="s">
        <v>664</v>
      </c>
      <c r="HJ87" s="108" t="s">
        <v>664</v>
      </c>
      <c r="HK87" s="108" t="s">
        <v>664</v>
      </c>
      <c r="HL87" s="108" t="s">
        <v>664</v>
      </c>
      <c r="HM87" s="108" t="s">
        <v>664</v>
      </c>
      <c r="HN87" s="108" t="s">
        <v>664</v>
      </c>
      <c r="HO87" s="108" t="s">
        <v>664</v>
      </c>
      <c r="HP87" s="108" t="s">
        <v>664</v>
      </c>
      <c r="HQ87" s="108" t="s">
        <v>503</v>
      </c>
      <c r="HR87" s="108" t="s">
        <v>503</v>
      </c>
      <c r="HS87" s="108" t="s">
        <v>503</v>
      </c>
      <c r="HT87" s="108" t="s">
        <v>502</v>
      </c>
      <c r="HU87" s="108" t="s">
        <v>502</v>
      </c>
      <c r="HV87" s="108" t="s">
        <v>502</v>
      </c>
      <c r="HW87" s="108" t="s">
        <v>503</v>
      </c>
      <c r="HX87" s="108" t="s">
        <v>503</v>
      </c>
      <c r="HY87" s="108" t="s">
        <v>503</v>
      </c>
      <c r="HZ87" s="118" t="s">
        <v>502</v>
      </c>
      <c r="IA87" s="118" t="s">
        <v>502</v>
      </c>
      <c r="IB87" s="118" t="s">
        <v>502</v>
      </c>
      <c r="IC87" s="118" t="s">
        <v>502</v>
      </c>
      <c r="ID87" s="118" t="s">
        <v>502</v>
      </c>
      <c r="IE87" s="118" t="s">
        <v>502</v>
      </c>
      <c r="IF87" s="118" t="s">
        <v>502</v>
      </c>
      <c r="IG87" s="118" t="s">
        <v>502</v>
      </c>
      <c r="IH87" s="118" t="s">
        <v>502</v>
      </c>
      <c r="II87" s="118" t="s">
        <v>502</v>
      </c>
      <c r="IJ87" s="118" t="s">
        <v>502</v>
      </c>
      <c r="IK87" s="118" t="s">
        <v>502</v>
      </c>
      <c r="IL87" s="118" t="s">
        <v>502</v>
      </c>
      <c r="IM87" s="118" t="s">
        <v>502</v>
      </c>
      <c r="IN87" s="118" t="s">
        <v>502</v>
      </c>
      <c r="IO87" s="120" t="s">
        <v>503</v>
      </c>
      <c r="IP87" s="120" t="s">
        <v>503</v>
      </c>
      <c r="IQ87" s="120" t="s">
        <v>503</v>
      </c>
      <c r="IR87" s="118" t="s">
        <v>669</v>
      </c>
      <c r="IS87" s="118" t="s">
        <v>669</v>
      </c>
      <c r="IT87" s="118" t="s">
        <v>669</v>
      </c>
      <c r="IU87" s="120" t="s">
        <v>503</v>
      </c>
      <c r="IV87" s="120" t="s">
        <v>503</v>
      </c>
      <c r="IW87" s="120" t="s">
        <v>503</v>
      </c>
      <c r="IX87" s="120" t="s">
        <v>503</v>
      </c>
      <c r="IY87" s="120" t="s">
        <v>503</v>
      </c>
      <c r="IZ87" s="120" t="s">
        <v>503</v>
      </c>
      <c r="JA87" s="120" t="s">
        <v>503</v>
      </c>
      <c r="JB87" s="120" t="s">
        <v>503</v>
      </c>
      <c r="JC87" s="120" t="s">
        <v>503</v>
      </c>
      <c r="JD87" s="120" t="s">
        <v>664</v>
      </c>
      <c r="JE87" s="120" t="s">
        <v>664</v>
      </c>
      <c r="JF87" s="120" t="s">
        <v>664</v>
      </c>
      <c r="JG87" s="118" t="s">
        <v>502</v>
      </c>
      <c r="JH87" s="118" t="s">
        <v>502</v>
      </c>
      <c r="JI87" s="118" t="s">
        <v>502</v>
      </c>
      <c r="JJ87" s="118" t="s">
        <v>502</v>
      </c>
      <c r="JK87" s="118" t="s">
        <v>502</v>
      </c>
      <c r="JL87" s="118" t="s">
        <v>502</v>
      </c>
      <c r="JM87" s="118" t="s">
        <v>502</v>
      </c>
      <c r="JN87" s="118" t="s">
        <v>502</v>
      </c>
      <c r="JO87" s="118" t="s">
        <v>502</v>
      </c>
      <c r="JP87" s="110" t="e">
        <v>#N/A</v>
      </c>
      <c r="JQ87" s="111" t="e">
        <v>#N/A</v>
      </c>
      <c r="JR87" s="112">
        <f t="shared" si="30"/>
        <v>1</v>
      </c>
      <c r="JS87" s="113">
        <f t="shared" si="31"/>
        <v>246083.66999999998</v>
      </c>
      <c r="JT87" s="114">
        <f t="shared" si="32"/>
        <v>246100</v>
      </c>
      <c r="JU87" s="177"/>
    </row>
    <row r="88" spans="1:281" ht="101.25" customHeight="1" x14ac:dyDescent="0.2">
      <c r="A88" s="98">
        <v>183</v>
      </c>
      <c r="B88" s="99">
        <v>183</v>
      </c>
      <c r="C88" s="39" t="s">
        <v>12</v>
      </c>
      <c r="D88" s="100" t="s">
        <v>39</v>
      </c>
      <c r="E88" s="39">
        <v>85101600</v>
      </c>
      <c r="F88" s="101" t="s">
        <v>192</v>
      </c>
      <c r="G88" s="102" t="s">
        <v>54</v>
      </c>
      <c r="H88" s="103" t="s">
        <v>501</v>
      </c>
      <c r="I88" s="108" t="s">
        <v>503</v>
      </c>
      <c r="J88" s="108" t="s">
        <v>503</v>
      </c>
      <c r="K88" s="108" t="s">
        <v>503</v>
      </c>
      <c r="L88" s="118" t="s">
        <v>502</v>
      </c>
      <c r="M88" s="118" t="s">
        <v>502</v>
      </c>
      <c r="N88" s="118" t="s">
        <v>502</v>
      </c>
      <c r="O88" s="108" t="s">
        <v>503</v>
      </c>
      <c r="P88" s="108" t="s">
        <v>503</v>
      </c>
      <c r="Q88" s="108" t="s">
        <v>503</v>
      </c>
      <c r="R88" s="108" t="s">
        <v>503</v>
      </c>
      <c r="S88" s="108" t="s">
        <v>503</v>
      </c>
      <c r="T88" s="108" t="s">
        <v>503</v>
      </c>
      <c r="U88" s="118" t="s">
        <v>502</v>
      </c>
      <c r="V88" s="118" t="s">
        <v>502</v>
      </c>
      <c r="W88" s="118" t="s">
        <v>502</v>
      </c>
      <c r="X88" s="108" t="s">
        <v>503</v>
      </c>
      <c r="Y88" s="108" t="s">
        <v>503</v>
      </c>
      <c r="Z88" s="108" t="s">
        <v>503</v>
      </c>
      <c r="AA88" s="108" t="s">
        <v>503</v>
      </c>
      <c r="AB88" s="108" t="s">
        <v>503</v>
      </c>
      <c r="AC88" s="108" t="s">
        <v>503</v>
      </c>
      <c r="AD88" s="108" t="s">
        <v>503</v>
      </c>
      <c r="AE88" s="108" t="s">
        <v>503</v>
      </c>
      <c r="AF88" s="108" t="s">
        <v>503</v>
      </c>
      <c r="AG88" s="108" t="s">
        <v>503</v>
      </c>
      <c r="AH88" s="108" t="s">
        <v>503</v>
      </c>
      <c r="AI88" s="108" t="s">
        <v>503</v>
      </c>
      <c r="AJ88" s="108" t="s">
        <v>503</v>
      </c>
      <c r="AK88" s="108" t="s">
        <v>503</v>
      </c>
      <c r="AL88" s="108" t="s">
        <v>503</v>
      </c>
      <c r="AM88" s="108" t="s">
        <v>503</v>
      </c>
      <c r="AN88" s="108" t="s">
        <v>503</v>
      </c>
      <c r="AO88" s="108" t="s">
        <v>503</v>
      </c>
      <c r="AP88" s="108" t="s">
        <v>503</v>
      </c>
      <c r="AQ88" s="108" t="s">
        <v>503</v>
      </c>
      <c r="AR88" s="108" t="s">
        <v>503</v>
      </c>
      <c r="AS88" s="118" t="s">
        <v>502</v>
      </c>
      <c r="AT88" s="118" t="s">
        <v>502</v>
      </c>
      <c r="AU88" s="118" t="s">
        <v>502</v>
      </c>
      <c r="AV88" s="108" t="s">
        <v>503</v>
      </c>
      <c r="AW88" s="108" t="s">
        <v>503</v>
      </c>
      <c r="AX88" s="108" t="s">
        <v>503</v>
      </c>
      <c r="AY88" s="108" t="s">
        <v>503</v>
      </c>
      <c r="AZ88" s="108" t="s">
        <v>503</v>
      </c>
      <c r="BA88" s="108" t="s">
        <v>503</v>
      </c>
      <c r="BB88" s="108" t="s">
        <v>503</v>
      </c>
      <c r="BC88" s="108" t="s">
        <v>503</v>
      </c>
      <c r="BD88" s="108" t="s">
        <v>503</v>
      </c>
      <c r="BE88" s="118" t="s">
        <v>502</v>
      </c>
      <c r="BF88" s="118" t="s">
        <v>502</v>
      </c>
      <c r="BG88" s="118" t="s">
        <v>502</v>
      </c>
      <c r="BH88" s="108" t="s">
        <v>503</v>
      </c>
      <c r="BI88" s="108" t="s">
        <v>503</v>
      </c>
      <c r="BJ88" s="108" t="s">
        <v>503</v>
      </c>
      <c r="BK88" s="108" t="s">
        <v>503</v>
      </c>
      <c r="BL88" s="108" t="s">
        <v>503</v>
      </c>
      <c r="BM88" s="108" t="s">
        <v>503</v>
      </c>
      <c r="BN88" s="108" t="s">
        <v>503</v>
      </c>
      <c r="BO88" s="108" t="s">
        <v>503</v>
      </c>
      <c r="BP88" s="108" t="s">
        <v>503</v>
      </c>
      <c r="BQ88" s="108" t="s">
        <v>503</v>
      </c>
      <c r="BR88" s="108" t="s">
        <v>503</v>
      </c>
      <c r="BS88" s="108" t="s">
        <v>503</v>
      </c>
      <c r="BT88" s="108" t="s">
        <v>503</v>
      </c>
      <c r="BU88" s="108" t="s">
        <v>503</v>
      </c>
      <c r="BV88" s="108" t="s">
        <v>503</v>
      </c>
      <c r="BW88" s="108" t="s">
        <v>503</v>
      </c>
      <c r="BX88" s="108" t="s">
        <v>503</v>
      </c>
      <c r="BY88" s="108" t="s">
        <v>503</v>
      </c>
      <c r="BZ88" s="108" t="s">
        <v>503</v>
      </c>
      <c r="CA88" s="108" t="s">
        <v>503</v>
      </c>
      <c r="CB88" s="108" t="s">
        <v>503</v>
      </c>
      <c r="CC88" s="108" t="s">
        <v>503</v>
      </c>
      <c r="CD88" s="108" t="s">
        <v>503</v>
      </c>
      <c r="CE88" s="108" t="s">
        <v>503</v>
      </c>
      <c r="CF88" s="108" t="s">
        <v>503</v>
      </c>
      <c r="CG88" s="108" t="s">
        <v>503</v>
      </c>
      <c r="CH88" s="108" t="s">
        <v>503</v>
      </c>
      <c r="CI88" s="108" t="s">
        <v>503</v>
      </c>
      <c r="CJ88" s="108" t="s">
        <v>503</v>
      </c>
      <c r="CK88" s="108" t="s">
        <v>503</v>
      </c>
      <c r="CL88" s="108" t="s">
        <v>503</v>
      </c>
      <c r="CM88" s="108" t="s">
        <v>503</v>
      </c>
      <c r="CN88" s="108" t="s">
        <v>503</v>
      </c>
      <c r="CO88" s="108" t="s">
        <v>503</v>
      </c>
      <c r="CP88" s="108" t="s">
        <v>503</v>
      </c>
      <c r="CQ88" s="108" t="s">
        <v>503</v>
      </c>
      <c r="CR88" s="108" t="s">
        <v>503</v>
      </c>
      <c r="CS88" s="108" t="s">
        <v>503</v>
      </c>
      <c r="CT88" s="108" t="s">
        <v>503</v>
      </c>
      <c r="CU88" s="108" t="s">
        <v>503</v>
      </c>
      <c r="CV88" s="108" t="s">
        <v>503</v>
      </c>
      <c r="CW88" s="108" t="s">
        <v>503</v>
      </c>
      <c r="CX88" s="108" t="s">
        <v>503</v>
      </c>
      <c r="CY88" s="108" t="s">
        <v>503</v>
      </c>
      <c r="CZ88" s="108" t="s">
        <v>503</v>
      </c>
      <c r="DA88" s="108" t="s">
        <v>503</v>
      </c>
      <c r="DB88" s="108" t="s">
        <v>503</v>
      </c>
      <c r="DC88" s="108" t="s">
        <v>503</v>
      </c>
      <c r="DD88" s="108" t="s">
        <v>503</v>
      </c>
      <c r="DE88" s="108" t="s">
        <v>503</v>
      </c>
      <c r="DF88" s="108" t="s">
        <v>503</v>
      </c>
      <c r="DG88" s="108" t="s">
        <v>503</v>
      </c>
      <c r="DH88" s="108" t="s">
        <v>503</v>
      </c>
      <c r="DI88" s="108" t="s">
        <v>503</v>
      </c>
      <c r="DJ88" s="108" t="s">
        <v>503</v>
      </c>
      <c r="DK88" s="108" t="s">
        <v>503</v>
      </c>
      <c r="DL88" s="108" t="s">
        <v>503</v>
      </c>
      <c r="DM88" s="108" t="s">
        <v>503</v>
      </c>
      <c r="DN88" s="108" t="s">
        <v>503</v>
      </c>
      <c r="DO88" s="108" t="s">
        <v>503</v>
      </c>
      <c r="DP88" s="108" t="s">
        <v>669</v>
      </c>
      <c r="DQ88" s="108" t="s">
        <v>669</v>
      </c>
      <c r="DR88" s="108" t="s">
        <v>669</v>
      </c>
      <c r="DS88" s="108" t="s">
        <v>669</v>
      </c>
      <c r="DT88" s="108" t="s">
        <v>669</v>
      </c>
      <c r="DU88" s="108" t="s">
        <v>669</v>
      </c>
      <c r="DV88" s="108" t="s">
        <v>503</v>
      </c>
      <c r="DW88" s="108" t="s">
        <v>503</v>
      </c>
      <c r="DX88" s="108" t="s">
        <v>503</v>
      </c>
      <c r="DY88" s="108" t="s">
        <v>503</v>
      </c>
      <c r="DZ88" s="108" t="s">
        <v>503</v>
      </c>
      <c r="EA88" s="108" t="s">
        <v>503</v>
      </c>
      <c r="EB88" s="108" t="s">
        <v>503</v>
      </c>
      <c r="EC88" s="108" t="s">
        <v>503</v>
      </c>
      <c r="ED88" s="108" t="s">
        <v>503</v>
      </c>
      <c r="EE88" s="108" t="s">
        <v>503</v>
      </c>
      <c r="EF88" s="108" t="s">
        <v>503</v>
      </c>
      <c r="EG88" s="108" t="s">
        <v>503</v>
      </c>
      <c r="EH88" s="108" t="s">
        <v>503</v>
      </c>
      <c r="EI88" s="108" t="s">
        <v>503</v>
      </c>
      <c r="EJ88" s="108" t="s">
        <v>503</v>
      </c>
      <c r="EK88" s="108" t="s">
        <v>503</v>
      </c>
      <c r="EL88" s="108" t="s">
        <v>503</v>
      </c>
      <c r="EM88" s="108" t="s">
        <v>503</v>
      </c>
      <c r="EN88" s="108" t="s">
        <v>503</v>
      </c>
      <c r="EO88" s="108" t="s">
        <v>503</v>
      </c>
      <c r="EP88" s="108" t="s">
        <v>503</v>
      </c>
      <c r="EQ88" s="108" t="s">
        <v>502</v>
      </c>
      <c r="ER88" s="108" t="s">
        <v>502</v>
      </c>
      <c r="ES88" s="108" t="s">
        <v>502</v>
      </c>
      <c r="ET88" s="108" t="s">
        <v>502</v>
      </c>
      <c r="EU88" s="108" t="s">
        <v>502</v>
      </c>
      <c r="EV88" s="108" t="s">
        <v>502</v>
      </c>
      <c r="EW88" s="108" t="s">
        <v>502</v>
      </c>
      <c r="EX88" s="108" t="s">
        <v>502</v>
      </c>
      <c r="EY88" s="108" t="s">
        <v>502</v>
      </c>
      <c r="EZ88" s="108" t="s">
        <v>502</v>
      </c>
      <c r="FA88" s="108" t="s">
        <v>502</v>
      </c>
      <c r="FB88" s="108" t="s">
        <v>502</v>
      </c>
      <c r="FC88" s="108" t="s">
        <v>502</v>
      </c>
      <c r="FD88" s="108" t="s">
        <v>502</v>
      </c>
      <c r="FE88" s="108" t="s">
        <v>502</v>
      </c>
      <c r="FF88" s="108" t="s">
        <v>503</v>
      </c>
      <c r="FG88" s="108" t="s">
        <v>503</v>
      </c>
      <c r="FH88" s="108" t="s">
        <v>503</v>
      </c>
      <c r="FI88" s="108" t="s">
        <v>503</v>
      </c>
      <c r="FJ88" s="108" t="s">
        <v>503</v>
      </c>
      <c r="FK88" s="108" t="s">
        <v>503</v>
      </c>
      <c r="FL88" s="108" t="s">
        <v>503</v>
      </c>
      <c r="FM88" s="108" t="s">
        <v>503</v>
      </c>
      <c r="FN88" s="108" t="s">
        <v>503</v>
      </c>
      <c r="FO88" s="108" t="s">
        <v>502</v>
      </c>
      <c r="FP88" s="108" t="s">
        <v>502</v>
      </c>
      <c r="FQ88" s="108" t="s">
        <v>502</v>
      </c>
      <c r="FR88" s="108" t="s">
        <v>502</v>
      </c>
      <c r="FS88" s="108" t="s">
        <v>502</v>
      </c>
      <c r="FT88" s="108" t="s">
        <v>502</v>
      </c>
      <c r="FU88" s="108" t="s">
        <v>502</v>
      </c>
      <c r="FV88" s="108" t="s">
        <v>502</v>
      </c>
      <c r="FW88" s="108" t="s">
        <v>502</v>
      </c>
      <c r="FX88" s="108" t="s">
        <v>503</v>
      </c>
      <c r="FY88" s="108" t="s">
        <v>503</v>
      </c>
      <c r="FZ88" s="108" t="s">
        <v>503</v>
      </c>
      <c r="GA88" s="108" t="s">
        <v>503</v>
      </c>
      <c r="GB88" s="108" t="s">
        <v>503</v>
      </c>
      <c r="GC88" s="108" t="s">
        <v>503</v>
      </c>
      <c r="GD88" s="108" t="s">
        <v>503</v>
      </c>
      <c r="GE88" s="108" t="s">
        <v>503</v>
      </c>
      <c r="GF88" s="108" t="s">
        <v>503</v>
      </c>
      <c r="GG88" s="108" t="s">
        <v>669</v>
      </c>
      <c r="GH88" s="108" t="s">
        <v>669</v>
      </c>
      <c r="GI88" s="108" t="s">
        <v>669</v>
      </c>
      <c r="GJ88" s="108" t="s">
        <v>669</v>
      </c>
      <c r="GK88" s="108" t="s">
        <v>669</v>
      </c>
      <c r="GL88" s="108" t="s">
        <v>669</v>
      </c>
      <c r="GM88" s="108" t="s">
        <v>502</v>
      </c>
      <c r="GN88" s="108" t="s">
        <v>502</v>
      </c>
      <c r="GO88" s="108" t="s">
        <v>502</v>
      </c>
      <c r="GP88" s="108" t="s">
        <v>664</v>
      </c>
      <c r="GQ88" s="108" t="s">
        <v>664</v>
      </c>
      <c r="GR88" s="108" t="s">
        <v>664</v>
      </c>
      <c r="GS88" s="108" t="s">
        <v>502</v>
      </c>
      <c r="GT88" s="108" t="s">
        <v>502</v>
      </c>
      <c r="GU88" s="108" t="s">
        <v>502</v>
      </c>
      <c r="GV88" s="108" t="s">
        <v>502</v>
      </c>
      <c r="GW88" s="108" t="s">
        <v>502</v>
      </c>
      <c r="GX88" s="108" t="s">
        <v>502</v>
      </c>
      <c r="GY88" s="108" t="s">
        <v>664</v>
      </c>
      <c r="GZ88" s="108" t="s">
        <v>664</v>
      </c>
      <c r="HA88" s="108" t="s">
        <v>664</v>
      </c>
      <c r="HB88" s="47">
        <v>145000</v>
      </c>
      <c r="HC88" s="47">
        <f>+HB88*0%</f>
        <v>0</v>
      </c>
      <c r="HD88" s="47">
        <f>+HB88+HC88</f>
        <v>145000</v>
      </c>
      <c r="HE88" s="108" t="s">
        <v>664</v>
      </c>
      <c r="HF88" s="108" t="s">
        <v>664</v>
      </c>
      <c r="HG88" s="108" t="s">
        <v>664</v>
      </c>
      <c r="HH88" s="108" t="s">
        <v>664</v>
      </c>
      <c r="HI88" s="108" t="s">
        <v>664</v>
      </c>
      <c r="HJ88" s="108" t="s">
        <v>664</v>
      </c>
      <c r="HK88" s="108" t="s">
        <v>664</v>
      </c>
      <c r="HL88" s="108" t="s">
        <v>664</v>
      </c>
      <c r="HM88" s="108" t="s">
        <v>664</v>
      </c>
      <c r="HN88" s="108" t="s">
        <v>664</v>
      </c>
      <c r="HO88" s="108" t="s">
        <v>664</v>
      </c>
      <c r="HP88" s="108" t="s">
        <v>664</v>
      </c>
      <c r="HQ88" s="108" t="s">
        <v>503</v>
      </c>
      <c r="HR88" s="108" t="s">
        <v>503</v>
      </c>
      <c r="HS88" s="108" t="s">
        <v>503</v>
      </c>
      <c r="HT88" s="108" t="s">
        <v>502</v>
      </c>
      <c r="HU88" s="108" t="s">
        <v>502</v>
      </c>
      <c r="HV88" s="108" t="s">
        <v>502</v>
      </c>
      <c r="HW88" s="118">
        <v>250000</v>
      </c>
      <c r="HX88" s="118">
        <f>+HW88*19%</f>
        <v>47500</v>
      </c>
      <c r="HY88" s="118">
        <f>+HW88+HX88</f>
        <v>297500</v>
      </c>
      <c r="HZ88" s="118" t="s">
        <v>502</v>
      </c>
      <c r="IA88" s="118" t="s">
        <v>502</v>
      </c>
      <c r="IB88" s="118" t="s">
        <v>502</v>
      </c>
      <c r="IC88" s="118" t="s">
        <v>502</v>
      </c>
      <c r="ID88" s="118" t="s">
        <v>502</v>
      </c>
      <c r="IE88" s="118" t="s">
        <v>502</v>
      </c>
      <c r="IF88" s="118" t="s">
        <v>502</v>
      </c>
      <c r="IG88" s="118" t="s">
        <v>502</v>
      </c>
      <c r="IH88" s="118" t="s">
        <v>502</v>
      </c>
      <c r="II88" s="118" t="s">
        <v>502</v>
      </c>
      <c r="IJ88" s="118" t="s">
        <v>502</v>
      </c>
      <c r="IK88" s="118" t="s">
        <v>502</v>
      </c>
      <c r="IL88" s="118" t="s">
        <v>502</v>
      </c>
      <c r="IM88" s="118" t="s">
        <v>502</v>
      </c>
      <c r="IN88" s="118" t="s">
        <v>502</v>
      </c>
      <c r="IO88" s="120" t="s">
        <v>503</v>
      </c>
      <c r="IP88" s="120" t="s">
        <v>503</v>
      </c>
      <c r="IQ88" s="120" t="s">
        <v>503</v>
      </c>
      <c r="IR88" s="118" t="s">
        <v>669</v>
      </c>
      <c r="IS88" s="118" t="s">
        <v>669</v>
      </c>
      <c r="IT88" s="118" t="s">
        <v>669</v>
      </c>
      <c r="IU88" s="120" t="s">
        <v>503</v>
      </c>
      <c r="IV88" s="120" t="s">
        <v>503</v>
      </c>
      <c r="IW88" s="120" t="s">
        <v>503</v>
      </c>
      <c r="IX88" s="120" t="s">
        <v>503</v>
      </c>
      <c r="IY88" s="120" t="s">
        <v>503</v>
      </c>
      <c r="IZ88" s="120" t="s">
        <v>503</v>
      </c>
      <c r="JA88" s="182">
        <v>230949.71</v>
      </c>
      <c r="JB88" s="113">
        <f>+JA88*0%</f>
        <v>0</v>
      </c>
      <c r="JC88" s="113">
        <f>+JA88+JB88</f>
        <v>230949.71</v>
      </c>
      <c r="JD88" s="120" t="s">
        <v>664</v>
      </c>
      <c r="JE88" s="120" t="s">
        <v>664</v>
      </c>
      <c r="JF88" s="120" t="s">
        <v>664</v>
      </c>
      <c r="JG88" s="118" t="s">
        <v>502</v>
      </c>
      <c r="JH88" s="118" t="s">
        <v>502</v>
      </c>
      <c r="JI88" s="118" t="s">
        <v>502</v>
      </c>
      <c r="JJ88" s="118" t="s">
        <v>502</v>
      </c>
      <c r="JK88" s="118" t="s">
        <v>502</v>
      </c>
      <c r="JL88" s="118" t="s">
        <v>502</v>
      </c>
      <c r="JM88" s="118" t="s">
        <v>502</v>
      </c>
      <c r="JN88" s="118" t="s">
        <v>502</v>
      </c>
      <c r="JO88" s="118" t="s">
        <v>502</v>
      </c>
      <c r="JP88" s="110">
        <v>193300</v>
      </c>
      <c r="JQ88" s="111">
        <v>230949.70595199999</v>
      </c>
      <c r="JR88" s="112">
        <f t="shared" si="30"/>
        <v>3</v>
      </c>
      <c r="JS88" s="113">
        <f t="shared" si="31"/>
        <v>224483.23666666666</v>
      </c>
      <c r="JT88" s="114">
        <f t="shared" si="32"/>
        <v>224500</v>
      </c>
      <c r="JU88" s="177"/>
    </row>
    <row r="89" spans="1:281" ht="101.25" customHeight="1" x14ac:dyDescent="0.2">
      <c r="A89" s="98">
        <v>184</v>
      </c>
      <c r="B89" s="99">
        <v>184</v>
      </c>
      <c r="C89" s="39" t="s">
        <v>12</v>
      </c>
      <c r="D89" s="100" t="s">
        <v>40</v>
      </c>
      <c r="E89" s="39">
        <v>90101600</v>
      </c>
      <c r="F89" s="168" t="s">
        <v>193</v>
      </c>
      <c r="G89" s="102" t="s">
        <v>51</v>
      </c>
      <c r="H89" s="103" t="s">
        <v>501</v>
      </c>
      <c r="I89" s="108" t="s">
        <v>503</v>
      </c>
      <c r="J89" s="108" t="s">
        <v>503</v>
      </c>
      <c r="K89" s="108" t="s">
        <v>503</v>
      </c>
      <c r="L89" s="118" t="s">
        <v>502</v>
      </c>
      <c r="M89" s="118" t="s">
        <v>502</v>
      </c>
      <c r="N89" s="118" t="s">
        <v>502</v>
      </c>
      <c r="O89" s="108" t="s">
        <v>503</v>
      </c>
      <c r="P89" s="108" t="s">
        <v>503</v>
      </c>
      <c r="Q89" s="108" t="s">
        <v>503</v>
      </c>
      <c r="R89" s="108" t="s">
        <v>503</v>
      </c>
      <c r="S89" s="108" t="s">
        <v>503</v>
      </c>
      <c r="T89" s="108" t="s">
        <v>503</v>
      </c>
      <c r="U89" s="118" t="s">
        <v>502</v>
      </c>
      <c r="V89" s="118" t="s">
        <v>502</v>
      </c>
      <c r="W89" s="118" t="s">
        <v>502</v>
      </c>
      <c r="X89" s="108" t="s">
        <v>503</v>
      </c>
      <c r="Y89" s="108" t="s">
        <v>503</v>
      </c>
      <c r="Z89" s="108" t="s">
        <v>503</v>
      </c>
      <c r="AA89" s="108" t="s">
        <v>503</v>
      </c>
      <c r="AB89" s="108" t="s">
        <v>503</v>
      </c>
      <c r="AC89" s="108" t="s">
        <v>503</v>
      </c>
      <c r="AD89" s="108" t="s">
        <v>503</v>
      </c>
      <c r="AE89" s="108" t="s">
        <v>503</v>
      </c>
      <c r="AF89" s="108" t="s">
        <v>503</v>
      </c>
      <c r="AG89" s="108" t="s">
        <v>503</v>
      </c>
      <c r="AH89" s="108" t="s">
        <v>503</v>
      </c>
      <c r="AI89" s="108" t="s">
        <v>503</v>
      </c>
      <c r="AJ89" s="108" t="s">
        <v>503</v>
      </c>
      <c r="AK89" s="108" t="s">
        <v>503</v>
      </c>
      <c r="AL89" s="108" t="s">
        <v>503</v>
      </c>
      <c r="AM89" s="108" t="s">
        <v>503</v>
      </c>
      <c r="AN89" s="108" t="s">
        <v>503</v>
      </c>
      <c r="AO89" s="108" t="s">
        <v>503</v>
      </c>
      <c r="AP89" s="108" t="s">
        <v>503</v>
      </c>
      <c r="AQ89" s="108" t="s">
        <v>503</v>
      </c>
      <c r="AR89" s="108" t="s">
        <v>503</v>
      </c>
      <c r="AS89" s="108" t="s">
        <v>503</v>
      </c>
      <c r="AT89" s="108" t="s">
        <v>503</v>
      </c>
      <c r="AU89" s="108" t="s">
        <v>503</v>
      </c>
      <c r="AV89" s="108" t="s">
        <v>503</v>
      </c>
      <c r="AW89" s="108" t="s">
        <v>503</v>
      </c>
      <c r="AX89" s="108" t="s">
        <v>503</v>
      </c>
      <c r="AY89" s="108" t="s">
        <v>503</v>
      </c>
      <c r="AZ89" s="108" t="s">
        <v>503</v>
      </c>
      <c r="BA89" s="108" t="s">
        <v>503</v>
      </c>
      <c r="BB89" s="108" t="s">
        <v>503</v>
      </c>
      <c r="BC89" s="108" t="s">
        <v>503</v>
      </c>
      <c r="BD89" s="108" t="s">
        <v>503</v>
      </c>
      <c r="BE89" s="108" t="s">
        <v>503</v>
      </c>
      <c r="BF89" s="108" t="s">
        <v>503</v>
      </c>
      <c r="BG89" s="108" t="s">
        <v>503</v>
      </c>
      <c r="BH89" s="108" t="s">
        <v>503</v>
      </c>
      <c r="BI89" s="108" t="s">
        <v>503</v>
      </c>
      <c r="BJ89" s="108" t="s">
        <v>503</v>
      </c>
      <c r="BK89" s="108" t="s">
        <v>503</v>
      </c>
      <c r="BL89" s="108" t="s">
        <v>503</v>
      </c>
      <c r="BM89" s="108" t="s">
        <v>503</v>
      </c>
      <c r="BN89" s="108" t="s">
        <v>503</v>
      </c>
      <c r="BO89" s="108" t="s">
        <v>503</v>
      </c>
      <c r="BP89" s="108" t="s">
        <v>503</v>
      </c>
      <c r="BQ89" s="108" t="s">
        <v>503</v>
      </c>
      <c r="BR89" s="108" t="s">
        <v>503</v>
      </c>
      <c r="BS89" s="108" t="s">
        <v>503</v>
      </c>
      <c r="BT89" s="108" t="s">
        <v>503</v>
      </c>
      <c r="BU89" s="108" t="s">
        <v>503</v>
      </c>
      <c r="BV89" s="108" t="s">
        <v>503</v>
      </c>
      <c r="BW89" s="108" t="s">
        <v>503</v>
      </c>
      <c r="BX89" s="108" t="s">
        <v>503</v>
      </c>
      <c r="BY89" s="108" t="s">
        <v>503</v>
      </c>
      <c r="BZ89" s="77">
        <v>2240000</v>
      </c>
      <c r="CA89" s="117">
        <f>+BZ89*19%</f>
        <v>425600</v>
      </c>
      <c r="CB89" s="71">
        <f>+BZ89+CA89</f>
        <v>2665600</v>
      </c>
      <c r="CC89" s="108" t="s">
        <v>503</v>
      </c>
      <c r="CD89" s="108" t="s">
        <v>503</v>
      </c>
      <c r="CE89" s="108" t="s">
        <v>503</v>
      </c>
      <c r="CF89" s="108" t="s">
        <v>503</v>
      </c>
      <c r="CG89" s="108" t="s">
        <v>503</v>
      </c>
      <c r="CH89" s="108" t="s">
        <v>503</v>
      </c>
      <c r="CI89" s="108" t="s">
        <v>503</v>
      </c>
      <c r="CJ89" s="108" t="s">
        <v>503</v>
      </c>
      <c r="CK89" s="108" t="s">
        <v>503</v>
      </c>
      <c r="CL89" s="108" t="s">
        <v>503</v>
      </c>
      <c r="CM89" s="108" t="s">
        <v>503</v>
      </c>
      <c r="CN89" s="108" t="s">
        <v>503</v>
      </c>
      <c r="CO89" s="108" t="s">
        <v>503</v>
      </c>
      <c r="CP89" s="108" t="s">
        <v>503</v>
      </c>
      <c r="CQ89" s="108" t="s">
        <v>503</v>
      </c>
      <c r="CR89" s="108" t="s">
        <v>503</v>
      </c>
      <c r="CS89" s="108" t="s">
        <v>503</v>
      </c>
      <c r="CT89" s="108" t="s">
        <v>503</v>
      </c>
      <c r="CU89" s="108" t="s">
        <v>503</v>
      </c>
      <c r="CV89" s="108" t="s">
        <v>503</v>
      </c>
      <c r="CW89" s="108" t="s">
        <v>503</v>
      </c>
      <c r="CX89" s="108" t="s">
        <v>503</v>
      </c>
      <c r="CY89" s="108" t="s">
        <v>503</v>
      </c>
      <c r="CZ89" s="108" t="s">
        <v>503</v>
      </c>
      <c r="DA89" s="108" t="s">
        <v>503</v>
      </c>
      <c r="DB89" s="108" t="s">
        <v>503</v>
      </c>
      <c r="DC89" s="108" t="s">
        <v>503</v>
      </c>
      <c r="DD89" s="108" t="s">
        <v>503</v>
      </c>
      <c r="DE89" s="108" t="s">
        <v>503</v>
      </c>
      <c r="DF89" s="108" t="s">
        <v>503</v>
      </c>
      <c r="DG89" s="108" t="s">
        <v>503</v>
      </c>
      <c r="DH89" s="108" t="s">
        <v>503</v>
      </c>
      <c r="DI89" s="108" t="s">
        <v>503</v>
      </c>
      <c r="DJ89" s="108" t="s">
        <v>503</v>
      </c>
      <c r="DK89" s="108" t="s">
        <v>503</v>
      </c>
      <c r="DL89" s="108" t="s">
        <v>503</v>
      </c>
      <c r="DM89" s="108" t="s">
        <v>503</v>
      </c>
      <c r="DN89" s="108" t="s">
        <v>503</v>
      </c>
      <c r="DO89" s="108" t="s">
        <v>503</v>
      </c>
      <c r="DP89" s="108" t="s">
        <v>669</v>
      </c>
      <c r="DQ89" s="108" t="s">
        <v>669</v>
      </c>
      <c r="DR89" s="108" t="s">
        <v>669</v>
      </c>
      <c r="DS89" s="108" t="s">
        <v>669</v>
      </c>
      <c r="DT89" s="108" t="s">
        <v>669</v>
      </c>
      <c r="DU89" s="108" t="s">
        <v>669</v>
      </c>
      <c r="DV89" s="108" t="s">
        <v>503</v>
      </c>
      <c r="DW89" s="108" t="s">
        <v>503</v>
      </c>
      <c r="DX89" s="108" t="s">
        <v>503</v>
      </c>
      <c r="DY89" s="108" t="s">
        <v>503</v>
      </c>
      <c r="DZ89" s="108" t="s">
        <v>503</v>
      </c>
      <c r="EA89" s="108" t="s">
        <v>503</v>
      </c>
      <c r="EB89" s="108" t="s">
        <v>503</v>
      </c>
      <c r="EC89" s="108" t="s">
        <v>503</v>
      </c>
      <c r="ED89" s="108" t="s">
        <v>503</v>
      </c>
      <c r="EE89" s="108" t="s">
        <v>503</v>
      </c>
      <c r="EF89" s="108" t="s">
        <v>503</v>
      </c>
      <c r="EG89" s="108" t="s">
        <v>503</v>
      </c>
      <c r="EH89" s="108" t="s">
        <v>503</v>
      </c>
      <c r="EI89" s="108" t="s">
        <v>503</v>
      </c>
      <c r="EJ89" s="108" t="s">
        <v>503</v>
      </c>
      <c r="EK89" s="108" t="s">
        <v>503</v>
      </c>
      <c r="EL89" s="108" t="s">
        <v>503</v>
      </c>
      <c r="EM89" s="108" t="s">
        <v>503</v>
      </c>
      <c r="EN89" s="108" t="s">
        <v>503</v>
      </c>
      <c r="EO89" s="108" t="s">
        <v>503</v>
      </c>
      <c r="EP89" s="108" t="s">
        <v>503</v>
      </c>
      <c r="EQ89" s="108" t="s">
        <v>502</v>
      </c>
      <c r="ER89" s="108" t="s">
        <v>502</v>
      </c>
      <c r="ES89" s="108" t="s">
        <v>502</v>
      </c>
      <c r="ET89" s="108" t="s">
        <v>502</v>
      </c>
      <c r="EU89" s="108" t="s">
        <v>502</v>
      </c>
      <c r="EV89" s="108" t="s">
        <v>502</v>
      </c>
      <c r="EW89" s="178">
        <v>1800000</v>
      </c>
      <c r="EX89" s="179">
        <f>+EW89*8%</f>
        <v>144000</v>
      </c>
      <c r="EY89" s="47">
        <f>+EW89+EX89</f>
        <v>1944000</v>
      </c>
      <c r="EZ89" s="71">
        <v>1800000</v>
      </c>
      <c r="FA89" s="71">
        <f>+EZ89*8%</f>
        <v>144000</v>
      </c>
      <c r="FB89" s="71">
        <f>+EZ89+FA89</f>
        <v>1944000</v>
      </c>
      <c r="FC89" s="108" t="s">
        <v>502</v>
      </c>
      <c r="FD89" s="108" t="s">
        <v>502</v>
      </c>
      <c r="FE89" s="108" t="s">
        <v>502</v>
      </c>
      <c r="FF89" s="108" t="s">
        <v>503</v>
      </c>
      <c r="FG89" s="108" t="s">
        <v>503</v>
      </c>
      <c r="FH89" s="108" t="s">
        <v>503</v>
      </c>
      <c r="FI89" s="108" t="s">
        <v>503</v>
      </c>
      <c r="FJ89" s="108" t="s">
        <v>503</v>
      </c>
      <c r="FK89" s="108" t="s">
        <v>503</v>
      </c>
      <c r="FL89" s="108" t="s">
        <v>503</v>
      </c>
      <c r="FM89" s="108" t="s">
        <v>503</v>
      </c>
      <c r="FN89" s="108" t="s">
        <v>503</v>
      </c>
      <c r="FO89" s="108" t="s">
        <v>502</v>
      </c>
      <c r="FP89" s="108" t="s">
        <v>502</v>
      </c>
      <c r="FQ89" s="108" t="s">
        <v>502</v>
      </c>
      <c r="FR89" s="108" t="s">
        <v>502</v>
      </c>
      <c r="FS89" s="108" t="s">
        <v>502</v>
      </c>
      <c r="FT89" s="108" t="s">
        <v>502</v>
      </c>
      <c r="FU89" s="108" t="s">
        <v>502</v>
      </c>
      <c r="FV89" s="108" t="s">
        <v>502</v>
      </c>
      <c r="FW89" s="108" t="s">
        <v>502</v>
      </c>
      <c r="FX89" s="108" t="s">
        <v>503</v>
      </c>
      <c r="FY89" s="108" t="s">
        <v>503</v>
      </c>
      <c r="FZ89" s="108" t="s">
        <v>503</v>
      </c>
      <c r="GA89" s="108" t="s">
        <v>503</v>
      </c>
      <c r="GB89" s="108" t="s">
        <v>503</v>
      </c>
      <c r="GC89" s="108" t="s">
        <v>503</v>
      </c>
      <c r="GD89" s="108" t="s">
        <v>503</v>
      </c>
      <c r="GE89" s="108" t="s">
        <v>503</v>
      </c>
      <c r="GF89" s="108" t="s">
        <v>503</v>
      </c>
      <c r="GG89" s="108" t="s">
        <v>669</v>
      </c>
      <c r="GH89" s="108" t="s">
        <v>669</v>
      </c>
      <c r="GI89" s="108" t="s">
        <v>669</v>
      </c>
      <c r="GJ89" s="108" t="s">
        <v>669</v>
      </c>
      <c r="GK89" s="108" t="s">
        <v>669</v>
      </c>
      <c r="GL89" s="108" t="s">
        <v>669</v>
      </c>
      <c r="GM89" s="108" t="s">
        <v>502</v>
      </c>
      <c r="GN89" s="108" t="s">
        <v>502</v>
      </c>
      <c r="GO89" s="108" t="s">
        <v>502</v>
      </c>
      <c r="GP89" s="108" t="s">
        <v>664</v>
      </c>
      <c r="GQ89" s="108" t="s">
        <v>664</v>
      </c>
      <c r="GR89" s="108" t="s">
        <v>664</v>
      </c>
      <c r="GS89" s="108" t="s">
        <v>502</v>
      </c>
      <c r="GT89" s="108" t="s">
        <v>502</v>
      </c>
      <c r="GU89" s="108" t="s">
        <v>502</v>
      </c>
      <c r="GV89" s="108" t="s">
        <v>502</v>
      </c>
      <c r="GW89" s="108" t="s">
        <v>502</v>
      </c>
      <c r="GX89" s="108" t="s">
        <v>502</v>
      </c>
      <c r="GY89" s="108" t="s">
        <v>664</v>
      </c>
      <c r="GZ89" s="108" t="s">
        <v>664</v>
      </c>
      <c r="HA89" s="108" t="s">
        <v>664</v>
      </c>
      <c r="HB89" s="108" t="s">
        <v>664</v>
      </c>
      <c r="HC89" s="108" t="s">
        <v>664</v>
      </c>
      <c r="HD89" s="108" t="s">
        <v>664</v>
      </c>
      <c r="HE89" s="108" t="s">
        <v>664</v>
      </c>
      <c r="HF89" s="108" t="s">
        <v>664</v>
      </c>
      <c r="HG89" s="108" t="s">
        <v>664</v>
      </c>
      <c r="HH89" s="108" t="s">
        <v>664</v>
      </c>
      <c r="HI89" s="108" t="s">
        <v>664</v>
      </c>
      <c r="HJ89" s="108" t="s">
        <v>664</v>
      </c>
      <c r="HK89" s="108" t="s">
        <v>664</v>
      </c>
      <c r="HL89" s="108" t="s">
        <v>664</v>
      </c>
      <c r="HM89" s="108" t="s">
        <v>664</v>
      </c>
      <c r="HN89" s="108" t="s">
        <v>664</v>
      </c>
      <c r="HO89" s="108" t="s">
        <v>664</v>
      </c>
      <c r="HP89" s="108" t="s">
        <v>664</v>
      </c>
      <c r="HQ89" s="108" t="s">
        <v>503</v>
      </c>
      <c r="HR89" s="108" t="s">
        <v>503</v>
      </c>
      <c r="HS89" s="108" t="s">
        <v>503</v>
      </c>
      <c r="HT89" s="108" t="s">
        <v>502</v>
      </c>
      <c r="HU89" s="108" t="s">
        <v>502</v>
      </c>
      <c r="HV89" s="108" t="s">
        <v>502</v>
      </c>
      <c r="HW89" s="118">
        <v>1900000</v>
      </c>
      <c r="HX89" s="71">
        <f>+HW89*19%</f>
        <v>361000</v>
      </c>
      <c r="HY89" s="118">
        <f>+HW89+HX89</f>
        <v>2261000</v>
      </c>
      <c r="HZ89" s="118" t="s">
        <v>502</v>
      </c>
      <c r="IA89" s="118" t="s">
        <v>502</v>
      </c>
      <c r="IB89" s="118" t="s">
        <v>502</v>
      </c>
      <c r="IC89" s="118" t="s">
        <v>502</v>
      </c>
      <c r="ID89" s="118" t="s">
        <v>502</v>
      </c>
      <c r="IE89" s="118" t="s">
        <v>502</v>
      </c>
      <c r="IF89" s="118" t="s">
        <v>502</v>
      </c>
      <c r="IG89" s="118" t="s">
        <v>502</v>
      </c>
      <c r="IH89" s="118" t="s">
        <v>502</v>
      </c>
      <c r="II89" s="118" t="s">
        <v>502</v>
      </c>
      <c r="IJ89" s="118" t="s">
        <v>502</v>
      </c>
      <c r="IK89" s="118" t="s">
        <v>502</v>
      </c>
      <c r="IL89" s="118" t="s">
        <v>502</v>
      </c>
      <c r="IM89" s="118" t="s">
        <v>502</v>
      </c>
      <c r="IN89" s="118" t="s">
        <v>502</v>
      </c>
      <c r="IO89" s="120" t="s">
        <v>503</v>
      </c>
      <c r="IP89" s="120" t="s">
        <v>503</v>
      </c>
      <c r="IQ89" s="120" t="s">
        <v>503</v>
      </c>
      <c r="IR89" s="118" t="s">
        <v>669</v>
      </c>
      <c r="IS89" s="118" t="s">
        <v>669</v>
      </c>
      <c r="IT89" s="118" t="s">
        <v>669</v>
      </c>
      <c r="IU89" s="120" t="s">
        <v>503</v>
      </c>
      <c r="IV89" s="120" t="s">
        <v>503</v>
      </c>
      <c r="IW89" s="120" t="s">
        <v>503</v>
      </c>
      <c r="IX89" s="120" t="s">
        <v>503</v>
      </c>
      <c r="IY89" s="120" t="s">
        <v>503</v>
      </c>
      <c r="IZ89" s="120" t="s">
        <v>503</v>
      </c>
      <c r="JA89" s="120" t="s">
        <v>503</v>
      </c>
      <c r="JB89" s="120" t="s">
        <v>503</v>
      </c>
      <c r="JC89" s="120" t="s">
        <v>503</v>
      </c>
      <c r="JD89" s="120" t="s">
        <v>664</v>
      </c>
      <c r="JE89" s="120" t="s">
        <v>664</v>
      </c>
      <c r="JF89" s="120" t="s">
        <v>664</v>
      </c>
      <c r="JG89" s="118" t="s">
        <v>502</v>
      </c>
      <c r="JH89" s="118" t="s">
        <v>502</v>
      </c>
      <c r="JI89" s="118" t="s">
        <v>502</v>
      </c>
      <c r="JJ89" s="118" t="s">
        <v>502</v>
      </c>
      <c r="JK89" s="118" t="s">
        <v>502</v>
      </c>
      <c r="JL89" s="118" t="s">
        <v>502</v>
      </c>
      <c r="JM89" s="118" t="s">
        <v>502</v>
      </c>
      <c r="JN89" s="118" t="s">
        <v>502</v>
      </c>
      <c r="JO89" s="118" t="s">
        <v>502</v>
      </c>
      <c r="JP89" s="110">
        <v>665000</v>
      </c>
      <c r="JQ89" s="111">
        <v>794524.33759999997</v>
      </c>
      <c r="JR89" s="112">
        <f t="shared" si="30"/>
        <v>4</v>
      </c>
      <c r="JS89" s="113">
        <f t="shared" si="31"/>
        <v>2203650</v>
      </c>
      <c r="JT89" s="114">
        <f t="shared" si="32"/>
        <v>2203650</v>
      </c>
      <c r="JU89" s="177"/>
    </row>
    <row r="90" spans="1:281" ht="101.25" customHeight="1" x14ac:dyDescent="0.2">
      <c r="A90" s="98">
        <v>185</v>
      </c>
      <c r="B90" s="99">
        <v>185</v>
      </c>
      <c r="C90" s="39" t="s">
        <v>12</v>
      </c>
      <c r="D90" s="100" t="s">
        <v>41</v>
      </c>
      <c r="E90" s="39">
        <v>90101600</v>
      </c>
      <c r="F90" s="101" t="s">
        <v>194</v>
      </c>
      <c r="G90" s="102" t="s">
        <v>60</v>
      </c>
      <c r="H90" s="103" t="s">
        <v>501</v>
      </c>
      <c r="I90" s="108" t="s">
        <v>503</v>
      </c>
      <c r="J90" s="108" t="s">
        <v>503</v>
      </c>
      <c r="K90" s="108" t="s">
        <v>503</v>
      </c>
      <c r="L90" s="118" t="s">
        <v>502</v>
      </c>
      <c r="M90" s="118" t="s">
        <v>502</v>
      </c>
      <c r="N90" s="118" t="s">
        <v>502</v>
      </c>
      <c r="O90" s="108" t="s">
        <v>503</v>
      </c>
      <c r="P90" s="108" t="s">
        <v>503</v>
      </c>
      <c r="Q90" s="108" t="s">
        <v>503</v>
      </c>
      <c r="R90" s="108" t="s">
        <v>503</v>
      </c>
      <c r="S90" s="108" t="s">
        <v>503</v>
      </c>
      <c r="T90" s="108" t="s">
        <v>503</v>
      </c>
      <c r="U90" s="118" t="s">
        <v>502</v>
      </c>
      <c r="V90" s="118" t="s">
        <v>502</v>
      </c>
      <c r="W90" s="118" t="s">
        <v>502</v>
      </c>
      <c r="X90" s="108" t="s">
        <v>503</v>
      </c>
      <c r="Y90" s="108" t="s">
        <v>503</v>
      </c>
      <c r="Z90" s="108" t="s">
        <v>503</v>
      </c>
      <c r="AA90" s="108" t="s">
        <v>503</v>
      </c>
      <c r="AB90" s="108" t="s">
        <v>503</v>
      </c>
      <c r="AC90" s="108" t="s">
        <v>503</v>
      </c>
      <c r="AD90" s="108" t="s">
        <v>503</v>
      </c>
      <c r="AE90" s="108" t="s">
        <v>503</v>
      </c>
      <c r="AF90" s="108" t="s">
        <v>503</v>
      </c>
      <c r="AG90" s="108" t="s">
        <v>503</v>
      </c>
      <c r="AH90" s="108" t="s">
        <v>503</v>
      </c>
      <c r="AI90" s="108" t="s">
        <v>503</v>
      </c>
      <c r="AJ90" s="108" t="s">
        <v>503</v>
      </c>
      <c r="AK90" s="108" t="s">
        <v>503</v>
      </c>
      <c r="AL90" s="108" t="s">
        <v>503</v>
      </c>
      <c r="AM90" s="108" t="s">
        <v>503</v>
      </c>
      <c r="AN90" s="108" t="s">
        <v>503</v>
      </c>
      <c r="AO90" s="108" t="s">
        <v>503</v>
      </c>
      <c r="AP90" s="108" t="s">
        <v>503</v>
      </c>
      <c r="AQ90" s="108" t="s">
        <v>503</v>
      </c>
      <c r="AR90" s="108" t="s">
        <v>503</v>
      </c>
      <c r="AS90" s="108" t="s">
        <v>503</v>
      </c>
      <c r="AT90" s="108" t="s">
        <v>503</v>
      </c>
      <c r="AU90" s="108" t="s">
        <v>503</v>
      </c>
      <c r="AV90" s="108" t="s">
        <v>503</v>
      </c>
      <c r="AW90" s="108" t="s">
        <v>503</v>
      </c>
      <c r="AX90" s="108" t="s">
        <v>503</v>
      </c>
      <c r="AY90" s="108" t="s">
        <v>503</v>
      </c>
      <c r="AZ90" s="108" t="s">
        <v>503</v>
      </c>
      <c r="BA90" s="108" t="s">
        <v>503</v>
      </c>
      <c r="BB90" s="108" t="s">
        <v>503</v>
      </c>
      <c r="BC90" s="108" t="s">
        <v>503</v>
      </c>
      <c r="BD90" s="108" t="s">
        <v>503</v>
      </c>
      <c r="BE90" s="108" t="s">
        <v>503</v>
      </c>
      <c r="BF90" s="108" t="s">
        <v>503</v>
      </c>
      <c r="BG90" s="108" t="s">
        <v>503</v>
      </c>
      <c r="BH90" s="108" t="s">
        <v>503</v>
      </c>
      <c r="BI90" s="108" t="s">
        <v>503</v>
      </c>
      <c r="BJ90" s="108" t="s">
        <v>503</v>
      </c>
      <c r="BK90" s="108" t="s">
        <v>503</v>
      </c>
      <c r="BL90" s="108" t="s">
        <v>503</v>
      </c>
      <c r="BM90" s="108" t="s">
        <v>503</v>
      </c>
      <c r="BN90" s="108" t="s">
        <v>503</v>
      </c>
      <c r="BO90" s="108" t="s">
        <v>503</v>
      </c>
      <c r="BP90" s="108" t="s">
        <v>503</v>
      </c>
      <c r="BQ90" s="108" t="s">
        <v>503</v>
      </c>
      <c r="BR90" s="108" t="s">
        <v>503</v>
      </c>
      <c r="BS90" s="108" t="s">
        <v>503</v>
      </c>
      <c r="BT90" s="108" t="s">
        <v>503</v>
      </c>
      <c r="BU90" s="108" t="s">
        <v>503</v>
      </c>
      <c r="BV90" s="108" t="s">
        <v>503</v>
      </c>
      <c r="BW90" s="108" t="s">
        <v>503</v>
      </c>
      <c r="BX90" s="108" t="s">
        <v>503</v>
      </c>
      <c r="BY90" s="108" t="s">
        <v>503</v>
      </c>
      <c r="BZ90" s="108" t="s">
        <v>503</v>
      </c>
      <c r="CA90" s="108" t="s">
        <v>503</v>
      </c>
      <c r="CB90" s="108" t="s">
        <v>503</v>
      </c>
      <c r="CC90" s="108" t="s">
        <v>503</v>
      </c>
      <c r="CD90" s="108" t="s">
        <v>503</v>
      </c>
      <c r="CE90" s="108" t="s">
        <v>503</v>
      </c>
      <c r="CF90" s="108" t="s">
        <v>503</v>
      </c>
      <c r="CG90" s="108" t="s">
        <v>503</v>
      </c>
      <c r="CH90" s="108" t="s">
        <v>503</v>
      </c>
      <c r="CI90" s="108" t="s">
        <v>503</v>
      </c>
      <c r="CJ90" s="108" t="s">
        <v>503</v>
      </c>
      <c r="CK90" s="108" t="s">
        <v>503</v>
      </c>
      <c r="CL90" s="108" t="s">
        <v>503</v>
      </c>
      <c r="CM90" s="108" t="s">
        <v>503</v>
      </c>
      <c r="CN90" s="108" t="s">
        <v>503</v>
      </c>
      <c r="CO90" s="108" t="s">
        <v>503</v>
      </c>
      <c r="CP90" s="108" t="s">
        <v>503</v>
      </c>
      <c r="CQ90" s="108" t="s">
        <v>503</v>
      </c>
      <c r="CR90" s="108" t="s">
        <v>503</v>
      </c>
      <c r="CS90" s="108" t="s">
        <v>503</v>
      </c>
      <c r="CT90" s="108" t="s">
        <v>503</v>
      </c>
      <c r="CU90" s="108" t="s">
        <v>503</v>
      </c>
      <c r="CV90" s="108" t="s">
        <v>503</v>
      </c>
      <c r="CW90" s="108" t="s">
        <v>503</v>
      </c>
      <c r="CX90" s="108" t="s">
        <v>503</v>
      </c>
      <c r="CY90" s="108" t="s">
        <v>503</v>
      </c>
      <c r="CZ90" s="108" t="s">
        <v>503</v>
      </c>
      <c r="DA90" s="108" t="s">
        <v>503</v>
      </c>
      <c r="DB90" s="108" t="s">
        <v>503</v>
      </c>
      <c r="DC90" s="108" t="s">
        <v>503</v>
      </c>
      <c r="DD90" s="108" t="s">
        <v>503</v>
      </c>
      <c r="DE90" s="108" t="s">
        <v>503</v>
      </c>
      <c r="DF90" s="108" t="s">
        <v>503</v>
      </c>
      <c r="DG90" s="108" t="s">
        <v>503</v>
      </c>
      <c r="DH90" s="108" t="s">
        <v>503</v>
      </c>
      <c r="DI90" s="108" t="s">
        <v>503</v>
      </c>
      <c r="DJ90" s="108" t="s">
        <v>503</v>
      </c>
      <c r="DK90" s="108" t="s">
        <v>503</v>
      </c>
      <c r="DL90" s="108" t="s">
        <v>503</v>
      </c>
      <c r="DM90" s="108" t="s">
        <v>503</v>
      </c>
      <c r="DN90" s="108" t="s">
        <v>503</v>
      </c>
      <c r="DO90" s="108" t="s">
        <v>503</v>
      </c>
      <c r="DP90" s="108" t="s">
        <v>669</v>
      </c>
      <c r="DQ90" s="108" t="s">
        <v>669</v>
      </c>
      <c r="DR90" s="108" t="s">
        <v>669</v>
      </c>
      <c r="DS90" s="108" t="s">
        <v>669</v>
      </c>
      <c r="DT90" s="108" t="s">
        <v>669</v>
      </c>
      <c r="DU90" s="108" t="s">
        <v>669</v>
      </c>
      <c r="DV90" s="108" t="s">
        <v>503</v>
      </c>
      <c r="DW90" s="108" t="s">
        <v>503</v>
      </c>
      <c r="DX90" s="108" t="s">
        <v>503</v>
      </c>
      <c r="DY90" s="108" t="s">
        <v>503</v>
      </c>
      <c r="DZ90" s="108" t="s">
        <v>503</v>
      </c>
      <c r="EA90" s="108" t="s">
        <v>503</v>
      </c>
      <c r="EB90" s="108" t="s">
        <v>503</v>
      </c>
      <c r="EC90" s="108" t="s">
        <v>503</v>
      </c>
      <c r="ED90" s="108" t="s">
        <v>503</v>
      </c>
      <c r="EE90" s="108" t="s">
        <v>503</v>
      </c>
      <c r="EF90" s="108" t="s">
        <v>503</v>
      </c>
      <c r="EG90" s="108" t="s">
        <v>503</v>
      </c>
      <c r="EH90" s="108" t="s">
        <v>503</v>
      </c>
      <c r="EI90" s="108" t="s">
        <v>503</v>
      </c>
      <c r="EJ90" s="108" t="s">
        <v>503</v>
      </c>
      <c r="EK90" s="108" t="s">
        <v>503</v>
      </c>
      <c r="EL90" s="108" t="s">
        <v>503</v>
      </c>
      <c r="EM90" s="108" t="s">
        <v>503</v>
      </c>
      <c r="EN90" s="108" t="s">
        <v>503</v>
      </c>
      <c r="EO90" s="108" t="s">
        <v>503</v>
      </c>
      <c r="EP90" s="108" t="s">
        <v>503</v>
      </c>
      <c r="EQ90" s="108" t="s">
        <v>502</v>
      </c>
      <c r="ER90" s="108" t="s">
        <v>502</v>
      </c>
      <c r="ES90" s="108" t="s">
        <v>502</v>
      </c>
      <c r="ET90" s="108" t="s">
        <v>502</v>
      </c>
      <c r="EU90" s="108" t="s">
        <v>502</v>
      </c>
      <c r="EV90" s="108" t="s">
        <v>502</v>
      </c>
      <c r="EW90" s="71">
        <v>350000</v>
      </c>
      <c r="EX90" s="176">
        <f>+EW90*8%</f>
        <v>28000</v>
      </c>
      <c r="EY90" s="71">
        <f>+EW90+EX90</f>
        <v>378000</v>
      </c>
      <c r="EZ90" s="71">
        <v>350000</v>
      </c>
      <c r="FA90" s="71">
        <f>+EZ90*8%</f>
        <v>28000</v>
      </c>
      <c r="FB90" s="71">
        <f>+EZ90+FA90</f>
        <v>378000</v>
      </c>
      <c r="FC90" s="108" t="s">
        <v>502</v>
      </c>
      <c r="FD90" s="108" t="s">
        <v>502</v>
      </c>
      <c r="FE90" s="108" t="s">
        <v>502</v>
      </c>
      <c r="FF90" s="108" t="s">
        <v>503</v>
      </c>
      <c r="FG90" s="108" t="s">
        <v>503</v>
      </c>
      <c r="FH90" s="108" t="s">
        <v>503</v>
      </c>
      <c r="FI90" s="108" t="s">
        <v>503</v>
      </c>
      <c r="FJ90" s="108" t="s">
        <v>503</v>
      </c>
      <c r="FK90" s="108" t="s">
        <v>503</v>
      </c>
      <c r="FL90" s="108" t="s">
        <v>503</v>
      </c>
      <c r="FM90" s="108" t="s">
        <v>503</v>
      </c>
      <c r="FN90" s="108" t="s">
        <v>503</v>
      </c>
      <c r="FO90" s="108" t="s">
        <v>502</v>
      </c>
      <c r="FP90" s="108" t="s">
        <v>502</v>
      </c>
      <c r="FQ90" s="108" t="s">
        <v>502</v>
      </c>
      <c r="FR90" s="108" t="s">
        <v>502</v>
      </c>
      <c r="FS90" s="108" t="s">
        <v>502</v>
      </c>
      <c r="FT90" s="108" t="s">
        <v>502</v>
      </c>
      <c r="FU90" s="108" t="s">
        <v>502</v>
      </c>
      <c r="FV90" s="108" t="s">
        <v>502</v>
      </c>
      <c r="FW90" s="108" t="s">
        <v>502</v>
      </c>
      <c r="FX90" s="108" t="s">
        <v>503</v>
      </c>
      <c r="FY90" s="108" t="s">
        <v>503</v>
      </c>
      <c r="FZ90" s="108" t="s">
        <v>503</v>
      </c>
      <c r="GA90" s="108" t="s">
        <v>503</v>
      </c>
      <c r="GB90" s="108" t="s">
        <v>503</v>
      </c>
      <c r="GC90" s="108" t="s">
        <v>503</v>
      </c>
      <c r="GD90" s="108" t="s">
        <v>503</v>
      </c>
      <c r="GE90" s="108" t="s">
        <v>503</v>
      </c>
      <c r="GF90" s="108" t="s">
        <v>503</v>
      </c>
      <c r="GG90" s="108" t="s">
        <v>669</v>
      </c>
      <c r="GH90" s="108" t="s">
        <v>669</v>
      </c>
      <c r="GI90" s="108" t="s">
        <v>669</v>
      </c>
      <c r="GJ90" s="108" t="s">
        <v>669</v>
      </c>
      <c r="GK90" s="108" t="s">
        <v>669</v>
      </c>
      <c r="GL90" s="108" t="s">
        <v>669</v>
      </c>
      <c r="GM90" s="108" t="s">
        <v>502</v>
      </c>
      <c r="GN90" s="108" t="s">
        <v>502</v>
      </c>
      <c r="GO90" s="108" t="s">
        <v>502</v>
      </c>
      <c r="GP90" s="108" t="s">
        <v>664</v>
      </c>
      <c r="GQ90" s="108" t="s">
        <v>664</v>
      </c>
      <c r="GR90" s="108" t="s">
        <v>664</v>
      </c>
      <c r="GS90" s="108" t="s">
        <v>502</v>
      </c>
      <c r="GT90" s="108" t="s">
        <v>502</v>
      </c>
      <c r="GU90" s="108" t="s">
        <v>502</v>
      </c>
      <c r="GV90" s="108" t="s">
        <v>502</v>
      </c>
      <c r="GW90" s="108" t="s">
        <v>502</v>
      </c>
      <c r="GX90" s="108" t="s">
        <v>502</v>
      </c>
      <c r="GY90" s="108" t="s">
        <v>664</v>
      </c>
      <c r="GZ90" s="108" t="s">
        <v>664</v>
      </c>
      <c r="HA90" s="108" t="s">
        <v>664</v>
      </c>
      <c r="HB90" s="108" t="s">
        <v>664</v>
      </c>
      <c r="HC90" s="108" t="s">
        <v>664</v>
      </c>
      <c r="HD90" s="108" t="s">
        <v>664</v>
      </c>
      <c r="HE90" s="108" t="s">
        <v>664</v>
      </c>
      <c r="HF90" s="108" t="s">
        <v>664</v>
      </c>
      <c r="HG90" s="108" t="s">
        <v>664</v>
      </c>
      <c r="HH90" s="108" t="s">
        <v>664</v>
      </c>
      <c r="HI90" s="108" t="s">
        <v>664</v>
      </c>
      <c r="HJ90" s="108" t="s">
        <v>664</v>
      </c>
      <c r="HK90" s="108" t="s">
        <v>664</v>
      </c>
      <c r="HL90" s="108" t="s">
        <v>664</v>
      </c>
      <c r="HM90" s="108" t="s">
        <v>664</v>
      </c>
      <c r="HN90" s="108" t="s">
        <v>664</v>
      </c>
      <c r="HO90" s="108" t="s">
        <v>664</v>
      </c>
      <c r="HP90" s="108" t="s">
        <v>664</v>
      </c>
      <c r="HQ90" s="108" t="s">
        <v>503</v>
      </c>
      <c r="HR90" s="108" t="s">
        <v>503</v>
      </c>
      <c r="HS90" s="108" t="s">
        <v>503</v>
      </c>
      <c r="HT90" s="108" t="s">
        <v>502</v>
      </c>
      <c r="HU90" s="108" t="s">
        <v>502</v>
      </c>
      <c r="HV90" s="108" t="s">
        <v>502</v>
      </c>
      <c r="HW90" s="108" t="s">
        <v>503</v>
      </c>
      <c r="HX90" s="108" t="s">
        <v>503</v>
      </c>
      <c r="HY90" s="108" t="s">
        <v>503</v>
      </c>
      <c r="HZ90" s="118" t="s">
        <v>502</v>
      </c>
      <c r="IA90" s="118" t="s">
        <v>502</v>
      </c>
      <c r="IB90" s="118" t="s">
        <v>502</v>
      </c>
      <c r="IC90" s="118" t="s">
        <v>502</v>
      </c>
      <c r="ID90" s="118" t="s">
        <v>502</v>
      </c>
      <c r="IE90" s="118" t="s">
        <v>502</v>
      </c>
      <c r="IF90" s="118" t="s">
        <v>502</v>
      </c>
      <c r="IG90" s="118" t="s">
        <v>502</v>
      </c>
      <c r="IH90" s="118" t="s">
        <v>502</v>
      </c>
      <c r="II90" s="118" t="s">
        <v>502</v>
      </c>
      <c r="IJ90" s="118" t="s">
        <v>502</v>
      </c>
      <c r="IK90" s="118" t="s">
        <v>502</v>
      </c>
      <c r="IL90" s="118" t="s">
        <v>502</v>
      </c>
      <c r="IM90" s="118" t="s">
        <v>502</v>
      </c>
      <c r="IN90" s="118" t="s">
        <v>502</v>
      </c>
      <c r="IO90" s="120" t="s">
        <v>503</v>
      </c>
      <c r="IP90" s="120" t="s">
        <v>503</v>
      </c>
      <c r="IQ90" s="120" t="s">
        <v>503</v>
      </c>
      <c r="IR90" s="118" t="s">
        <v>669</v>
      </c>
      <c r="IS90" s="118" t="s">
        <v>669</v>
      </c>
      <c r="IT90" s="118" t="s">
        <v>669</v>
      </c>
      <c r="IU90" s="120" t="s">
        <v>503</v>
      </c>
      <c r="IV90" s="120" t="s">
        <v>503</v>
      </c>
      <c r="IW90" s="120" t="s">
        <v>503</v>
      </c>
      <c r="IX90" s="120" t="s">
        <v>503</v>
      </c>
      <c r="IY90" s="120" t="s">
        <v>503</v>
      </c>
      <c r="IZ90" s="120" t="s">
        <v>503</v>
      </c>
      <c r="JA90" s="120" t="s">
        <v>503</v>
      </c>
      <c r="JB90" s="120" t="s">
        <v>503</v>
      </c>
      <c r="JC90" s="120" t="s">
        <v>503</v>
      </c>
      <c r="JD90" s="120" t="s">
        <v>664</v>
      </c>
      <c r="JE90" s="120" t="s">
        <v>664</v>
      </c>
      <c r="JF90" s="120" t="s">
        <v>664</v>
      </c>
      <c r="JG90" s="118" t="s">
        <v>502</v>
      </c>
      <c r="JH90" s="118" t="s">
        <v>502</v>
      </c>
      <c r="JI90" s="118" t="s">
        <v>502</v>
      </c>
      <c r="JJ90" s="118" t="s">
        <v>502</v>
      </c>
      <c r="JK90" s="118" t="s">
        <v>502</v>
      </c>
      <c r="JL90" s="118" t="s">
        <v>502</v>
      </c>
      <c r="JM90" s="118" t="s">
        <v>502</v>
      </c>
      <c r="JN90" s="118" t="s">
        <v>502</v>
      </c>
      <c r="JO90" s="118" t="s">
        <v>502</v>
      </c>
      <c r="JP90" s="110">
        <v>362950</v>
      </c>
      <c r="JQ90" s="111">
        <v>433643.02004800003</v>
      </c>
      <c r="JR90" s="112">
        <f t="shared" si="30"/>
        <v>2</v>
      </c>
      <c r="JS90" s="113">
        <f t="shared" si="31"/>
        <v>378000</v>
      </c>
      <c r="JT90" s="114">
        <f t="shared" si="32"/>
        <v>378000</v>
      </c>
      <c r="JU90" s="177"/>
    </row>
    <row r="91" spans="1:281" ht="101.25" customHeight="1" x14ac:dyDescent="0.2">
      <c r="A91" s="98">
        <v>186</v>
      </c>
      <c r="B91" s="99">
        <v>186</v>
      </c>
      <c r="C91" s="39" t="s">
        <v>12</v>
      </c>
      <c r="D91" s="100" t="s">
        <v>42</v>
      </c>
      <c r="E91" s="39">
        <v>90101600</v>
      </c>
      <c r="F91" s="101" t="s">
        <v>195</v>
      </c>
      <c r="G91" s="102" t="s">
        <v>60</v>
      </c>
      <c r="H91" s="103" t="s">
        <v>501</v>
      </c>
      <c r="I91" s="108" t="s">
        <v>503</v>
      </c>
      <c r="J91" s="108" t="s">
        <v>503</v>
      </c>
      <c r="K91" s="108" t="s">
        <v>503</v>
      </c>
      <c r="L91" s="118" t="s">
        <v>502</v>
      </c>
      <c r="M91" s="118" t="s">
        <v>502</v>
      </c>
      <c r="N91" s="118" t="s">
        <v>502</v>
      </c>
      <c r="O91" s="108" t="s">
        <v>503</v>
      </c>
      <c r="P91" s="108" t="s">
        <v>503</v>
      </c>
      <c r="Q91" s="108" t="s">
        <v>503</v>
      </c>
      <c r="R91" s="108" t="s">
        <v>503</v>
      </c>
      <c r="S91" s="108" t="s">
        <v>503</v>
      </c>
      <c r="T91" s="108" t="s">
        <v>503</v>
      </c>
      <c r="U91" s="108" t="s">
        <v>503</v>
      </c>
      <c r="V91" s="108" t="s">
        <v>503</v>
      </c>
      <c r="W91" s="108" t="s">
        <v>503</v>
      </c>
      <c r="X91" s="108" t="s">
        <v>503</v>
      </c>
      <c r="Y91" s="108" t="s">
        <v>503</v>
      </c>
      <c r="Z91" s="108" t="s">
        <v>503</v>
      </c>
      <c r="AA91" s="108" t="s">
        <v>503</v>
      </c>
      <c r="AB91" s="108" t="s">
        <v>503</v>
      </c>
      <c r="AC91" s="108" t="s">
        <v>503</v>
      </c>
      <c r="AD91" s="108" t="s">
        <v>503</v>
      </c>
      <c r="AE91" s="108" t="s">
        <v>503</v>
      </c>
      <c r="AF91" s="108" t="s">
        <v>503</v>
      </c>
      <c r="AG91" s="108" t="s">
        <v>503</v>
      </c>
      <c r="AH91" s="108" t="s">
        <v>503</v>
      </c>
      <c r="AI91" s="108" t="s">
        <v>503</v>
      </c>
      <c r="AJ91" s="108" t="s">
        <v>503</v>
      </c>
      <c r="AK91" s="108" t="s">
        <v>503</v>
      </c>
      <c r="AL91" s="108" t="s">
        <v>503</v>
      </c>
      <c r="AM91" s="108" t="s">
        <v>503</v>
      </c>
      <c r="AN91" s="108" t="s">
        <v>503</v>
      </c>
      <c r="AO91" s="108" t="s">
        <v>503</v>
      </c>
      <c r="AP91" s="108" t="s">
        <v>503</v>
      </c>
      <c r="AQ91" s="108" t="s">
        <v>503</v>
      </c>
      <c r="AR91" s="108" t="s">
        <v>503</v>
      </c>
      <c r="AS91" s="108" t="s">
        <v>503</v>
      </c>
      <c r="AT91" s="108" t="s">
        <v>503</v>
      </c>
      <c r="AU91" s="108" t="s">
        <v>503</v>
      </c>
      <c r="AV91" s="108" t="s">
        <v>503</v>
      </c>
      <c r="AW91" s="108" t="s">
        <v>503</v>
      </c>
      <c r="AX91" s="108" t="s">
        <v>503</v>
      </c>
      <c r="AY91" s="108" t="s">
        <v>503</v>
      </c>
      <c r="AZ91" s="108" t="s">
        <v>503</v>
      </c>
      <c r="BA91" s="108" t="s">
        <v>503</v>
      </c>
      <c r="BB91" s="108" t="s">
        <v>503</v>
      </c>
      <c r="BC91" s="108" t="s">
        <v>503</v>
      </c>
      <c r="BD91" s="108" t="s">
        <v>503</v>
      </c>
      <c r="BE91" s="108" t="s">
        <v>503</v>
      </c>
      <c r="BF91" s="108" t="s">
        <v>503</v>
      </c>
      <c r="BG91" s="108" t="s">
        <v>503</v>
      </c>
      <c r="BH91" s="108" t="s">
        <v>503</v>
      </c>
      <c r="BI91" s="108" t="s">
        <v>503</v>
      </c>
      <c r="BJ91" s="108" t="s">
        <v>503</v>
      </c>
      <c r="BK91" s="108" t="s">
        <v>503</v>
      </c>
      <c r="BL91" s="108" t="s">
        <v>503</v>
      </c>
      <c r="BM91" s="108" t="s">
        <v>503</v>
      </c>
      <c r="BN91" s="108" t="s">
        <v>503</v>
      </c>
      <c r="BO91" s="108" t="s">
        <v>503</v>
      </c>
      <c r="BP91" s="108" t="s">
        <v>503</v>
      </c>
      <c r="BQ91" s="108" t="s">
        <v>503</v>
      </c>
      <c r="BR91" s="108" t="s">
        <v>503</v>
      </c>
      <c r="BS91" s="108" t="s">
        <v>503</v>
      </c>
      <c r="BT91" s="108" t="s">
        <v>503</v>
      </c>
      <c r="BU91" s="108" t="s">
        <v>503</v>
      </c>
      <c r="BV91" s="108" t="s">
        <v>503</v>
      </c>
      <c r="BW91" s="108" t="s">
        <v>503</v>
      </c>
      <c r="BX91" s="108" t="s">
        <v>503</v>
      </c>
      <c r="BY91" s="108" t="s">
        <v>503</v>
      </c>
      <c r="BZ91" s="108" t="s">
        <v>503</v>
      </c>
      <c r="CA91" s="108" t="s">
        <v>503</v>
      </c>
      <c r="CB91" s="108" t="s">
        <v>503</v>
      </c>
      <c r="CC91" s="108" t="s">
        <v>503</v>
      </c>
      <c r="CD91" s="108" t="s">
        <v>503</v>
      </c>
      <c r="CE91" s="108" t="s">
        <v>503</v>
      </c>
      <c r="CF91" s="108" t="s">
        <v>503</v>
      </c>
      <c r="CG91" s="108" t="s">
        <v>503</v>
      </c>
      <c r="CH91" s="108" t="s">
        <v>503</v>
      </c>
      <c r="CI91" s="108" t="s">
        <v>503</v>
      </c>
      <c r="CJ91" s="108" t="s">
        <v>503</v>
      </c>
      <c r="CK91" s="108" t="s">
        <v>503</v>
      </c>
      <c r="CL91" s="108" t="s">
        <v>503</v>
      </c>
      <c r="CM91" s="108" t="s">
        <v>503</v>
      </c>
      <c r="CN91" s="108" t="s">
        <v>503</v>
      </c>
      <c r="CO91" s="108" t="s">
        <v>503</v>
      </c>
      <c r="CP91" s="108" t="s">
        <v>503</v>
      </c>
      <c r="CQ91" s="108" t="s">
        <v>503</v>
      </c>
      <c r="CR91" s="108" t="s">
        <v>503</v>
      </c>
      <c r="CS91" s="108" t="s">
        <v>503</v>
      </c>
      <c r="CT91" s="108" t="s">
        <v>503</v>
      </c>
      <c r="CU91" s="108" t="s">
        <v>503</v>
      </c>
      <c r="CV91" s="108" t="s">
        <v>503</v>
      </c>
      <c r="CW91" s="108" t="s">
        <v>503</v>
      </c>
      <c r="CX91" s="108" t="s">
        <v>503</v>
      </c>
      <c r="CY91" s="108" t="s">
        <v>503</v>
      </c>
      <c r="CZ91" s="108" t="s">
        <v>503</v>
      </c>
      <c r="DA91" s="108" t="s">
        <v>503</v>
      </c>
      <c r="DB91" s="108" t="s">
        <v>503</v>
      </c>
      <c r="DC91" s="108" t="s">
        <v>503</v>
      </c>
      <c r="DD91" s="108" t="s">
        <v>503</v>
      </c>
      <c r="DE91" s="108" t="s">
        <v>503</v>
      </c>
      <c r="DF91" s="108" t="s">
        <v>503</v>
      </c>
      <c r="DG91" s="108" t="s">
        <v>503</v>
      </c>
      <c r="DH91" s="108" t="s">
        <v>503</v>
      </c>
      <c r="DI91" s="108" t="s">
        <v>503</v>
      </c>
      <c r="DJ91" s="108" t="s">
        <v>503</v>
      </c>
      <c r="DK91" s="108" t="s">
        <v>503</v>
      </c>
      <c r="DL91" s="108" t="s">
        <v>503</v>
      </c>
      <c r="DM91" s="108" t="s">
        <v>503</v>
      </c>
      <c r="DN91" s="108" t="s">
        <v>503</v>
      </c>
      <c r="DO91" s="108" t="s">
        <v>503</v>
      </c>
      <c r="DP91" s="108" t="s">
        <v>669</v>
      </c>
      <c r="DQ91" s="108" t="s">
        <v>669</v>
      </c>
      <c r="DR91" s="108" t="s">
        <v>669</v>
      </c>
      <c r="DS91" s="108" t="s">
        <v>669</v>
      </c>
      <c r="DT91" s="108" t="s">
        <v>669</v>
      </c>
      <c r="DU91" s="108" t="s">
        <v>669</v>
      </c>
      <c r="DV91" s="108" t="s">
        <v>503</v>
      </c>
      <c r="DW91" s="108" t="s">
        <v>503</v>
      </c>
      <c r="DX91" s="108" t="s">
        <v>503</v>
      </c>
      <c r="DY91" s="108" t="s">
        <v>503</v>
      </c>
      <c r="DZ91" s="108" t="s">
        <v>503</v>
      </c>
      <c r="EA91" s="108" t="s">
        <v>503</v>
      </c>
      <c r="EB91" s="108" t="s">
        <v>503</v>
      </c>
      <c r="EC91" s="108" t="s">
        <v>503</v>
      </c>
      <c r="ED91" s="108" t="s">
        <v>503</v>
      </c>
      <c r="EE91" s="108" t="s">
        <v>503</v>
      </c>
      <c r="EF91" s="108" t="s">
        <v>503</v>
      </c>
      <c r="EG91" s="108" t="s">
        <v>503</v>
      </c>
      <c r="EH91" s="108" t="s">
        <v>503</v>
      </c>
      <c r="EI91" s="108" t="s">
        <v>503</v>
      </c>
      <c r="EJ91" s="108" t="s">
        <v>503</v>
      </c>
      <c r="EK91" s="108" t="s">
        <v>503</v>
      </c>
      <c r="EL91" s="108" t="s">
        <v>503</v>
      </c>
      <c r="EM91" s="108" t="s">
        <v>503</v>
      </c>
      <c r="EN91" s="108" t="s">
        <v>503</v>
      </c>
      <c r="EO91" s="108" t="s">
        <v>503</v>
      </c>
      <c r="EP91" s="108" t="s">
        <v>503</v>
      </c>
      <c r="EQ91" s="108" t="s">
        <v>502</v>
      </c>
      <c r="ER91" s="108" t="s">
        <v>502</v>
      </c>
      <c r="ES91" s="108" t="s">
        <v>502</v>
      </c>
      <c r="ET91" s="108" t="s">
        <v>502</v>
      </c>
      <c r="EU91" s="108" t="s">
        <v>502</v>
      </c>
      <c r="EV91" s="108" t="s">
        <v>502</v>
      </c>
      <c r="EW91" s="71">
        <v>435000</v>
      </c>
      <c r="EX91" s="176">
        <f>+EW91*8%</f>
        <v>34800</v>
      </c>
      <c r="EY91" s="71">
        <f>+EW91+EX91</f>
        <v>469800</v>
      </c>
      <c r="EZ91" s="71">
        <v>435000</v>
      </c>
      <c r="FA91" s="71">
        <f>+EZ91*8%</f>
        <v>34800</v>
      </c>
      <c r="FB91" s="71">
        <f>+EZ91+FA91</f>
        <v>469800</v>
      </c>
      <c r="FC91" s="108" t="s">
        <v>502</v>
      </c>
      <c r="FD91" s="108" t="s">
        <v>502</v>
      </c>
      <c r="FE91" s="108" t="s">
        <v>502</v>
      </c>
      <c r="FF91" s="108" t="s">
        <v>503</v>
      </c>
      <c r="FG91" s="108" t="s">
        <v>503</v>
      </c>
      <c r="FH91" s="108" t="s">
        <v>503</v>
      </c>
      <c r="FI91" s="108" t="s">
        <v>503</v>
      </c>
      <c r="FJ91" s="108" t="s">
        <v>503</v>
      </c>
      <c r="FK91" s="108" t="s">
        <v>503</v>
      </c>
      <c r="FL91" s="108" t="s">
        <v>503</v>
      </c>
      <c r="FM91" s="108" t="s">
        <v>503</v>
      </c>
      <c r="FN91" s="108" t="s">
        <v>503</v>
      </c>
      <c r="FO91" s="108" t="s">
        <v>502</v>
      </c>
      <c r="FP91" s="108" t="s">
        <v>502</v>
      </c>
      <c r="FQ91" s="108" t="s">
        <v>502</v>
      </c>
      <c r="FR91" s="108" t="s">
        <v>502</v>
      </c>
      <c r="FS91" s="108" t="s">
        <v>502</v>
      </c>
      <c r="FT91" s="108" t="s">
        <v>502</v>
      </c>
      <c r="FU91" s="108" t="s">
        <v>502</v>
      </c>
      <c r="FV91" s="108" t="s">
        <v>502</v>
      </c>
      <c r="FW91" s="108" t="s">
        <v>502</v>
      </c>
      <c r="FX91" s="108" t="s">
        <v>503</v>
      </c>
      <c r="FY91" s="108" t="s">
        <v>503</v>
      </c>
      <c r="FZ91" s="108" t="s">
        <v>503</v>
      </c>
      <c r="GA91" s="108" t="s">
        <v>503</v>
      </c>
      <c r="GB91" s="108" t="s">
        <v>503</v>
      </c>
      <c r="GC91" s="108" t="s">
        <v>503</v>
      </c>
      <c r="GD91" s="108" t="s">
        <v>503</v>
      </c>
      <c r="GE91" s="108" t="s">
        <v>503</v>
      </c>
      <c r="GF91" s="108" t="s">
        <v>503</v>
      </c>
      <c r="GG91" s="108" t="s">
        <v>669</v>
      </c>
      <c r="GH91" s="108" t="s">
        <v>669</v>
      </c>
      <c r="GI91" s="108" t="s">
        <v>669</v>
      </c>
      <c r="GJ91" s="108" t="s">
        <v>669</v>
      </c>
      <c r="GK91" s="108" t="s">
        <v>669</v>
      </c>
      <c r="GL91" s="108" t="s">
        <v>669</v>
      </c>
      <c r="GM91" s="108" t="s">
        <v>502</v>
      </c>
      <c r="GN91" s="108" t="s">
        <v>502</v>
      </c>
      <c r="GO91" s="108" t="s">
        <v>502</v>
      </c>
      <c r="GP91" s="108" t="s">
        <v>664</v>
      </c>
      <c r="GQ91" s="108" t="s">
        <v>664</v>
      </c>
      <c r="GR91" s="108" t="s">
        <v>664</v>
      </c>
      <c r="GS91" s="108" t="s">
        <v>502</v>
      </c>
      <c r="GT91" s="108" t="s">
        <v>502</v>
      </c>
      <c r="GU91" s="108" t="s">
        <v>502</v>
      </c>
      <c r="GV91" s="108" t="s">
        <v>502</v>
      </c>
      <c r="GW91" s="108" t="s">
        <v>502</v>
      </c>
      <c r="GX91" s="108" t="s">
        <v>502</v>
      </c>
      <c r="GY91" s="108" t="s">
        <v>664</v>
      </c>
      <c r="GZ91" s="108" t="s">
        <v>664</v>
      </c>
      <c r="HA91" s="108" t="s">
        <v>664</v>
      </c>
      <c r="HB91" s="108" t="s">
        <v>664</v>
      </c>
      <c r="HC91" s="108" t="s">
        <v>664</v>
      </c>
      <c r="HD91" s="108" t="s">
        <v>664</v>
      </c>
      <c r="HE91" s="108" t="s">
        <v>664</v>
      </c>
      <c r="HF91" s="108" t="s">
        <v>664</v>
      </c>
      <c r="HG91" s="108" t="s">
        <v>664</v>
      </c>
      <c r="HH91" s="108" t="s">
        <v>664</v>
      </c>
      <c r="HI91" s="108" t="s">
        <v>664</v>
      </c>
      <c r="HJ91" s="108" t="s">
        <v>664</v>
      </c>
      <c r="HK91" s="108" t="s">
        <v>664</v>
      </c>
      <c r="HL91" s="108" t="s">
        <v>664</v>
      </c>
      <c r="HM91" s="108" t="s">
        <v>664</v>
      </c>
      <c r="HN91" s="108" t="s">
        <v>664</v>
      </c>
      <c r="HO91" s="108" t="s">
        <v>664</v>
      </c>
      <c r="HP91" s="108" t="s">
        <v>664</v>
      </c>
      <c r="HQ91" s="108" t="s">
        <v>503</v>
      </c>
      <c r="HR91" s="108" t="s">
        <v>503</v>
      </c>
      <c r="HS91" s="108" t="s">
        <v>503</v>
      </c>
      <c r="HT91" s="108" t="s">
        <v>502</v>
      </c>
      <c r="HU91" s="108" t="s">
        <v>502</v>
      </c>
      <c r="HV91" s="108" t="s">
        <v>502</v>
      </c>
      <c r="HW91" s="108" t="s">
        <v>503</v>
      </c>
      <c r="HX91" s="108" t="s">
        <v>503</v>
      </c>
      <c r="HY91" s="108" t="s">
        <v>503</v>
      </c>
      <c r="HZ91" s="118" t="s">
        <v>502</v>
      </c>
      <c r="IA91" s="118" t="s">
        <v>502</v>
      </c>
      <c r="IB91" s="118" t="s">
        <v>502</v>
      </c>
      <c r="IC91" s="118" t="s">
        <v>502</v>
      </c>
      <c r="ID91" s="118" t="s">
        <v>502</v>
      </c>
      <c r="IE91" s="118" t="s">
        <v>502</v>
      </c>
      <c r="IF91" s="118" t="s">
        <v>502</v>
      </c>
      <c r="IG91" s="118" t="s">
        <v>502</v>
      </c>
      <c r="IH91" s="118" t="s">
        <v>502</v>
      </c>
      <c r="II91" s="118" t="s">
        <v>502</v>
      </c>
      <c r="IJ91" s="118" t="s">
        <v>502</v>
      </c>
      <c r="IK91" s="118" t="s">
        <v>502</v>
      </c>
      <c r="IL91" s="118" t="s">
        <v>502</v>
      </c>
      <c r="IM91" s="118" t="s">
        <v>502</v>
      </c>
      <c r="IN91" s="118" t="s">
        <v>502</v>
      </c>
      <c r="IO91" s="120" t="s">
        <v>503</v>
      </c>
      <c r="IP91" s="120" t="s">
        <v>503</v>
      </c>
      <c r="IQ91" s="120" t="s">
        <v>503</v>
      </c>
      <c r="IR91" s="118" t="s">
        <v>669</v>
      </c>
      <c r="IS91" s="118" t="s">
        <v>669</v>
      </c>
      <c r="IT91" s="118" t="s">
        <v>669</v>
      </c>
      <c r="IU91" s="120" t="s">
        <v>503</v>
      </c>
      <c r="IV91" s="120" t="s">
        <v>503</v>
      </c>
      <c r="IW91" s="120" t="s">
        <v>503</v>
      </c>
      <c r="IX91" s="120" t="s">
        <v>503</v>
      </c>
      <c r="IY91" s="120" t="s">
        <v>503</v>
      </c>
      <c r="IZ91" s="120" t="s">
        <v>503</v>
      </c>
      <c r="JA91" s="120" t="s">
        <v>503</v>
      </c>
      <c r="JB91" s="120" t="s">
        <v>503</v>
      </c>
      <c r="JC91" s="120" t="s">
        <v>503</v>
      </c>
      <c r="JD91" s="120" t="s">
        <v>664</v>
      </c>
      <c r="JE91" s="120" t="s">
        <v>664</v>
      </c>
      <c r="JF91" s="120" t="s">
        <v>664</v>
      </c>
      <c r="JG91" s="118" t="s">
        <v>502</v>
      </c>
      <c r="JH91" s="118" t="s">
        <v>502</v>
      </c>
      <c r="JI91" s="118" t="s">
        <v>502</v>
      </c>
      <c r="JJ91" s="118" t="s">
        <v>502</v>
      </c>
      <c r="JK91" s="118" t="s">
        <v>502</v>
      </c>
      <c r="JL91" s="118" t="s">
        <v>502</v>
      </c>
      <c r="JM91" s="118" t="s">
        <v>502</v>
      </c>
      <c r="JN91" s="118" t="s">
        <v>502</v>
      </c>
      <c r="JO91" s="118" t="s">
        <v>502</v>
      </c>
      <c r="JP91" s="110">
        <v>627450</v>
      </c>
      <c r="JQ91" s="111">
        <v>749660.59492800001</v>
      </c>
      <c r="JR91" s="112">
        <f t="shared" si="30"/>
        <v>2</v>
      </c>
      <c r="JS91" s="113">
        <f t="shared" si="31"/>
        <v>469800</v>
      </c>
      <c r="JT91" s="114">
        <f t="shared" si="32"/>
        <v>469800</v>
      </c>
      <c r="JU91" s="177"/>
    </row>
    <row r="92" spans="1:281" ht="101.25" customHeight="1" x14ac:dyDescent="0.2">
      <c r="A92" s="98">
        <v>187</v>
      </c>
      <c r="B92" s="99">
        <v>187</v>
      </c>
      <c r="C92" s="39" t="s">
        <v>12</v>
      </c>
      <c r="D92" s="100" t="s">
        <v>43</v>
      </c>
      <c r="E92" s="39">
        <v>90101600</v>
      </c>
      <c r="F92" s="168" t="s">
        <v>196</v>
      </c>
      <c r="G92" s="102" t="s">
        <v>60</v>
      </c>
      <c r="H92" s="103" t="s">
        <v>501</v>
      </c>
      <c r="I92" s="108" t="s">
        <v>503</v>
      </c>
      <c r="J92" s="108" t="s">
        <v>503</v>
      </c>
      <c r="K92" s="108" t="s">
        <v>503</v>
      </c>
      <c r="L92" s="118" t="s">
        <v>502</v>
      </c>
      <c r="M92" s="118" t="s">
        <v>502</v>
      </c>
      <c r="N92" s="118" t="s">
        <v>502</v>
      </c>
      <c r="O92" s="108" t="s">
        <v>503</v>
      </c>
      <c r="P92" s="108" t="s">
        <v>503</v>
      </c>
      <c r="Q92" s="108" t="s">
        <v>503</v>
      </c>
      <c r="R92" s="108" t="s">
        <v>503</v>
      </c>
      <c r="S92" s="108" t="s">
        <v>503</v>
      </c>
      <c r="T92" s="108" t="s">
        <v>503</v>
      </c>
      <c r="U92" s="118" t="s">
        <v>502</v>
      </c>
      <c r="V92" s="118" t="s">
        <v>502</v>
      </c>
      <c r="W92" s="118" t="s">
        <v>502</v>
      </c>
      <c r="X92" s="108" t="s">
        <v>503</v>
      </c>
      <c r="Y92" s="108" t="s">
        <v>503</v>
      </c>
      <c r="Z92" s="108" t="s">
        <v>503</v>
      </c>
      <c r="AA92" s="108" t="s">
        <v>503</v>
      </c>
      <c r="AB92" s="108" t="s">
        <v>503</v>
      </c>
      <c r="AC92" s="108" t="s">
        <v>503</v>
      </c>
      <c r="AD92" s="108" t="s">
        <v>503</v>
      </c>
      <c r="AE92" s="108" t="s">
        <v>503</v>
      </c>
      <c r="AF92" s="108" t="s">
        <v>503</v>
      </c>
      <c r="AG92" s="108" t="s">
        <v>503</v>
      </c>
      <c r="AH92" s="108" t="s">
        <v>503</v>
      </c>
      <c r="AI92" s="108" t="s">
        <v>503</v>
      </c>
      <c r="AJ92" s="108" t="s">
        <v>503</v>
      </c>
      <c r="AK92" s="108" t="s">
        <v>503</v>
      </c>
      <c r="AL92" s="108" t="s">
        <v>503</v>
      </c>
      <c r="AM92" s="108" t="s">
        <v>503</v>
      </c>
      <c r="AN92" s="108" t="s">
        <v>503</v>
      </c>
      <c r="AO92" s="108" t="s">
        <v>503</v>
      </c>
      <c r="AP92" s="108" t="s">
        <v>503</v>
      </c>
      <c r="AQ92" s="108" t="s">
        <v>503</v>
      </c>
      <c r="AR92" s="108" t="s">
        <v>503</v>
      </c>
      <c r="AS92" s="108" t="s">
        <v>503</v>
      </c>
      <c r="AT92" s="108" t="s">
        <v>503</v>
      </c>
      <c r="AU92" s="108" t="s">
        <v>503</v>
      </c>
      <c r="AV92" s="108" t="s">
        <v>503</v>
      </c>
      <c r="AW92" s="108" t="s">
        <v>503</v>
      </c>
      <c r="AX92" s="108" t="s">
        <v>503</v>
      </c>
      <c r="AY92" s="108" t="s">
        <v>503</v>
      </c>
      <c r="AZ92" s="108" t="s">
        <v>503</v>
      </c>
      <c r="BA92" s="108" t="s">
        <v>503</v>
      </c>
      <c r="BB92" s="108" t="s">
        <v>503</v>
      </c>
      <c r="BC92" s="108" t="s">
        <v>503</v>
      </c>
      <c r="BD92" s="108" t="s">
        <v>503</v>
      </c>
      <c r="BE92" s="108" t="s">
        <v>503</v>
      </c>
      <c r="BF92" s="108" t="s">
        <v>503</v>
      </c>
      <c r="BG92" s="108" t="s">
        <v>503</v>
      </c>
      <c r="BH92" s="108" t="s">
        <v>503</v>
      </c>
      <c r="BI92" s="108" t="s">
        <v>503</v>
      </c>
      <c r="BJ92" s="108" t="s">
        <v>503</v>
      </c>
      <c r="BK92" s="108" t="s">
        <v>503</v>
      </c>
      <c r="BL92" s="108" t="s">
        <v>503</v>
      </c>
      <c r="BM92" s="108" t="s">
        <v>503</v>
      </c>
      <c r="BN92" s="108" t="s">
        <v>503</v>
      </c>
      <c r="BO92" s="108" t="s">
        <v>503</v>
      </c>
      <c r="BP92" s="108" t="s">
        <v>503</v>
      </c>
      <c r="BQ92" s="108" t="s">
        <v>503</v>
      </c>
      <c r="BR92" s="108" t="s">
        <v>503</v>
      </c>
      <c r="BS92" s="108" t="s">
        <v>503</v>
      </c>
      <c r="BT92" s="108" t="s">
        <v>503</v>
      </c>
      <c r="BU92" s="108" t="s">
        <v>503</v>
      </c>
      <c r="BV92" s="108" t="s">
        <v>503</v>
      </c>
      <c r="BW92" s="108" t="s">
        <v>503</v>
      </c>
      <c r="BX92" s="108" t="s">
        <v>503</v>
      </c>
      <c r="BY92" s="108" t="s">
        <v>503</v>
      </c>
      <c r="BZ92" s="108" t="s">
        <v>503</v>
      </c>
      <c r="CA92" s="108" t="s">
        <v>503</v>
      </c>
      <c r="CB92" s="108" t="s">
        <v>503</v>
      </c>
      <c r="CC92" s="108" t="s">
        <v>503</v>
      </c>
      <c r="CD92" s="108" t="s">
        <v>503</v>
      </c>
      <c r="CE92" s="108" t="s">
        <v>503</v>
      </c>
      <c r="CF92" s="108" t="s">
        <v>503</v>
      </c>
      <c r="CG92" s="108" t="s">
        <v>503</v>
      </c>
      <c r="CH92" s="108" t="s">
        <v>503</v>
      </c>
      <c r="CI92" s="108" t="s">
        <v>503</v>
      </c>
      <c r="CJ92" s="108" t="s">
        <v>503</v>
      </c>
      <c r="CK92" s="108" t="s">
        <v>503</v>
      </c>
      <c r="CL92" s="108" t="s">
        <v>503</v>
      </c>
      <c r="CM92" s="108" t="s">
        <v>503</v>
      </c>
      <c r="CN92" s="108" t="s">
        <v>503</v>
      </c>
      <c r="CO92" s="108" t="s">
        <v>503</v>
      </c>
      <c r="CP92" s="108" t="s">
        <v>503</v>
      </c>
      <c r="CQ92" s="108" t="s">
        <v>503</v>
      </c>
      <c r="CR92" s="108" t="s">
        <v>503</v>
      </c>
      <c r="CS92" s="108" t="s">
        <v>503</v>
      </c>
      <c r="CT92" s="108" t="s">
        <v>503</v>
      </c>
      <c r="CU92" s="108" t="s">
        <v>503</v>
      </c>
      <c r="CV92" s="108" t="s">
        <v>503</v>
      </c>
      <c r="CW92" s="108" t="s">
        <v>503</v>
      </c>
      <c r="CX92" s="108" t="s">
        <v>503</v>
      </c>
      <c r="CY92" s="108" t="s">
        <v>503</v>
      </c>
      <c r="CZ92" s="108" t="s">
        <v>503</v>
      </c>
      <c r="DA92" s="108" t="s">
        <v>503</v>
      </c>
      <c r="DB92" s="108" t="s">
        <v>503</v>
      </c>
      <c r="DC92" s="108" t="s">
        <v>503</v>
      </c>
      <c r="DD92" s="108" t="s">
        <v>503</v>
      </c>
      <c r="DE92" s="108" t="s">
        <v>503</v>
      </c>
      <c r="DF92" s="108" t="s">
        <v>503</v>
      </c>
      <c r="DG92" s="108" t="s">
        <v>503</v>
      </c>
      <c r="DH92" s="108" t="s">
        <v>503</v>
      </c>
      <c r="DI92" s="108" t="s">
        <v>503</v>
      </c>
      <c r="DJ92" s="108" t="s">
        <v>503</v>
      </c>
      <c r="DK92" s="108" t="s">
        <v>503</v>
      </c>
      <c r="DL92" s="108" t="s">
        <v>503</v>
      </c>
      <c r="DM92" s="108" t="s">
        <v>503</v>
      </c>
      <c r="DN92" s="108" t="s">
        <v>503</v>
      </c>
      <c r="DO92" s="108" t="s">
        <v>503</v>
      </c>
      <c r="DP92" s="108" t="s">
        <v>669</v>
      </c>
      <c r="DQ92" s="108" t="s">
        <v>669</v>
      </c>
      <c r="DR92" s="108" t="s">
        <v>669</v>
      </c>
      <c r="DS92" s="108" t="s">
        <v>669</v>
      </c>
      <c r="DT92" s="108" t="s">
        <v>669</v>
      </c>
      <c r="DU92" s="108" t="s">
        <v>669</v>
      </c>
      <c r="DV92" s="108" t="s">
        <v>503</v>
      </c>
      <c r="DW92" s="108" t="s">
        <v>503</v>
      </c>
      <c r="DX92" s="108" t="s">
        <v>503</v>
      </c>
      <c r="DY92" s="108" t="s">
        <v>503</v>
      </c>
      <c r="DZ92" s="108" t="s">
        <v>503</v>
      </c>
      <c r="EA92" s="108" t="s">
        <v>503</v>
      </c>
      <c r="EB92" s="108" t="s">
        <v>503</v>
      </c>
      <c r="EC92" s="108" t="s">
        <v>503</v>
      </c>
      <c r="ED92" s="108" t="s">
        <v>503</v>
      </c>
      <c r="EE92" s="108" t="s">
        <v>503</v>
      </c>
      <c r="EF92" s="108" t="s">
        <v>503</v>
      </c>
      <c r="EG92" s="108" t="s">
        <v>503</v>
      </c>
      <c r="EH92" s="108" t="s">
        <v>503</v>
      </c>
      <c r="EI92" s="108" t="s">
        <v>503</v>
      </c>
      <c r="EJ92" s="108" t="s">
        <v>503</v>
      </c>
      <c r="EK92" s="108" t="s">
        <v>503</v>
      </c>
      <c r="EL92" s="108" t="s">
        <v>503</v>
      </c>
      <c r="EM92" s="108" t="s">
        <v>503</v>
      </c>
      <c r="EN92" s="108" t="s">
        <v>503</v>
      </c>
      <c r="EO92" s="108" t="s">
        <v>503</v>
      </c>
      <c r="EP92" s="108" t="s">
        <v>503</v>
      </c>
      <c r="EQ92" s="108" t="s">
        <v>502</v>
      </c>
      <c r="ER92" s="108" t="s">
        <v>502</v>
      </c>
      <c r="ES92" s="108" t="s">
        <v>502</v>
      </c>
      <c r="ET92" s="108" t="s">
        <v>502</v>
      </c>
      <c r="EU92" s="108" t="s">
        <v>502</v>
      </c>
      <c r="EV92" s="108" t="s">
        <v>502</v>
      </c>
      <c r="EW92" s="175">
        <v>750000</v>
      </c>
      <c r="EX92" s="176">
        <f>+EW92*8%</f>
        <v>60000</v>
      </c>
      <c r="EY92" s="71">
        <f>+EW92+EX92</f>
        <v>810000</v>
      </c>
      <c r="EZ92" s="71">
        <v>750000</v>
      </c>
      <c r="FA92" s="71">
        <f>+EZ92*8%</f>
        <v>60000</v>
      </c>
      <c r="FB92" s="71">
        <f>+EZ92+FA92</f>
        <v>810000</v>
      </c>
      <c r="FC92" s="108" t="s">
        <v>502</v>
      </c>
      <c r="FD92" s="108" t="s">
        <v>502</v>
      </c>
      <c r="FE92" s="108" t="s">
        <v>502</v>
      </c>
      <c r="FF92" s="108" t="s">
        <v>503</v>
      </c>
      <c r="FG92" s="108" t="s">
        <v>503</v>
      </c>
      <c r="FH92" s="108" t="s">
        <v>503</v>
      </c>
      <c r="FI92" s="108" t="s">
        <v>503</v>
      </c>
      <c r="FJ92" s="108" t="s">
        <v>503</v>
      </c>
      <c r="FK92" s="108" t="s">
        <v>503</v>
      </c>
      <c r="FL92" s="108" t="s">
        <v>503</v>
      </c>
      <c r="FM92" s="108" t="s">
        <v>503</v>
      </c>
      <c r="FN92" s="108" t="s">
        <v>503</v>
      </c>
      <c r="FO92" s="108" t="s">
        <v>502</v>
      </c>
      <c r="FP92" s="108" t="s">
        <v>502</v>
      </c>
      <c r="FQ92" s="108" t="s">
        <v>502</v>
      </c>
      <c r="FR92" s="108" t="s">
        <v>502</v>
      </c>
      <c r="FS92" s="108" t="s">
        <v>502</v>
      </c>
      <c r="FT92" s="108" t="s">
        <v>502</v>
      </c>
      <c r="FU92" s="108" t="s">
        <v>502</v>
      </c>
      <c r="FV92" s="108" t="s">
        <v>502</v>
      </c>
      <c r="FW92" s="108" t="s">
        <v>502</v>
      </c>
      <c r="FX92" s="108" t="s">
        <v>503</v>
      </c>
      <c r="FY92" s="108" t="s">
        <v>503</v>
      </c>
      <c r="FZ92" s="108" t="s">
        <v>503</v>
      </c>
      <c r="GA92" s="108" t="s">
        <v>503</v>
      </c>
      <c r="GB92" s="108" t="s">
        <v>503</v>
      </c>
      <c r="GC92" s="108" t="s">
        <v>503</v>
      </c>
      <c r="GD92" s="108" t="s">
        <v>503</v>
      </c>
      <c r="GE92" s="108" t="s">
        <v>503</v>
      </c>
      <c r="GF92" s="108" t="s">
        <v>503</v>
      </c>
      <c r="GG92" s="108" t="s">
        <v>669</v>
      </c>
      <c r="GH92" s="108" t="s">
        <v>669</v>
      </c>
      <c r="GI92" s="108" t="s">
        <v>669</v>
      </c>
      <c r="GJ92" s="108" t="s">
        <v>669</v>
      </c>
      <c r="GK92" s="108" t="s">
        <v>669</v>
      </c>
      <c r="GL92" s="108" t="s">
        <v>669</v>
      </c>
      <c r="GM92" s="108" t="s">
        <v>502</v>
      </c>
      <c r="GN92" s="108" t="s">
        <v>502</v>
      </c>
      <c r="GO92" s="108" t="s">
        <v>502</v>
      </c>
      <c r="GP92" s="108" t="s">
        <v>664</v>
      </c>
      <c r="GQ92" s="108" t="s">
        <v>664</v>
      </c>
      <c r="GR92" s="108" t="s">
        <v>664</v>
      </c>
      <c r="GS92" s="108" t="s">
        <v>502</v>
      </c>
      <c r="GT92" s="108" t="s">
        <v>502</v>
      </c>
      <c r="GU92" s="108" t="s">
        <v>502</v>
      </c>
      <c r="GV92" s="108" t="s">
        <v>502</v>
      </c>
      <c r="GW92" s="108" t="s">
        <v>502</v>
      </c>
      <c r="GX92" s="108" t="s">
        <v>502</v>
      </c>
      <c r="GY92" s="108" t="s">
        <v>664</v>
      </c>
      <c r="GZ92" s="108" t="s">
        <v>664</v>
      </c>
      <c r="HA92" s="108" t="s">
        <v>664</v>
      </c>
      <c r="HB92" s="108" t="s">
        <v>664</v>
      </c>
      <c r="HC92" s="108" t="s">
        <v>664</v>
      </c>
      <c r="HD92" s="108" t="s">
        <v>664</v>
      </c>
      <c r="HE92" s="108" t="s">
        <v>664</v>
      </c>
      <c r="HF92" s="108" t="s">
        <v>664</v>
      </c>
      <c r="HG92" s="108" t="s">
        <v>664</v>
      </c>
      <c r="HH92" s="108" t="s">
        <v>664</v>
      </c>
      <c r="HI92" s="108" t="s">
        <v>664</v>
      </c>
      <c r="HJ92" s="108" t="s">
        <v>664</v>
      </c>
      <c r="HK92" s="108" t="s">
        <v>664</v>
      </c>
      <c r="HL92" s="108" t="s">
        <v>664</v>
      </c>
      <c r="HM92" s="108" t="s">
        <v>664</v>
      </c>
      <c r="HN92" s="108" t="s">
        <v>664</v>
      </c>
      <c r="HO92" s="108" t="s">
        <v>664</v>
      </c>
      <c r="HP92" s="108" t="s">
        <v>664</v>
      </c>
      <c r="HQ92" s="108" t="s">
        <v>503</v>
      </c>
      <c r="HR92" s="108" t="s">
        <v>503</v>
      </c>
      <c r="HS92" s="108" t="s">
        <v>503</v>
      </c>
      <c r="HT92" s="108" t="s">
        <v>502</v>
      </c>
      <c r="HU92" s="108" t="s">
        <v>502</v>
      </c>
      <c r="HV92" s="108" t="s">
        <v>502</v>
      </c>
      <c r="HW92" s="108" t="s">
        <v>503</v>
      </c>
      <c r="HX92" s="108" t="s">
        <v>503</v>
      </c>
      <c r="HY92" s="108" t="s">
        <v>503</v>
      </c>
      <c r="HZ92" s="118" t="s">
        <v>502</v>
      </c>
      <c r="IA92" s="118" t="s">
        <v>502</v>
      </c>
      <c r="IB92" s="118" t="s">
        <v>502</v>
      </c>
      <c r="IC92" s="118" t="s">
        <v>502</v>
      </c>
      <c r="ID92" s="118" t="s">
        <v>502</v>
      </c>
      <c r="IE92" s="118" t="s">
        <v>502</v>
      </c>
      <c r="IF92" s="118" t="s">
        <v>502</v>
      </c>
      <c r="IG92" s="118" t="s">
        <v>502</v>
      </c>
      <c r="IH92" s="118" t="s">
        <v>502</v>
      </c>
      <c r="II92" s="118" t="s">
        <v>502</v>
      </c>
      <c r="IJ92" s="118" t="s">
        <v>502</v>
      </c>
      <c r="IK92" s="118" t="s">
        <v>502</v>
      </c>
      <c r="IL92" s="118" t="s">
        <v>502</v>
      </c>
      <c r="IM92" s="118" t="s">
        <v>502</v>
      </c>
      <c r="IN92" s="118" t="s">
        <v>502</v>
      </c>
      <c r="IO92" s="120" t="s">
        <v>503</v>
      </c>
      <c r="IP92" s="120" t="s">
        <v>503</v>
      </c>
      <c r="IQ92" s="120" t="s">
        <v>503</v>
      </c>
      <c r="IR92" s="118" t="s">
        <v>669</v>
      </c>
      <c r="IS92" s="118" t="s">
        <v>669</v>
      </c>
      <c r="IT92" s="118" t="s">
        <v>669</v>
      </c>
      <c r="IU92" s="120" t="s">
        <v>503</v>
      </c>
      <c r="IV92" s="120" t="s">
        <v>503</v>
      </c>
      <c r="IW92" s="120" t="s">
        <v>503</v>
      </c>
      <c r="IX92" s="120" t="s">
        <v>503</v>
      </c>
      <c r="IY92" s="120" t="s">
        <v>503</v>
      </c>
      <c r="IZ92" s="120" t="s">
        <v>503</v>
      </c>
      <c r="JA92" s="120" t="s">
        <v>503</v>
      </c>
      <c r="JB92" s="120" t="s">
        <v>503</v>
      </c>
      <c r="JC92" s="120" t="s">
        <v>503</v>
      </c>
      <c r="JD92" s="120" t="s">
        <v>664</v>
      </c>
      <c r="JE92" s="120" t="s">
        <v>664</v>
      </c>
      <c r="JF92" s="120" t="s">
        <v>664</v>
      </c>
      <c r="JG92" s="118" t="s">
        <v>502</v>
      </c>
      <c r="JH92" s="118" t="s">
        <v>502</v>
      </c>
      <c r="JI92" s="118" t="s">
        <v>502</v>
      </c>
      <c r="JJ92" s="118" t="s">
        <v>502</v>
      </c>
      <c r="JK92" s="118" t="s">
        <v>502</v>
      </c>
      <c r="JL92" s="118" t="s">
        <v>502</v>
      </c>
      <c r="JM92" s="118" t="s">
        <v>502</v>
      </c>
      <c r="JN92" s="118" t="s">
        <v>502</v>
      </c>
      <c r="JO92" s="118" t="s">
        <v>502</v>
      </c>
      <c r="JP92" s="110">
        <v>897200</v>
      </c>
      <c r="JQ92" s="111">
        <v>1071950.730368</v>
      </c>
      <c r="JR92" s="112">
        <f t="shared" si="30"/>
        <v>2</v>
      </c>
      <c r="JS92" s="113">
        <f t="shared" si="31"/>
        <v>810000</v>
      </c>
      <c r="JT92" s="114">
        <f t="shared" si="32"/>
        <v>810000</v>
      </c>
      <c r="JU92" s="177"/>
    </row>
    <row r="93" spans="1:281" ht="101.25" customHeight="1" x14ac:dyDescent="0.2">
      <c r="A93" s="98">
        <v>193</v>
      </c>
      <c r="B93" s="99">
        <v>193</v>
      </c>
      <c r="C93" s="39" t="s">
        <v>12</v>
      </c>
      <c r="D93" s="100" t="s">
        <v>44</v>
      </c>
      <c r="E93" s="39">
        <v>82150000</v>
      </c>
      <c r="F93" s="101" t="s">
        <v>197</v>
      </c>
      <c r="G93" s="102" t="s">
        <v>60</v>
      </c>
      <c r="H93" s="103" t="s">
        <v>501</v>
      </c>
      <c r="I93" s="108" t="s">
        <v>503</v>
      </c>
      <c r="J93" s="108" t="s">
        <v>503</v>
      </c>
      <c r="K93" s="108" t="s">
        <v>503</v>
      </c>
      <c r="L93" s="118" t="s">
        <v>502</v>
      </c>
      <c r="M93" s="118" t="s">
        <v>502</v>
      </c>
      <c r="N93" s="118" t="s">
        <v>502</v>
      </c>
      <c r="O93" s="108" t="s">
        <v>503</v>
      </c>
      <c r="P93" s="108" t="s">
        <v>503</v>
      </c>
      <c r="Q93" s="108" t="s">
        <v>503</v>
      </c>
      <c r="R93" s="108" t="s">
        <v>503</v>
      </c>
      <c r="S93" s="108" t="s">
        <v>503</v>
      </c>
      <c r="T93" s="108" t="s">
        <v>503</v>
      </c>
      <c r="U93" s="118" t="s">
        <v>502</v>
      </c>
      <c r="V93" s="118" t="s">
        <v>502</v>
      </c>
      <c r="W93" s="118" t="s">
        <v>502</v>
      </c>
      <c r="X93" s="108" t="s">
        <v>503</v>
      </c>
      <c r="Y93" s="108" t="s">
        <v>503</v>
      </c>
      <c r="Z93" s="108" t="s">
        <v>503</v>
      </c>
      <c r="AA93" s="108" t="s">
        <v>503</v>
      </c>
      <c r="AB93" s="108" t="s">
        <v>503</v>
      </c>
      <c r="AC93" s="108" t="s">
        <v>503</v>
      </c>
      <c r="AD93" s="108" t="s">
        <v>503</v>
      </c>
      <c r="AE93" s="108" t="s">
        <v>503</v>
      </c>
      <c r="AF93" s="108" t="s">
        <v>503</v>
      </c>
      <c r="AG93" s="108" t="s">
        <v>503</v>
      </c>
      <c r="AH93" s="108" t="s">
        <v>503</v>
      </c>
      <c r="AI93" s="108" t="s">
        <v>503</v>
      </c>
      <c r="AJ93" s="108" t="s">
        <v>503</v>
      </c>
      <c r="AK93" s="108" t="s">
        <v>503</v>
      </c>
      <c r="AL93" s="108" t="s">
        <v>503</v>
      </c>
      <c r="AM93" s="108" t="s">
        <v>503</v>
      </c>
      <c r="AN93" s="108" t="s">
        <v>503</v>
      </c>
      <c r="AO93" s="108" t="s">
        <v>503</v>
      </c>
      <c r="AP93" s="108" t="s">
        <v>503</v>
      </c>
      <c r="AQ93" s="108" t="s">
        <v>503</v>
      </c>
      <c r="AR93" s="108" t="s">
        <v>503</v>
      </c>
      <c r="AS93" s="118" t="s">
        <v>502</v>
      </c>
      <c r="AT93" s="118" t="s">
        <v>502</v>
      </c>
      <c r="AU93" s="118" t="s">
        <v>502</v>
      </c>
      <c r="AV93" s="108" t="s">
        <v>503</v>
      </c>
      <c r="AW93" s="108" t="s">
        <v>503</v>
      </c>
      <c r="AX93" s="108" t="s">
        <v>503</v>
      </c>
      <c r="AY93" s="108" t="s">
        <v>503</v>
      </c>
      <c r="AZ93" s="108" t="s">
        <v>503</v>
      </c>
      <c r="BA93" s="108" t="s">
        <v>503</v>
      </c>
      <c r="BB93" s="108" t="s">
        <v>503</v>
      </c>
      <c r="BC93" s="108" t="s">
        <v>503</v>
      </c>
      <c r="BD93" s="108" t="s">
        <v>503</v>
      </c>
      <c r="BE93" s="118" t="s">
        <v>502</v>
      </c>
      <c r="BF93" s="118" t="s">
        <v>502</v>
      </c>
      <c r="BG93" s="118" t="s">
        <v>502</v>
      </c>
      <c r="BH93" s="108" t="s">
        <v>503</v>
      </c>
      <c r="BI93" s="108" t="s">
        <v>503</v>
      </c>
      <c r="BJ93" s="108" t="s">
        <v>503</v>
      </c>
      <c r="BK93" s="108" t="s">
        <v>503</v>
      </c>
      <c r="BL93" s="108" t="s">
        <v>503</v>
      </c>
      <c r="BM93" s="108" t="s">
        <v>503</v>
      </c>
      <c r="BN93" s="108" t="s">
        <v>503</v>
      </c>
      <c r="BO93" s="108" t="s">
        <v>503</v>
      </c>
      <c r="BP93" s="108" t="s">
        <v>503</v>
      </c>
      <c r="BQ93" s="108" t="s">
        <v>503</v>
      </c>
      <c r="BR93" s="108" t="s">
        <v>503</v>
      </c>
      <c r="BS93" s="108" t="s">
        <v>503</v>
      </c>
      <c r="BT93" s="108" t="s">
        <v>503</v>
      </c>
      <c r="BU93" s="108" t="s">
        <v>503</v>
      </c>
      <c r="BV93" s="108" t="s">
        <v>503</v>
      </c>
      <c r="BW93" s="108" t="s">
        <v>503</v>
      </c>
      <c r="BX93" s="108" t="s">
        <v>503</v>
      </c>
      <c r="BY93" s="108" t="s">
        <v>503</v>
      </c>
      <c r="BZ93" s="108" t="s">
        <v>503</v>
      </c>
      <c r="CA93" s="108" t="s">
        <v>503</v>
      </c>
      <c r="CB93" s="108" t="s">
        <v>503</v>
      </c>
      <c r="CC93" s="108" t="s">
        <v>503</v>
      </c>
      <c r="CD93" s="108" t="s">
        <v>503</v>
      </c>
      <c r="CE93" s="108" t="s">
        <v>503</v>
      </c>
      <c r="CF93" s="108" t="s">
        <v>503</v>
      </c>
      <c r="CG93" s="108" t="s">
        <v>503</v>
      </c>
      <c r="CH93" s="108" t="s">
        <v>503</v>
      </c>
      <c r="CI93" s="108" t="s">
        <v>503</v>
      </c>
      <c r="CJ93" s="108" t="s">
        <v>503</v>
      </c>
      <c r="CK93" s="108" t="s">
        <v>503</v>
      </c>
      <c r="CL93" s="108" t="s">
        <v>503</v>
      </c>
      <c r="CM93" s="108" t="s">
        <v>503</v>
      </c>
      <c r="CN93" s="108" t="s">
        <v>503</v>
      </c>
      <c r="CO93" s="108" t="s">
        <v>503</v>
      </c>
      <c r="CP93" s="108" t="s">
        <v>503</v>
      </c>
      <c r="CQ93" s="108" t="s">
        <v>503</v>
      </c>
      <c r="CR93" s="108" t="s">
        <v>503</v>
      </c>
      <c r="CS93" s="108" t="s">
        <v>503</v>
      </c>
      <c r="CT93" s="108" t="s">
        <v>503</v>
      </c>
      <c r="CU93" s="108" t="s">
        <v>503</v>
      </c>
      <c r="CV93" s="108" t="s">
        <v>503</v>
      </c>
      <c r="CW93" s="108" t="s">
        <v>503</v>
      </c>
      <c r="CX93" s="108" t="s">
        <v>503</v>
      </c>
      <c r="CY93" s="108" t="s">
        <v>503</v>
      </c>
      <c r="CZ93" s="108" t="s">
        <v>503</v>
      </c>
      <c r="DA93" s="108" t="s">
        <v>503</v>
      </c>
      <c r="DB93" s="108" t="s">
        <v>503</v>
      </c>
      <c r="DC93" s="108" t="s">
        <v>503</v>
      </c>
      <c r="DD93" s="108" t="s">
        <v>503</v>
      </c>
      <c r="DE93" s="108" t="s">
        <v>503</v>
      </c>
      <c r="DF93" s="108" t="s">
        <v>503</v>
      </c>
      <c r="DG93" s="108" t="s">
        <v>503</v>
      </c>
      <c r="DH93" s="108" t="s">
        <v>503</v>
      </c>
      <c r="DI93" s="108" t="s">
        <v>503</v>
      </c>
      <c r="DJ93" s="108" t="s">
        <v>503</v>
      </c>
      <c r="DK93" s="108" t="s">
        <v>503</v>
      </c>
      <c r="DL93" s="108" t="s">
        <v>503</v>
      </c>
      <c r="DM93" s="108" t="s">
        <v>503</v>
      </c>
      <c r="DN93" s="108" t="s">
        <v>503</v>
      </c>
      <c r="DO93" s="108" t="s">
        <v>503</v>
      </c>
      <c r="DP93" s="108" t="s">
        <v>669</v>
      </c>
      <c r="DQ93" s="108" t="s">
        <v>669</v>
      </c>
      <c r="DR93" s="108" t="s">
        <v>669</v>
      </c>
      <c r="DS93" s="108" t="s">
        <v>669</v>
      </c>
      <c r="DT93" s="108" t="s">
        <v>669</v>
      </c>
      <c r="DU93" s="108" t="s">
        <v>669</v>
      </c>
      <c r="DV93" s="108" t="s">
        <v>503</v>
      </c>
      <c r="DW93" s="108" t="s">
        <v>503</v>
      </c>
      <c r="DX93" s="108" t="s">
        <v>503</v>
      </c>
      <c r="DY93" s="108" t="s">
        <v>503</v>
      </c>
      <c r="DZ93" s="108" t="s">
        <v>503</v>
      </c>
      <c r="EA93" s="108" t="s">
        <v>503</v>
      </c>
      <c r="EB93" s="108" t="s">
        <v>503</v>
      </c>
      <c r="EC93" s="108" t="s">
        <v>503</v>
      </c>
      <c r="ED93" s="108" t="s">
        <v>503</v>
      </c>
      <c r="EE93" s="108" t="s">
        <v>503</v>
      </c>
      <c r="EF93" s="108" t="s">
        <v>503</v>
      </c>
      <c r="EG93" s="108" t="s">
        <v>503</v>
      </c>
      <c r="EH93" s="108" t="s">
        <v>503</v>
      </c>
      <c r="EI93" s="108" t="s">
        <v>503</v>
      </c>
      <c r="EJ93" s="108" t="s">
        <v>503</v>
      </c>
      <c r="EK93" s="108" t="s">
        <v>503</v>
      </c>
      <c r="EL93" s="108" t="s">
        <v>503</v>
      </c>
      <c r="EM93" s="108" t="s">
        <v>503</v>
      </c>
      <c r="EN93" s="108" t="s">
        <v>503</v>
      </c>
      <c r="EO93" s="108" t="s">
        <v>503</v>
      </c>
      <c r="EP93" s="108" t="s">
        <v>503</v>
      </c>
      <c r="EQ93" s="108" t="s">
        <v>502</v>
      </c>
      <c r="ER93" s="108" t="s">
        <v>502</v>
      </c>
      <c r="ES93" s="108" t="s">
        <v>502</v>
      </c>
      <c r="ET93" s="108" t="s">
        <v>502</v>
      </c>
      <c r="EU93" s="108" t="s">
        <v>502</v>
      </c>
      <c r="EV93" s="108" t="s">
        <v>502</v>
      </c>
      <c r="EW93" s="108" t="s">
        <v>502</v>
      </c>
      <c r="EX93" s="108" t="s">
        <v>502</v>
      </c>
      <c r="EY93" s="108" t="s">
        <v>502</v>
      </c>
      <c r="EZ93" s="71">
        <v>1200000</v>
      </c>
      <c r="FA93" s="71">
        <f>+EZ93*19%</f>
        <v>228000</v>
      </c>
      <c r="FB93" s="71">
        <f>+EZ93+FA93</f>
        <v>1428000</v>
      </c>
      <c r="FC93" s="108" t="s">
        <v>502</v>
      </c>
      <c r="FD93" s="108" t="s">
        <v>502</v>
      </c>
      <c r="FE93" s="108" t="s">
        <v>502</v>
      </c>
      <c r="FF93" s="108" t="s">
        <v>503</v>
      </c>
      <c r="FG93" s="108" t="s">
        <v>503</v>
      </c>
      <c r="FH93" s="108" t="s">
        <v>503</v>
      </c>
      <c r="FI93" s="108" t="s">
        <v>503</v>
      </c>
      <c r="FJ93" s="108" t="s">
        <v>503</v>
      </c>
      <c r="FK93" s="108" t="s">
        <v>503</v>
      </c>
      <c r="FL93" s="108" t="s">
        <v>503</v>
      </c>
      <c r="FM93" s="108" t="s">
        <v>503</v>
      </c>
      <c r="FN93" s="108" t="s">
        <v>503</v>
      </c>
      <c r="FO93" s="108" t="s">
        <v>502</v>
      </c>
      <c r="FP93" s="108" t="s">
        <v>502</v>
      </c>
      <c r="FQ93" s="108" t="s">
        <v>502</v>
      </c>
      <c r="FR93" s="108" t="s">
        <v>502</v>
      </c>
      <c r="FS93" s="108" t="s">
        <v>502</v>
      </c>
      <c r="FT93" s="108" t="s">
        <v>502</v>
      </c>
      <c r="FU93" s="108" t="s">
        <v>502</v>
      </c>
      <c r="FV93" s="108" t="s">
        <v>502</v>
      </c>
      <c r="FW93" s="108" t="s">
        <v>502</v>
      </c>
      <c r="FX93" s="108" t="s">
        <v>503</v>
      </c>
      <c r="FY93" s="108" t="s">
        <v>503</v>
      </c>
      <c r="FZ93" s="108" t="s">
        <v>503</v>
      </c>
      <c r="GA93" s="108" t="s">
        <v>503</v>
      </c>
      <c r="GB93" s="108" t="s">
        <v>503</v>
      </c>
      <c r="GC93" s="108" t="s">
        <v>503</v>
      </c>
      <c r="GD93" s="108" t="s">
        <v>503</v>
      </c>
      <c r="GE93" s="108" t="s">
        <v>503</v>
      </c>
      <c r="GF93" s="108" t="s">
        <v>503</v>
      </c>
      <c r="GG93" s="108" t="s">
        <v>669</v>
      </c>
      <c r="GH93" s="108" t="s">
        <v>669</v>
      </c>
      <c r="GI93" s="108" t="s">
        <v>669</v>
      </c>
      <c r="GJ93" s="108" t="s">
        <v>669</v>
      </c>
      <c r="GK93" s="108" t="s">
        <v>669</v>
      </c>
      <c r="GL93" s="108" t="s">
        <v>669</v>
      </c>
      <c r="GM93" s="108" t="s">
        <v>502</v>
      </c>
      <c r="GN93" s="108" t="s">
        <v>502</v>
      </c>
      <c r="GO93" s="108" t="s">
        <v>502</v>
      </c>
      <c r="GP93" s="108" t="s">
        <v>664</v>
      </c>
      <c r="GQ93" s="108" t="s">
        <v>664</v>
      </c>
      <c r="GR93" s="108" t="s">
        <v>664</v>
      </c>
      <c r="GS93" s="108" t="s">
        <v>502</v>
      </c>
      <c r="GT93" s="108" t="s">
        <v>502</v>
      </c>
      <c r="GU93" s="108" t="s">
        <v>502</v>
      </c>
      <c r="GV93" s="108" t="s">
        <v>502</v>
      </c>
      <c r="GW93" s="108" t="s">
        <v>502</v>
      </c>
      <c r="GX93" s="108" t="s">
        <v>502</v>
      </c>
      <c r="GY93" s="108" t="s">
        <v>664</v>
      </c>
      <c r="GZ93" s="108" t="s">
        <v>664</v>
      </c>
      <c r="HA93" s="108" t="s">
        <v>664</v>
      </c>
      <c r="HB93" s="108" t="s">
        <v>664</v>
      </c>
      <c r="HC93" s="108" t="s">
        <v>664</v>
      </c>
      <c r="HD93" s="108" t="s">
        <v>664</v>
      </c>
      <c r="HE93" s="108" t="s">
        <v>664</v>
      </c>
      <c r="HF93" s="108" t="s">
        <v>664</v>
      </c>
      <c r="HG93" s="108" t="s">
        <v>664</v>
      </c>
      <c r="HH93" s="108" t="s">
        <v>664</v>
      </c>
      <c r="HI93" s="108" t="s">
        <v>664</v>
      </c>
      <c r="HJ93" s="108" t="s">
        <v>664</v>
      </c>
      <c r="HK93" s="108" t="s">
        <v>664</v>
      </c>
      <c r="HL93" s="108" t="s">
        <v>664</v>
      </c>
      <c r="HM93" s="108" t="s">
        <v>664</v>
      </c>
      <c r="HN93" s="108" t="s">
        <v>664</v>
      </c>
      <c r="HO93" s="108" t="s">
        <v>664</v>
      </c>
      <c r="HP93" s="108" t="s">
        <v>664</v>
      </c>
      <c r="HQ93" s="108" t="s">
        <v>503</v>
      </c>
      <c r="HR93" s="108" t="s">
        <v>503</v>
      </c>
      <c r="HS93" s="108" t="s">
        <v>503</v>
      </c>
      <c r="HT93" s="108" t="s">
        <v>502</v>
      </c>
      <c r="HU93" s="108" t="s">
        <v>502</v>
      </c>
      <c r="HV93" s="108" t="s">
        <v>502</v>
      </c>
      <c r="HW93" s="118">
        <v>1200000</v>
      </c>
      <c r="HX93" s="118">
        <f t="shared" ref="HX93:HX94" si="39">+HW93*19%</f>
        <v>228000</v>
      </c>
      <c r="HY93" s="118">
        <f t="shared" ref="HY93:HY94" si="40">+HW93+HX93</f>
        <v>1428000</v>
      </c>
      <c r="HZ93" s="118" t="s">
        <v>502</v>
      </c>
      <c r="IA93" s="118" t="s">
        <v>502</v>
      </c>
      <c r="IB93" s="118" t="s">
        <v>502</v>
      </c>
      <c r="IC93" s="118" t="s">
        <v>502</v>
      </c>
      <c r="ID93" s="118" t="s">
        <v>502</v>
      </c>
      <c r="IE93" s="118" t="s">
        <v>502</v>
      </c>
      <c r="IF93" s="118" t="s">
        <v>502</v>
      </c>
      <c r="IG93" s="118" t="s">
        <v>502</v>
      </c>
      <c r="IH93" s="118" t="s">
        <v>502</v>
      </c>
      <c r="II93" s="118" t="s">
        <v>502</v>
      </c>
      <c r="IJ93" s="118" t="s">
        <v>502</v>
      </c>
      <c r="IK93" s="118" t="s">
        <v>502</v>
      </c>
      <c r="IL93" s="118" t="s">
        <v>502</v>
      </c>
      <c r="IM93" s="118" t="s">
        <v>502</v>
      </c>
      <c r="IN93" s="118" t="s">
        <v>502</v>
      </c>
      <c r="IO93" s="120" t="s">
        <v>503</v>
      </c>
      <c r="IP93" s="120" t="s">
        <v>503</v>
      </c>
      <c r="IQ93" s="120" t="s">
        <v>503</v>
      </c>
      <c r="IR93" s="118">
        <v>2100000</v>
      </c>
      <c r="IS93" s="118">
        <f>+IR93*0%</f>
        <v>0</v>
      </c>
      <c r="IT93" s="118">
        <f>+IR93+IS93</f>
        <v>2100000</v>
      </c>
      <c r="IU93" s="120" t="s">
        <v>503</v>
      </c>
      <c r="IV93" s="120" t="s">
        <v>503</v>
      </c>
      <c r="IW93" s="120" t="s">
        <v>503</v>
      </c>
      <c r="IX93" s="120" t="s">
        <v>503</v>
      </c>
      <c r="IY93" s="120" t="s">
        <v>503</v>
      </c>
      <c r="IZ93" s="120" t="s">
        <v>503</v>
      </c>
      <c r="JA93" s="173">
        <v>3201992.82</v>
      </c>
      <c r="JB93" s="113">
        <f>+JA93*0%</f>
        <v>0</v>
      </c>
      <c r="JC93" s="113">
        <f>+JA93+JB93</f>
        <v>3201992.82</v>
      </c>
      <c r="JD93" s="120" t="s">
        <v>664</v>
      </c>
      <c r="JE93" s="120" t="s">
        <v>664</v>
      </c>
      <c r="JF93" s="120" t="s">
        <v>664</v>
      </c>
      <c r="JG93" s="118" t="s">
        <v>502</v>
      </c>
      <c r="JH93" s="118" t="s">
        <v>502</v>
      </c>
      <c r="JI93" s="118" t="s">
        <v>502</v>
      </c>
      <c r="JJ93" s="118" t="s">
        <v>502</v>
      </c>
      <c r="JK93" s="118" t="s">
        <v>502</v>
      </c>
      <c r="JL93" s="118" t="s">
        <v>502</v>
      </c>
      <c r="JM93" s="118" t="s">
        <v>502</v>
      </c>
      <c r="JN93" s="118" t="s">
        <v>502</v>
      </c>
      <c r="JO93" s="118" t="s">
        <v>502</v>
      </c>
      <c r="JP93" s="110">
        <v>2680000</v>
      </c>
      <c r="JQ93" s="111">
        <v>3201992.8191999998</v>
      </c>
      <c r="JR93" s="112">
        <f t="shared" si="30"/>
        <v>4</v>
      </c>
      <c r="JS93" s="113">
        <f t="shared" si="31"/>
        <v>2039498.2050000001</v>
      </c>
      <c r="JT93" s="114">
        <f t="shared" si="32"/>
        <v>2039500</v>
      </c>
      <c r="JU93" s="177"/>
    </row>
    <row r="94" spans="1:281" ht="101.25" customHeight="1" x14ac:dyDescent="0.2">
      <c r="A94" s="98">
        <v>194</v>
      </c>
      <c r="B94" s="99">
        <v>194</v>
      </c>
      <c r="C94" s="39" t="s">
        <v>12</v>
      </c>
      <c r="D94" s="100" t="s">
        <v>45</v>
      </c>
      <c r="E94" s="39">
        <v>82151600</v>
      </c>
      <c r="F94" s="101" t="s">
        <v>198</v>
      </c>
      <c r="G94" s="102" t="s">
        <v>65</v>
      </c>
      <c r="H94" s="103" t="s">
        <v>501</v>
      </c>
      <c r="I94" s="108" t="s">
        <v>503</v>
      </c>
      <c r="J94" s="108" t="s">
        <v>503</v>
      </c>
      <c r="K94" s="108" t="s">
        <v>503</v>
      </c>
      <c r="L94" s="118" t="s">
        <v>502</v>
      </c>
      <c r="M94" s="118" t="s">
        <v>502</v>
      </c>
      <c r="N94" s="118" t="s">
        <v>502</v>
      </c>
      <c r="O94" s="108" t="s">
        <v>503</v>
      </c>
      <c r="P94" s="108" t="s">
        <v>503</v>
      </c>
      <c r="Q94" s="108" t="s">
        <v>503</v>
      </c>
      <c r="R94" s="108" t="s">
        <v>503</v>
      </c>
      <c r="S94" s="108" t="s">
        <v>503</v>
      </c>
      <c r="T94" s="108" t="s">
        <v>503</v>
      </c>
      <c r="U94" s="118" t="s">
        <v>502</v>
      </c>
      <c r="V94" s="118" t="s">
        <v>502</v>
      </c>
      <c r="W94" s="118" t="s">
        <v>502</v>
      </c>
      <c r="X94" s="108" t="s">
        <v>503</v>
      </c>
      <c r="Y94" s="108" t="s">
        <v>503</v>
      </c>
      <c r="Z94" s="108" t="s">
        <v>503</v>
      </c>
      <c r="AA94" s="108" t="s">
        <v>503</v>
      </c>
      <c r="AB94" s="108" t="s">
        <v>503</v>
      </c>
      <c r="AC94" s="108" t="s">
        <v>503</v>
      </c>
      <c r="AD94" s="108" t="s">
        <v>503</v>
      </c>
      <c r="AE94" s="108" t="s">
        <v>503</v>
      </c>
      <c r="AF94" s="108" t="s">
        <v>503</v>
      </c>
      <c r="AG94" s="108" t="s">
        <v>503</v>
      </c>
      <c r="AH94" s="108" t="s">
        <v>503</v>
      </c>
      <c r="AI94" s="108" t="s">
        <v>503</v>
      </c>
      <c r="AJ94" s="108" t="s">
        <v>503</v>
      </c>
      <c r="AK94" s="108" t="s">
        <v>503</v>
      </c>
      <c r="AL94" s="108" t="s">
        <v>503</v>
      </c>
      <c r="AM94" s="108" t="s">
        <v>503</v>
      </c>
      <c r="AN94" s="108" t="s">
        <v>503</v>
      </c>
      <c r="AO94" s="108" t="s">
        <v>503</v>
      </c>
      <c r="AP94" s="108" t="s">
        <v>503</v>
      </c>
      <c r="AQ94" s="108" t="s">
        <v>503</v>
      </c>
      <c r="AR94" s="108" t="s">
        <v>503</v>
      </c>
      <c r="AS94" s="118" t="s">
        <v>502</v>
      </c>
      <c r="AT94" s="118" t="s">
        <v>502</v>
      </c>
      <c r="AU94" s="118" t="s">
        <v>502</v>
      </c>
      <c r="AV94" s="108" t="s">
        <v>503</v>
      </c>
      <c r="AW94" s="108" t="s">
        <v>503</v>
      </c>
      <c r="AX94" s="108" t="s">
        <v>503</v>
      </c>
      <c r="AY94" s="108" t="s">
        <v>503</v>
      </c>
      <c r="AZ94" s="108" t="s">
        <v>503</v>
      </c>
      <c r="BA94" s="108" t="s">
        <v>503</v>
      </c>
      <c r="BB94" s="108" t="s">
        <v>503</v>
      </c>
      <c r="BC94" s="108" t="s">
        <v>503</v>
      </c>
      <c r="BD94" s="108" t="s">
        <v>503</v>
      </c>
      <c r="BE94" s="118" t="s">
        <v>502</v>
      </c>
      <c r="BF94" s="118" t="s">
        <v>502</v>
      </c>
      <c r="BG94" s="118" t="s">
        <v>502</v>
      </c>
      <c r="BH94" s="108" t="s">
        <v>503</v>
      </c>
      <c r="BI94" s="108" t="s">
        <v>503</v>
      </c>
      <c r="BJ94" s="108" t="s">
        <v>503</v>
      </c>
      <c r="BK94" s="108" t="s">
        <v>503</v>
      </c>
      <c r="BL94" s="108" t="s">
        <v>503</v>
      </c>
      <c r="BM94" s="108" t="s">
        <v>503</v>
      </c>
      <c r="BN94" s="108" t="s">
        <v>503</v>
      </c>
      <c r="BO94" s="108" t="s">
        <v>503</v>
      </c>
      <c r="BP94" s="108" t="s">
        <v>503</v>
      </c>
      <c r="BQ94" s="108" t="s">
        <v>503</v>
      </c>
      <c r="BR94" s="108" t="s">
        <v>503</v>
      </c>
      <c r="BS94" s="108" t="s">
        <v>503</v>
      </c>
      <c r="BT94" s="108" t="s">
        <v>503</v>
      </c>
      <c r="BU94" s="108" t="s">
        <v>503</v>
      </c>
      <c r="BV94" s="108" t="s">
        <v>503</v>
      </c>
      <c r="BW94" s="108" t="s">
        <v>503</v>
      </c>
      <c r="BX94" s="108" t="s">
        <v>503</v>
      </c>
      <c r="BY94" s="108" t="s">
        <v>503</v>
      </c>
      <c r="BZ94" s="108" t="s">
        <v>503</v>
      </c>
      <c r="CA94" s="108" t="s">
        <v>503</v>
      </c>
      <c r="CB94" s="108" t="s">
        <v>503</v>
      </c>
      <c r="CC94" s="108" t="s">
        <v>503</v>
      </c>
      <c r="CD94" s="108" t="s">
        <v>503</v>
      </c>
      <c r="CE94" s="108" t="s">
        <v>503</v>
      </c>
      <c r="CF94" s="108" t="s">
        <v>503</v>
      </c>
      <c r="CG94" s="108" t="s">
        <v>503</v>
      </c>
      <c r="CH94" s="108" t="s">
        <v>503</v>
      </c>
      <c r="CI94" s="108" t="s">
        <v>503</v>
      </c>
      <c r="CJ94" s="108" t="s">
        <v>503</v>
      </c>
      <c r="CK94" s="108" t="s">
        <v>503</v>
      </c>
      <c r="CL94" s="108" t="s">
        <v>503</v>
      </c>
      <c r="CM94" s="108" t="s">
        <v>503</v>
      </c>
      <c r="CN94" s="108" t="s">
        <v>503</v>
      </c>
      <c r="CO94" s="108" t="s">
        <v>503</v>
      </c>
      <c r="CP94" s="108" t="s">
        <v>503</v>
      </c>
      <c r="CQ94" s="108" t="s">
        <v>503</v>
      </c>
      <c r="CR94" s="108" t="s">
        <v>503</v>
      </c>
      <c r="CS94" s="108" t="s">
        <v>503</v>
      </c>
      <c r="CT94" s="108" t="s">
        <v>503</v>
      </c>
      <c r="CU94" s="108" t="s">
        <v>503</v>
      </c>
      <c r="CV94" s="108" t="s">
        <v>503</v>
      </c>
      <c r="CW94" s="108" t="s">
        <v>503</v>
      </c>
      <c r="CX94" s="108" t="s">
        <v>503</v>
      </c>
      <c r="CY94" s="108" t="s">
        <v>503</v>
      </c>
      <c r="CZ94" s="108" t="s">
        <v>503</v>
      </c>
      <c r="DA94" s="108" t="s">
        <v>503</v>
      </c>
      <c r="DB94" s="108" t="s">
        <v>503</v>
      </c>
      <c r="DC94" s="108" t="s">
        <v>503</v>
      </c>
      <c r="DD94" s="108" t="s">
        <v>503</v>
      </c>
      <c r="DE94" s="108" t="s">
        <v>503</v>
      </c>
      <c r="DF94" s="108" t="s">
        <v>503</v>
      </c>
      <c r="DG94" s="108" t="s">
        <v>503</v>
      </c>
      <c r="DH94" s="108" t="s">
        <v>503</v>
      </c>
      <c r="DI94" s="108" t="s">
        <v>503</v>
      </c>
      <c r="DJ94" s="108" t="s">
        <v>503</v>
      </c>
      <c r="DK94" s="108" t="s">
        <v>503</v>
      </c>
      <c r="DL94" s="108" t="s">
        <v>503</v>
      </c>
      <c r="DM94" s="108" t="s">
        <v>503</v>
      </c>
      <c r="DN94" s="108" t="s">
        <v>503</v>
      </c>
      <c r="DO94" s="108" t="s">
        <v>503</v>
      </c>
      <c r="DP94" s="108" t="s">
        <v>669</v>
      </c>
      <c r="DQ94" s="108" t="s">
        <v>669</v>
      </c>
      <c r="DR94" s="108" t="s">
        <v>669</v>
      </c>
      <c r="DS94" s="108" t="s">
        <v>669</v>
      </c>
      <c r="DT94" s="108" t="s">
        <v>669</v>
      </c>
      <c r="DU94" s="108" t="s">
        <v>669</v>
      </c>
      <c r="DV94" s="108" t="s">
        <v>503</v>
      </c>
      <c r="DW94" s="108" t="s">
        <v>503</v>
      </c>
      <c r="DX94" s="108" t="s">
        <v>503</v>
      </c>
      <c r="DY94" s="108" t="s">
        <v>503</v>
      </c>
      <c r="DZ94" s="108" t="s">
        <v>503</v>
      </c>
      <c r="EA94" s="108" t="s">
        <v>503</v>
      </c>
      <c r="EB94" s="108" t="s">
        <v>503</v>
      </c>
      <c r="EC94" s="108" t="s">
        <v>503</v>
      </c>
      <c r="ED94" s="108" t="s">
        <v>503</v>
      </c>
      <c r="EE94" s="108" t="s">
        <v>503</v>
      </c>
      <c r="EF94" s="108" t="s">
        <v>503</v>
      </c>
      <c r="EG94" s="108" t="s">
        <v>503</v>
      </c>
      <c r="EH94" s="108" t="s">
        <v>503</v>
      </c>
      <c r="EI94" s="108" t="s">
        <v>503</v>
      </c>
      <c r="EJ94" s="108" t="s">
        <v>503</v>
      </c>
      <c r="EK94" s="108" t="s">
        <v>503</v>
      </c>
      <c r="EL94" s="108" t="s">
        <v>503</v>
      </c>
      <c r="EM94" s="108" t="s">
        <v>503</v>
      </c>
      <c r="EN94" s="108" t="s">
        <v>503</v>
      </c>
      <c r="EO94" s="108" t="s">
        <v>503</v>
      </c>
      <c r="EP94" s="108" t="s">
        <v>503</v>
      </c>
      <c r="EQ94" s="108" t="s">
        <v>502</v>
      </c>
      <c r="ER94" s="108" t="s">
        <v>502</v>
      </c>
      <c r="ES94" s="108" t="s">
        <v>502</v>
      </c>
      <c r="ET94" s="108" t="s">
        <v>502</v>
      </c>
      <c r="EU94" s="108" t="s">
        <v>502</v>
      </c>
      <c r="EV94" s="108" t="s">
        <v>502</v>
      </c>
      <c r="EW94" s="108" t="s">
        <v>502</v>
      </c>
      <c r="EX94" s="108" t="s">
        <v>502</v>
      </c>
      <c r="EY94" s="108" t="s">
        <v>502</v>
      </c>
      <c r="EZ94" s="108" t="s">
        <v>502</v>
      </c>
      <c r="FA94" s="108" t="s">
        <v>502</v>
      </c>
      <c r="FB94" s="108" t="s">
        <v>502</v>
      </c>
      <c r="FC94" s="108" t="s">
        <v>502</v>
      </c>
      <c r="FD94" s="108" t="s">
        <v>502</v>
      </c>
      <c r="FE94" s="108" t="s">
        <v>502</v>
      </c>
      <c r="FF94" s="108" t="s">
        <v>503</v>
      </c>
      <c r="FG94" s="108" t="s">
        <v>503</v>
      </c>
      <c r="FH94" s="108" t="s">
        <v>503</v>
      </c>
      <c r="FI94" s="108" t="s">
        <v>503</v>
      </c>
      <c r="FJ94" s="108" t="s">
        <v>503</v>
      </c>
      <c r="FK94" s="108" t="s">
        <v>503</v>
      </c>
      <c r="FL94" s="108" t="s">
        <v>503</v>
      </c>
      <c r="FM94" s="108" t="s">
        <v>503</v>
      </c>
      <c r="FN94" s="108" t="s">
        <v>503</v>
      </c>
      <c r="FO94" s="108" t="s">
        <v>502</v>
      </c>
      <c r="FP94" s="108" t="s">
        <v>502</v>
      </c>
      <c r="FQ94" s="108" t="s">
        <v>502</v>
      </c>
      <c r="FR94" s="108" t="s">
        <v>502</v>
      </c>
      <c r="FS94" s="108" t="s">
        <v>502</v>
      </c>
      <c r="FT94" s="108" t="s">
        <v>502</v>
      </c>
      <c r="FU94" s="108" t="s">
        <v>502</v>
      </c>
      <c r="FV94" s="108" t="s">
        <v>502</v>
      </c>
      <c r="FW94" s="108" t="s">
        <v>502</v>
      </c>
      <c r="FX94" s="108" t="s">
        <v>503</v>
      </c>
      <c r="FY94" s="108" t="s">
        <v>503</v>
      </c>
      <c r="FZ94" s="108" t="s">
        <v>503</v>
      </c>
      <c r="GA94" s="108" t="s">
        <v>503</v>
      </c>
      <c r="GB94" s="108" t="s">
        <v>503</v>
      </c>
      <c r="GC94" s="108" t="s">
        <v>503</v>
      </c>
      <c r="GD94" s="108" t="s">
        <v>503</v>
      </c>
      <c r="GE94" s="108" t="s">
        <v>503</v>
      </c>
      <c r="GF94" s="108" t="s">
        <v>503</v>
      </c>
      <c r="GG94" s="108" t="s">
        <v>669</v>
      </c>
      <c r="GH94" s="108" t="s">
        <v>669</v>
      </c>
      <c r="GI94" s="108" t="s">
        <v>669</v>
      </c>
      <c r="GJ94" s="108" t="s">
        <v>669</v>
      </c>
      <c r="GK94" s="108" t="s">
        <v>669</v>
      </c>
      <c r="GL94" s="108" t="s">
        <v>669</v>
      </c>
      <c r="GM94" s="108" t="s">
        <v>502</v>
      </c>
      <c r="GN94" s="108" t="s">
        <v>502</v>
      </c>
      <c r="GO94" s="108" t="s">
        <v>502</v>
      </c>
      <c r="GP94" s="108" t="s">
        <v>664</v>
      </c>
      <c r="GQ94" s="108" t="s">
        <v>664</v>
      </c>
      <c r="GR94" s="108" t="s">
        <v>664</v>
      </c>
      <c r="GS94" s="108" t="s">
        <v>502</v>
      </c>
      <c r="GT94" s="108" t="s">
        <v>502</v>
      </c>
      <c r="GU94" s="108" t="s">
        <v>502</v>
      </c>
      <c r="GV94" s="108" t="s">
        <v>502</v>
      </c>
      <c r="GW94" s="108" t="s">
        <v>502</v>
      </c>
      <c r="GX94" s="108" t="s">
        <v>502</v>
      </c>
      <c r="GY94" s="108" t="s">
        <v>664</v>
      </c>
      <c r="GZ94" s="108" t="s">
        <v>664</v>
      </c>
      <c r="HA94" s="108" t="s">
        <v>664</v>
      </c>
      <c r="HB94" s="108" t="s">
        <v>664</v>
      </c>
      <c r="HC94" s="108" t="s">
        <v>664</v>
      </c>
      <c r="HD94" s="108" t="s">
        <v>664</v>
      </c>
      <c r="HE94" s="108" t="s">
        <v>664</v>
      </c>
      <c r="HF94" s="108" t="s">
        <v>664</v>
      </c>
      <c r="HG94" s="108" t="s">
        <v>664</v>
      </c>
      <c r="HH94" s="108" t="s">
        <v>664</v>
      </c>
      <c r="HI94" s="108" t="s">
        <v>664</v>
      </c>
      <c r="HJ94" s="108" t="s">
        <v>664</v>
      </c>
      <c r="HK94" s="108" t="s">
        <v>664</v>
      </c>
      <c r="HL94" s="108" t="s">
        <v>664</v>
      </c>
      <c r="HM94" s="108" t="s">
        <v>664</v>
      </c>
      <c r="HN94" s="108" t="s">
        <v>664</v>
      </c>
      <c r="HO94" s="108" t="s">
        <v>664</v>
      </c>
      <c r="HP94" s="108" t="s">
        <v>664</v>
      </c>
      <c r="HQ94" s="108" t="s">
        <v>503</v>
      </c>
      <c r="HR94" s="108" t="s">
        <v>503</v>
      </c>
      <c r="HS94" s="108" t="s">
        <v>503</v>
      </c>
      <c r="HT94" s="108" t="s">
        <v>502</v>
      </c>
      <c r="HU94" s="108" t="s">
        <v>502</v>
      </c>
      <c r="HV94" s="108" t="s">
        <v>502</v>
      </c>
      <c r="HW94" s="118">
        <v>2500000</v>
      </c>
      <c r="HX94" s="118">
        <f t="shared" si="39"/>
        <v>475000</v>
      </c>
      <c r="HY94" s="118">
        <f t="shared" si="40"/>
        <v>2975000</v>
      </c>
      <c r="HZ94" s="118" t="s">
        <v>502</v>
      </c>
      <c r="IA94" s="118" t="s">
        <v>502</v>
      </c>
      <c r="IB94" s="118" t="s">
        <v>502</v>
      </c>
      <c r="IC94" s="118" t="s">
        <v>502</v>
      </c>
      <c r="ID94" s="118" t="s">
        <v>502</v>
      </c>
      <c r="IE94" s="118" t="s">
        <v>502</v>
      </c>
      <c r="IF94" s="118" t="s">
        <v>502</v>
      </c>
      <c r="IG94" s="118" t="s">
        <v>502</v>
      </c>
      <c r="IH94" s="118" t="s">
        <v>502</v>
      </c>
      <c r="II94" s="118" t="s">
        <v>502</v>
      </c>
      <c r="IJ94" s="118" t="s">
        <v>502</v>
      </c>
      <c r="IK94" s="118" t="s">
        <v>502</v>
      </c>
      <c r="IL94" s="118" t="s">
        <v>502</v>
      </c>
      <c r="IM94" s="118" t="s">
        <v>502</v>
      </c>
      <c r="IN94" s="118" t="s">
        <v>502</v>
      </c>
      <c r="IO94" s="120" t="s">
        <v>503</v>
      </c>
      <c r="IP94" s="120" t="s">
        <v>503</v>
      </c>
      <c r="IQ94" s="120" t="s">
        <v>503</v>
      </c>
      <c r="IR94" s="118">
        <v>4500000</v>
      </c>
      <c r="IS94" s="118">
        <f>+IR94*0%</f>
        <v>0</v>
      </c>
      <c r="IT94" s="118">
        <f>+IR94+IS94</f>
        <v>4500000</v>
      </c>
      <c r="IU94" s="120" t="s">
        <v>503</v>
      </c>
      <c r="IV94" s="120" t="s">
        <v>503</v>
      </c>
      <c r="IW94" s="120" t="s">
        <v>503</v>
      </c>
      <c r="IX94" s="120" t="s">
        <v>503</v>
      </c>
      <c r="IY94" s="120" t="s">
        <v>503</v>
      </c>
      <c r="IZ94" s="120" t="s">
        <v>503</v>
      </c>
      <c r="JA94" s="120" t="s">
        <v>503</v>
      </c>
      <c r="JB94" s="120" t="s">
        <v>503</v>
      </c>
      <c r="JC94" s="120" t="s">
        <v>503</v>
      </c>
      <c r="JD94" s="120" t="s">
        <v>664</v>
      </c>
      <c r="JE94" s="120" t="s">
        <v>664</v>
      </c>
      <c r="JF94" s="120" t="s">
        <v>664</v>
      </c>
      <c r="JG94" s="118" t="s">
        <v>502</v>
      </c>
      <c r="JH94" s="118" t="s">
        <v>502</v>
      </c>
      <c r="JI94" s="118" t="s">
        <v>502</v>
      </c>
      <c r="JJ94" s="118" t="s">
        <v>502</v>
      </c>
      <c r="JK94" s="118" t="s">
        <v>502</v>
      </c>
      <c r="JL94" s="118" t="s">
        <v>502</v>
      </c>
      <c r="JM94" s="118" t="s">
        <v>502</v>
      </c>
      <c r="JN94" s="118" t="s">
        <v>502</v>
      </c>
      <c r="JO94" s="118" t="s">
        <v>502</v>
      </c>
      <c r="JP94" s="110">
        <v>2400000</v>
      </c>
      <c r="JQ94" s="111">
        <v>2867456.2560000001</v>
      </c>
      <c r="JR94" s="112">
        <f t="shared" si="30"/>
        <v>2</v>
      </c>
      <c r="JS94" s="113">
        <f t="shared" si="31"/>
        <v>3737500</v>
      </c>
      <c r="JT94" s="114">
        <f t="shared" si="32"/>
        <v>3737500</v>
      </c>
      <c r="JU94" s="177"/>
    </row>
    <row r="95" spans="1:281" ht="101.25" customHeight="1" x14ac:dyDescent="0.2">
      <c r="A95" s="98">
        <v>195</v>
      </c>
      <c r="B95" s="99">
        <v>195</v>
      </c>
      <c r="C95" s="39" t="s">
        <v>12</v>
      </c>
      <c r="D95" s="100" t="s">
        <v>46</v>
      </c>
      <c r="E95" s="39">
        <v>82151600</v>
      </c>
      <c r="F95" s="101" t="s">
        <v>199</v>
      </c>
      <c r="G95" s="102" t="s">
        <v>66</v>
      </c>
      <c r="H95" s="103" t="s">
        <v>501</v>
      </c>
      <c r="I95" s="108" t="s">
        <v>503</v>
      </c>
      <c r="J95" s="108" t="s">
        <v>503</v>
      </c>
      <c r="K95" s="108" t="s">
        <v>503</v>
      </c>
      <c r="L95" s="118" t="s">
        <v>502</v>
      </c>
      <c r="M95" s="118" t="s">
        <v>502</v>
      </c>
      <c r="N95" s="118" t="s">
        <v>502</v>
      </c>
      <c r="O95" s="108" t="s">
        <v>503</v>
      </c>
      <c r="P95" s="108" t="s">
        <v>503</v>
      </c>
      <c r="Q95" s="108" t="s">
        <v>503</v>
      </c>
      <c r="R95" s="108" t="s">
        <v>503</v>
      </c>
      <c r="S95" s="108" t="s">
        <v>503</v>
      </c>
      <c r="T95" s="108" t="s">
        <v>503</v>
      </c>
      <c r="U95" s="118" t="s">
        <v>502</v>
      </c>
      <c r="V95" s="118" t="s">
        <v>502</v>
      </c>
      <c r="W95" s="118" t="s">
        <v>502</v>
      </c>
      <c r="X95" s="108" t="s">
        <v>503</v>
      </c>
      <c r="Y95" s="108" t="s">
        <v>503</v>
      </c>
      <c r="Z95" s="108" t="s">
        <v>503</v>
      </c>
      <c r="AA95" s="108" t="s">
        <v>503</v>
      </c>
      <c r="AB95" s="108" t="s">
        <v>503</v>
      </c>
      <c r="AC95" s="108" t="s">
        <v>503</v>
      </c>
      <c r="AD95" s="108" t="s">
        <v>503</v>
      </c>
      <c r="AE95" s="108" t="s">
        <v>503</v>
      </c>
      <c r="AF95" s="108" t="s">
        <v>503</v>
      </c>
      <c r="AG95" s="108" t="s">
        <v>503</v>
      </c>
      <c r="AH95" s="108" t="s">
        <v>503</v>
      </c>
      <c r="AI95" s="108" t="s">
        <v>503</v>
      </c>
      <c r="AJ95" s="108" t="s">
        <v>503</v>
      </c>
      <c r="AK95" s="108" t="s">
        <v>503</v>
      </c>
      <c r="AL95" s="108" t="s">
        <v>503</v>
      </c>
      <c r="AM95" s="108" t="s">
        <v>503</v>
      </c>
      <c r="AN95" s="108" t="s">
        <v>503</v>
      </c>
      <c r="AO95" s="108" t="s">
        <v>503</v>
      </c>
      <c r="AP95" s="108" t="s">
        <v>503</v>
      </c>
      <c r="AQ95" s="108" t="s">
        <v>503</v>
      </c>
      <c r="AR95" s="108" t="s">
        <v>503</v>
      </c>
      <c r="AS95" s="118" t="s">
        <v>502</v>
      </c>
      <c r="AT95" s="118" t="s">
        <v>502</v>
      </c>
      <c r="AU95" s="118" t="s">
        <v>502</v>
      </c>
      <c r="AV95" s="108" t="s">
        <v>503</v>
      </c>
      <c r="AW95" s="108" t="s">
        <v>503</v>
      </c>
      <c r="AX95" s="108" t="s">
        <v>503</v>
      </c>
      <c r="AY95" s="108" t="s">
        <v>503</v>
      </c>
      <c r="AZ95" s="108" t="s">
        <v>503</v>
      </c>
      <c r="BA95" s="108" t="s">
        <v>503</v>
      </c>
      <c r="BB95" s="108" t="s">
        <v>503</v>
      </c>
      <c r="BC95" s="108" t="s">
        <v>503</v>
      </c>
      <c r="BD95" s="108" t="s">
        <v>503</v>
      </c>
      <c r="BE95" s="118" t="s">
        <v>502</v>
      </c>
      <c r="BF95" s="118" t="s">
        <v>502</v>
      </c>
      <c r="BG95" s="118" t="s">
        <v>502</v>
      </c>
      <c r="BH95" s="108" t="s">
        <v>503</v>
      </c>
      <c r="BI95" s="108" t="s">
        <v>503</v>
      </c>
      <c r="BJ95" s="108" t="s">
        <v>503</v>
      </c>
      <c r="BK95" s="108" t="s">
        <v>503</v>
      </c>
      <c r="BL95" s="108" t="s">
        <v>503</v>
      </c>
      <c r="BM95" s="108" t="s">
        <v>503</v>
      </c>
      <c r="BN95" s="108" t="s">
        <v>503</v>
      </c>
      <c r="BO95" s="108" t="s">
        <v>503</v>
      </c>
      <c r="BP95" s="108" t="s">
        <v>503</v>
      </c>
      <c r="BQ95" s="108" t="s">
        <v>503</v>
      </c>
      <c r="BR95" s="108" t="s">
        <v>503</v>
      </c>
      <c r="BS95" s="108" t="s">
        <v>503</v>
      </c>
      <c r="BT95" s="108" t="s">
        <v>503</v>
      </c>
      <c r="BU95" s="108" t="s">
        <v>503</v>
      </c>
      <c r="BV95" s="108" t="s">
        <v>503</v>
      </c>
      <c r="BW95" s="108" t="s">
        <v>503</v>
      </c>
      <c r="BX95" s="108" t="s">
        <v>503</v>
      </c>
      <c r="BY95" s="108" t="s">
        <v>503</v>
      </c>
      <c r="BZ95" s="108" t="s">
        <v>503</v>
      </c>
      <c r="CA95" s="108" t="s">
        <v>503</v>
      </c>
      <c r="CB95" s="108" t="s">
        <v>503</v>
      </c>
      <c r="CC95" s="108" t="s">
        <v>503</v>
      </c>
      <c r="CD95" s="108" t="s">
        <v>503</v>
      </c>
      <c r="CE95" s="108" t="s">
        <v>503</v>
      </c>
      <c r="CF95" s="108" t="s">
        <v>503</v>
      </c>
      <c r="CG95" s="108" t="s">
        <v>503</v>
      </c>
      <c r="CH95" s="108" t="s">
        <v>503</v>
      </c>
      <c r="CI95" s="108" t="s">
        <v>503</v>
      </c>
      <c r="CJ95" s="108" t="s">
        <v>503</v>
      </c>
      <c r="CK95" s="108" t="s">
        <v>503</v>
      </c>
      <c r="CL95" s="108" t="s">
        <v>503</v>
      </c>
      <c r="CM95" s="108" t="s">
        <v>503</v>
      </c>
      <c r="CN95" s="108" t="s">
        <v>503</v>
      </c>
      <c r="CO95" s="108" t="s">
        <v>503</v>
      </c>
      <c r="CP95" s="108" t="s">
        <v>503</v>
      </c>
      <c r="CQ95" s="108" t="s">
        <v>503</v>
      </c>
      <c r="CR95" s="108" t="s">
        <v>503</v>
      </c>
      <c r="CS95" s="108" t="s">
        <v>503</v>
      </c>
      <c r="CT95" s="108" t="s">
        <v>503</v>
      </c>
      <c r="CU95" s="108" t="s">
        <v>503</v>
      </c>
      <c r="CV95" s="108" t="s">
        <v>503</v>
      </c>
      <c r="CW95" s="108" t="s">
        <v>503</v>
      </c>
      <c r="CX95" s="108" t="s">
        <v>503</v>
      </c>
      <c r="CY95" s="108" t="s">
        <v>503</v>
      </c>
      <c r="CZ95" s="108" t="s">
        <v>503</v>
      </c>
      <c r="DA95" s="108" t="s">
        <v>503</v>
      </c>
      <c r="DB95" s="108" t="s">
        <v>503</v>
      </c>
      <c r="DC95" s="108" t="s">
        <v>503</v>
      </c>
      <c r="DD95" s="108" t="s">
        <v>503</v>
      </c>
      <c r="DE95" s="108" t="s">
        <v>503</v>
      </c>
      <c r="DF95" s="108" t="s">
        <v>503</v>
      </c>
      <c r="DG95" s="108" t="s">
        <v>503</v>
      </c>
      <c r="DH95" s="108" t="s">
        <v>503</v>
      </c>
      <c r="DI95" s="108" t="s">
        <v>503</v>
      </c>
      <c r="DJ95" s="108" t="s">
        <v>503</v>
      </c>
      <c r="DK95" s="108" t="s">
        <v>503</v>
      </c>
      <c r="DL95" s="108" t="s">
        <v>503</v>
      </c>
      <c r="DM95" s="108" t="s">
        <v>503</v>
      </c>
      <c r="DN95" s="108" t="s">
        <v>503</v>
      </c>
      <c r="DO95" s="108" t="s">
        <v>503</v>
      </c>
      <c r="DP95" s="108" t="s">
        <v>669</v>
      </c>
      <c r="DQ95" s="108" t="s">
        <v>669</v>
      </c>
      <c r="DR95" s="108" t="s">
        <v>669</v>
      </c>
      <c r="DS95" s="108" t="s">
        <v>669</v>
      </c>
      <c r="DT95" s="108" t="s">
        <v>669</v>
      </c>
      <c r="DU95" s="108" t="s">
        <v>669</v>
      </c>
      <c r="DV95" s="108" t="s">
        <v>503</v>
      </c>
      <c r="DW95" s="108" t="s">
        <v>503</v>
      </c>
      <c r="DX95" s="108" t="s">
        <v>503</v>
      </c>
      <c r="DY95" s="108" t="s">
        <v>503</v>
      </c>
      <c r="DZ95" s="108" t="s">
        <v>503</v>
      </c>
      <c r="EA95" s="108" t="s">
        <v>503</v>
      </c>
      <c r="EB95" s="108" t="s">
        <v>503</v>
      </c>
      <c r="EC95" s="108" t="s">
        <v>503</v>
      </c>
      <c r="ED95" s="108" t="s">
        <v>503</v>
      </c>
      <c r="EE95" s="108" t="s">
        <v>503</v>
      </c>
      <c r="EF95" s="108" t="s">
        <v>503</v>
      </c>
      <c r="EG95" s="108" t="s">
        <v>503</v>
      </c>
      <c r="EH95" s="108" t="s">
        <v>503</v>
      </c>
      <c r="EI95" s="108" t="s">
        <v>503</v>
      </c>
      <c r="EJ95" s="108" t="s">
        <v>503</v>
      </c>
      <c r="EK95" s="108" t="s">
        <v>503</v>
      </c>
      <c r="EL95" s="108" t="s">
        <v>503</v>
      </c>
      <c r="EM95" s="108" t="s">
        <v>503</v>
      </c>
      <c r="EN95" s="108" t="s">
        <v>503</v>
      </c>
      <c r="EO95" s="108" t="s">
        <v>503</v>
      </c>
      <c r="EP95" s="108" t="s">
        <v>503</v>
      </c>
      <c r="EQ95" s="108" t="s">
        <v>502</v>
      </c>
      <c r="ER95" s="108" t="s">
        <v>502</v>
      </c>
      <c r="ES95" s="108" t="s">
        <v>502</v>
      </c>
      <c r="ET95" s="108" t="s">
        <v>502</v>
      </c>
      <c r="EU95" s="108" t="s">
        <v>502</v>
      </c>
      <c r="EV95" s="108" t="s">
        <v>502</v>
      </c>
      <c r="EW95" s="108" t="s">
        <v>502</v>
      </c>
      <c r="EX95" s="108" t="s">
        <v>502</v>
      </c>
      <c r="EY95" s="108" t="s">
        <v>502</v>
      </c>
      <c r="EZ95" s="108" t="s">
        <v>502</v>
      </c>
      <c r="FA95" s="108" t="s">
        <v>502</v>
      </c>
      <c r="FB95" s="108" t="s">
        <v>502</v>
      </c>
      <c r="FC95" s="47">
        <v>300000</v>
      </c>
      <c r="FD95" s="47">
        <f>+FC95*0%</f>
        <v>0</v>
      </c>
      <c r="FE95" s="47">
        <f>+FC95+FD95</f>
        <v>300000</v>
      </c>
      <c r="FF95" s="108" t="s">
        <v>503</v>
      </c>
      <c r="FG95" s="108" t="s">
        <v>503</v>
      </c>
      <c r="FH95" s="108" t="s">
        <v>503</v>
      </c>
      <c r="FI95" s="108" t="s">
        <v>503</v>
      </c>
      <c r="FJ95" s="108" t="s">
        <v>503</v>
      </c>
      <c r="FK95" s="108" t="s">
        <v>503</v>
      </c>
      <c r="FL95" s="108" t="s">
        <v>503</v>
      </c>
      <c r="FM95" s="108" t="s">
        <v>503</v>
      </c>
      <c r="FN95" s="108" t="s">
        <v>503</v>
      </c>
      <c r="FO95" s="108" t="s">
        <v>502</v>
      </c>
      <c r="FP95" s="108" t="s">
        <v>502</v>
      </c>
      <c r="FQ95" s="108" t="s">
        <v>502</v>
      </c>
      <c r="FR95" s="108" t="s">
        <v>502</v>
      </c>
      <c r="FS95" s="108" t="s">
        <v>502</v>
      </c>
      <c r="FT95" s="108" t="s">
        <v>502</v>
      </c>
      <c r="FU95" s="108" t="s">
        <v>502</v>
      </c>
      <c r="FV95" s="108" t="s">
        <v>502</v>
      </c>
      <c r="FW95" s="108" t="s">
        <v>502</v>
      </c>
      <c r="FX95" s="108" t="s">
        <v>503</v>
      </c>
      <c r="FY95" s="108" t="s">
        <v>503</v>
      </c>
      <c r="FZ95" s="108" t="s">
        <v>503</v>
      </c>
      <c r="GA95" s="108" t="s">
        <v>503</v>
      </c>
      <c r="GB95" s="108" t="s">
        <v>503</v>
      </c>
      <c r="GC95" s="108" t="s">
        <v>503</v>
      </c>
      <c r="GD95" s="108" t="s">
        <v>503</v>
      </c>
      <c r="GE95" s="108" t="s">
        <v>503</v>
      </c>
      <c r="GF95" s="108" t="s">
        <v>503</v>
      </c>
      <c r="GG95" s="108" t="s">
        <v>669</v>
      </c>
      <c r="GH95" s="108" t="s">
        <v>669</v>
      </c>
      <c r="GI95" s="108" t="s">
        <v>669</v>
      </c>
      <c r="GJ95" s="108" t="s">
        <v>669</v>
      </c>
      <c r="GK95" s="108" t="s">
        <v>669</v>
      </c>
      <c r="GL95" s="108" t="s">
        <v>669</v>
      </c>
      <c r="GM95" s="108" t="s">
        <v>502</v>
      </c>
      <c r="GN95" s="108" t="s">
        <v>502</v>
      </c>
      <c r="GO95" s="108" t="s">
        <v>502</v>
      </c>
      <c r="GP95" s="108" t="s">
        <v>664</v>
      </c>
      <c r="GQ95" s="108" t="s">
        <v>664</v>
      </c>
      <c r="GR95" s="108" t="s">
        <v>664</v>
      </c>
      <c r="GS95" s="108" t="s">
        <v>502</v>
      </c>
      <c r="GT95" s="108" t="s">
        <v>502</v>
      </c>
      <c r="GU95" s="108" t="s">
        <v>502</v>
      </c>
      <c r="GV95" s="108" t="s">
        <v>502</v>
      </c>
      <c r="GW95" s="108" t="s">
        <v>502</v>
      </c>
      <c r="GX95" s="108" t="s">
        <v>502</v>
      </c>
      <c r="GY95" s="108" t="s">
        <v>664</v>
      </c>
      <c r="GZ95" s="108" t="s">
        <v>664</v>
      </c>
      <c r="HA95" s="108" t="s">
        <v>664</v>
      </c>
      <c r="HB95" s="108" t="s">
        <v>664</v>
      </c>
      <c r="HC95" s="108" t="s">
        <v>664</v>
      </c>
      <c r="HD95" s="108" t="s">
        <v>664</v>
      </c>
      <c r="HE95" s="108" t="s">
        <v>664</v>
      </c>
      <c r="HF95" s="108" t="s">
        <v>664</v>
      </c>
      <c r="HG95" s="108" t="s">
        <v>664</v>
      </c>
      <c r="HH95" s="108" t="s">
        <v>664</v>
      </c>
      <c r="HI95" s="108" t="s">
        <v>664</v>
      </c>
      <c r="HJ95" s="108" t="s">
        <v>664</v>
      </c>
      <c r="HK95" s="108" t="s">
        <v>664</v>
      </c>
      <c r="HL95" s="108" t="s">
        <v>664</v>
      </c>
      <c r="HM95" s="108" t="s">
        <v>664</v>
      </c>
      <c r="HN95" s="108" t="s">
        <v>664</v>
      </c>
      <c r="HO95" s="108" t="s">
        <v>664</v>
      </c>
      <c r="HP95" s="108" t="s">
        <v>664</v>
      </c>
      <c r="HQ95" s="108" t="s">
        <v>503</v>
      </c>
      <c r="HR95" s="108" t="s">
        <v>503</v>
      </c>
      <c r="HS95" s="108" t="s">
        <v>503</v>
      </c>
      <c r="HT95" s="108" t="s">
        <v>502</v>
      </c>
      <c r="HU95" s="108" t="s">
        <v>502</v>
      </c>
      <c r="HV95" s="108" t="s">
        <v>502</v>
      </c>
      <c r="HW95" s="108" t="s">
        <v>503</v>
      </c>
      <c r="HX95" s="108" t="s">
        <v>503</v>
      </c>
      <c r="HY95" s="108" t="s">
        <v>503</v>
      </c>
      <c r="HZ95" s="118" t="s">
        <v>502</v>
      </c>
      <c r="IA95" s="118" t="s">
        <v>502</v>
      </c>
      <c r="IB95" s="118" t="s">
        <v>502</v>
      </c>
      <c r="IC95" s="71">
        <v>400000</v>
      </c>
      <c r="ID95" s="71">
        <f>+IC95*0%</f>
        <v>0</v>
      </c>
      <c r="IE95" s="71">
        <f>+IC95+ID95</f>
        <v>400000</v>
      </c>
      <c r="IF95" s="118" t="s">
        <v>502</v>
      </c>
      <c r="IG95" s="118" t="s">
        <v>502</v>
      </c>
      <c r="IH95" s="118" t="s">
        <v>502</v>
      </c>
      <c r="II95" s="118" t="s">
        <v>502</v>
      </c>
      <c r="IJ95" s="118" t="s">
        <v>502</v>
      </c>
      <c r="IK95" s="118" t="s">
        <v>502</v>
      </c>
      <c r="IL95" s="118" t="s">
        <v>502</v>
      </c>
      <c r="IM95" s="118" t="s">
        <v>502</v>
      </c>
      <c r="IN95" s="118" t="s">
        <v>502</v>
      </c>
      <c r="IO95" s="120" t="s">
        <v>503</v>
      </c>
      <c r="IP95" s="120" t="s">
        <v>503</v>
      </c>
      <c r="IQ95" s="120" t="s">
        <v>503</v>
      </c>
      <c r="IR95" s="118" t="s">
        <v>669</v>
      </c>
      <c r="IS95" s="118" t="s">
        <v>669</v>
      </c>
      <c r="IT95" s="118" t="s">
        <v>669</v>
      </c>
      <c r="IU95" s="120" t="s">
        <v>503</v>
      </c>
      <c r="IV95" s="120" t="s">
        <v>503</v>
      </c>
      <c r="IW95" s="120" t="s">
        <v>503</v>
      </c>
      <c r="IX95" s="120" t="s">
        <v>503</v>
      </c>
      <c r="IY95" s="120" t="s">
        <v>503</v>
      </c>
      <c r="IZ95" s="120" t="s">
        <v>503</v>
      </c>
      <c r="JA95" s="120" t="s">
        <v>503</v>
      </c>
      <c r="JB95" s="120" t="s">
        <v>503</v>
      </c>
      <c r="JC95" s="120" t="s">
        <v>503</v>
      </c>
      <c r="JD95" s="120" t="s">
        <v>664</v>
      </c>
      <c r="JE95" s="120" t="s">
        <v>664</v>
      </c>
      <c r="JF95" s="120" t="s">
        <v>664</v>
      </c>
      <c r="JG95" s="118" t="s">
        <v>502</v>
      </c>
      <c r="JH95" s="118" t="s">
        <v>502</v>
      </c>
      <c r="JI95" s="118" t="s">
        <v>502</v>
      </c>
      <c r="JJ95" s="118" t="s">
        <v>502</v>
      </c>
      <c r="JK95" s="118" t="s">
        <v>502</v>
      </c>
      <c r="JL95" s="118" t="s">
        <v>502</v>
      </c>
      <c r="JM95" s="118" t="s">
        <v>502</v>
      </c>
      <c r="JN95" s="118" t="s">
        <v>502</v>
      </c>
      <c r="JO95" s="118" t="s">
        <v>502</v>
      </c>
      <c r="JP95" s="110">
        <v>173250</v>
      </c>
      <c r="JQ95" s="111">
        <v>206994.49847999998</v>
      </c>
      <c r="JR95" s="112">
        <f t="shared" si="30"/>
        <v>2</v>
      </c>
      <c r="JS95" s="113">
        <f t="shared" si="31"/>
        <v>350000</v>
      </c>
      <c r="JT95" s="114">
        <f t="shared" si="32"/>
        <v>350000</v>
      </c>
      <c r="JU95" s="177"/>
    </row>
    <row r="96" spans="1:281" ht="101.25" customHeight="1" x14ac:dyDescent="0.2">
      <c r="A96" s="98">
        <v>197</v>
      </c>
      <c r="B96" s="99">
        <v>197</v>
      </c>
      <c r="C96" s="39" t="s">
        <v>12</v>
      </c>
      <c r="D96" s="100" t="s">
        <v>208</v>
      </c>
      <c r="E96" s="39">
        <v>91101800</v>
      </c>
      <c r="F96" s="101" t="s">
        <v>223</v>
      </c>
      <c r="G96" s="102" t="s">
        <v>86</v>
      </c>
      <c r="H96" s="103" t="s">
        <v>501</v>
      </c>
      <c r="I96" s="108" t="s">
        <v>503</v>
      </c>
      <c r="J96" s="108" t="s">
        <v>503</v>
      </c>
      <c r="K96" s="108" t="s">
        <v>503</v>
      </c>
      <c r="L96" s="118" t="s">
        <v>502</v>
      </c>
      <c r="M96" s="118" t="s">
        <v>502</v>
      </c>
      <c r="N96" s="118" t="s">
        <v>502</v>
      </c>
      <c r="O96" s="108" t="s">
        <v>503</v>
      </c>
      <c r="P96" s="108" t="s">
        <v>503</v>
      </c>
      <c r="Q96" s="108" t="s">
        <v>503</v>
      </c>
      <c r="R96" s="108" t="s">
        <v>503</v>
      </c>
      <c r="S96" s="108" t="s">
        <v>503</v>
      </c>
      <c r="T96" s="108" t="s">
        <v>503</v>
      </c>
      <c r="U96" s="118" t="s">
        <v>502</v>
      </c>
      <c r="V96" s="118" t="s">
        <v>502</v>
      </c>
      <c r="W96" s="118" t="s">
        <v>502</v>
      </c>
      <c r="X96" s="108" t="s">
        <v>503</v>
      </c>
      <c r="Y96" s="108" t="s">
        <v>503</v>
      </c>
      <c r="Z96" s="108" t="s">
        <v>503</v>
      </c>
      <c r="AA96" s="108" t="s">
        <v>503</v>
      </c>
      <c r="AB96" s="108" t="s">
        <v>503</v>
      </c>
      <c r="AC96" s="108" t="s">
        <v>503</v>
      </c>
      <c r="AD96" s="108" t="s">
        <v>503</v>
      </c>
      <c r="AE96" s="108" t="s">
        <v>503</v>
      </c>
      <c r="AF96" s="108" t="s">
        <v>503</v>
      </c>
      <c r="AG96" s="108" t="s">
        <v>503</v>
      </c>
      <c r="AH96" s="108" t="s">
        <v>503</v>
      </c>
      <c r="AI96" s="108" t="s">
        <v>503</v>
      </c>
      <c r="AJ96" s="108" t="s">
        <v>503</v>
      </c>
      <c r="AK96" s="108" t="s">
        <v>503</v>
      </c>
      <c r="AL96" s="108" t="s">
        <v>503</v>
      </c>
      <c r="AM96" s="108" t="s">
        <v>503</v>
      </c>
      <c r="AN96" s="108" t="s">
        <v>503</v>
      </c>
      <c r="AO96" s="108" t="s">
        <v>503</v>
      </c>
      <c r="AP96" s="108" t="s">
        <v>503</v>
      </c>
      <c r="AQ96" s="108" t="s">
        <v>503</v>
      </c>
      <c r="AR96" s="108" t="s">
        <v>503</v>
      </c>
      <c r="AS96" s="183">
        <v>140000</v>
      </c>
      <c r="AT96" s="119">
        <f>+AS96*19%</f>
        <v>26600</v>
      </c>
      <c r="AU96" s="118">
        <f>+AS96+AT96</f>
        <v>166600</v>
      </c>
      <c r="AV96" s="108" t="s">
        <v>503</v>
      </c>
      <c r="AW96" s="108" t="s">
        <v>503</v>
      </c>
      <c r="AX96" s="108" t="s">
        <v>503</v>
      </c>
      <c r="AY96" s="108" t="s">
        <v>503</v>
      </c>
      <c r="AZ96" s="108" t="s">
        <v>503</v>
      </c>
      <c r="BA96" s="108" t="s">
        <v>503</v>
      </c>
      <c r="BB96" s="108" t="s">
        <v>503</v>
      </c>
      <c r="BC96" s="108" t="s">
        <v>503</v>
      </c>
      <c r="BD96" s="108" t="s">
        <v>503</v>
      </c>
      <c r="BE96" s="56">
        <v>133000</v>
      </c>
      <c r="BF96" s="119">
        <f>+BE96*19%</f>
        <v>25270</v>
      </c>
      <c r="BG96" s="118">
        <f>+BE96+BF96</f>
        <v>158270</v>
      </c>
      <c r="BH96" s="108" t="s">
        <v>503</v>
      </c>
      <c r="BI96" s="108" t="s">
        <v>503</v>
      </c>
      <c r="BJ96" s="108" t="s">
        <v>503</v>
      </c>
      <c r="BK96" s="108" t="s">
        <v>503</v>
      </c>
      <c r="BL96" s="108" t="s">
        <v>503</v>
      </c>
      <c r="BM96" s="108" t="s">
        <v>503</v>
      </c>
      <c r="BN96" s="108" t="s">
        <v>503</v>
      </c>
      <c r="BO96" s="108" t="s">
        <v>503</v>
      </c>
      <c r="BP96" s="108" t="s">
        <v>503</v>
      </c>
      <c r="BQ96" s="108" t="s">
        <v>503</v>
      </c>
      <c r="BR96" s="108" t="s">
        <v>503</v>
      </c>
      <c r="BS96" s="108" t="s">
        <v>503</v>
      </c>
      <c r="BT96" s="108" t="s">
        <v>503</v>
      </c>
      <c r="BU96" s="108" t="s">
        <v>503</v>
      </c>
      <c r="BV96" s="108" t="s">
        <v>503</v>
      </c>
      <c r="BW96" s="108" t="s">
        <v>503</v>
      </c>
      <c r="BX96" s="108" t="s">
        <v>503</v>
      </c>
      <c r="BY96" s="108" t="s">
        <v>503</v>
      </c>
      <c r="BZ96" s="108" t="s">
        <v>503</v>
      </c>
      <c r="CA96" s="108" t="s">
        <v>503</v>
      </c>
      <c r="CB96" s="108" t="s">
        <v>503</v>
      </c>
      <c r="CC96" s="108" t="s">
        <v>503</v>
      </c>
      <c r="CD96" s="108" t="s">
        <v>503</v>
      </c>
      <c r="CE96" s="108" t="s">
        <v>503</v>
      </c>
      <c r="CF96" s="108" t="s">
        <v>503</v>
      </c>
      <c r="CG96" s="108" t="s">
        <v>503</v>
      </c>
      <c r="CH96" s="108" t="s">
        <v>503</v>
      </c>
      <c r="CI96" s="108" t="s">
        <v>503</v>
      </c>
      <c r="CJ96" s="108" t="s">
        <v>503</v>
      </c>
      <c r="CK96" s="108" t="s">
        <v>503</v>
      </c>
      <c r="CL96" s="108" t="s">
        <v>503</v>
      </c>
      <c r="CM96" s="108" t="s">
        <v>503</v>
      </c>
      <c r="CN96" s="108" t="s">
        <v>503</v>
      </c>
      <c r="CO96" s="108" t="s">
        <v>503</v>
      </c>
      <c r="CP96" s="108" t="s">
        <v>503</v>
      </c>
      <c r="CQ96" s="108" t="s">
        <v>503</v>
      </c>
      <c r="CR96" s="108" t="s">
        <v>503</v>
      </c>
      <c r="CS96" s="108" t="s">
        <v>503</v>
      </c>
      <c r="CT96" s="108" t="s">
        <v>503</v>
      </c>
      <c r="CU96" s="108" t="s">
        <v>503</v>
      </c>
      <c r="CV96" s="108" t="s">
        <v>503</v>
      </c>
      <c r="CW96" s="108" t="s">
        <v>503</v>
      </c>
      <c r="CX96" s="108" t="s">
        <v>503</v>
      </c>
      <c r="CY96" s="108" t="s">
        <v>503</v>
      </c>
      <c r="CZ96" s="108" t="s">
        <v>503</v>
      </c>
      <c r="DA96" s="108" t="s">
        <v>503</v>
      </c>
      <c r="DB96" s="108" t="s">
        <v>503</v>
      </c>
      <c r="DC96" s="108" t="s">
        <v>503</v>
      </c>
      <c r="DD96" s="108" t="s">
        <v>503</v>
      </c>
      <c r="DE96" s="108" t="s">
        <v>503</v>
      </c>
      <c r="DF96" s="108" t="s">
        <v>503</v>
      </c>
      <c r="DG96" s="108" t="s">
        <v>503</v>
      </c>
      <c r="DH96" s="108" t="s">
        <v>503</v>
      </c>
      <c r="DI96" s="108" t="s">
        <v>503</v>
      </c>
      <c r="DJ96" s="108" t="s">
        <v>503</v>
      </c>
      <c r="DK96" s="108" t="s">
        <v>503</v>
      </c>
      <c r="DL96" s="108" t="s">
        <v>503</v>
      </c>
      <c r="DM96" s="108" t="s">
        <v>503</v>
      </c>
      <c r="DN96" s="108" t="s">
        <v>503</v>
      </c>
      <c r="DO96" s="108" t="s">
        <v>503</v>
      </c>
      <c r="DP96" s="108" t="s">
        <v>669</v>
      </c>
      <c r="DQ96" s="108" t="s">
        <v>669</v>
      </c>
      <c r="DR96" s="108" t="s">
        <v>669</v>
      </c>
      <c r="DS96" s="108" t="s">
        <v>669</v>
      </c>
      <c r="DT96" s="108" t="s">
        <v>669</v>
      </c>
      <c r="DU96" s="108" t="s">
        <v>669</v>
      </c>
      <c r="DV96" s="108" t="s">
        <v>503</v>
      </c>
      <c r="DW96" s="108" t="s">
        <v>503</v>
      </c>
      <c r="DX96" s="108" t="s">
        <v>503</v>
      </c>
      <c r="DY96" s="108" t="s">
        <v>503</v>
      </c>
      <c r="DZ96" s="108" t="s">
        <v>503</v>
      </c>
      <c r="EA96" s="108" t="s">
        <v>503</v>
      </c>
      <c r="EB96" s="108" t="s">
        <v>503</v>
      </c>
      <c r="EC96" s="108" t="s">
        <v>503</v>
      </c>
      <c r="ED96" s="108" t="s">
        <v>503</v>
      </c>
      <c r="EE96" s="108" t="s">
        <v>503</v>
      </c>
      <c r="EF96" s="108" t="s">
        <v>503</v>
      </c>
      <c r="EG96" s="108" t="s">
        <v>503</v>
      </c>
      <c r="EH96" s="108" t="s">
        <v>503</v>
      </c>
      <c r="EI96" s="108" t="s">
        <v>503</v>
      </c>
      <c r="EJ96" s="108" t="s">
        <v>503</v>
      </c>
      <c r="EK96" s="108" t="s">
        <v>503</v>
      </c>
      <c r="EL96" s="108" t="s">
        <v>503</v>
      </c>
      <c r="EM96" s="108" t="s">
        <v>503</v>
      </c>
      <c r="EN96" s="108" t="s">
        <v>503</v>
      </c>
      <c r="EO96" s="108" t="s">
        <v>503</v>
      </c>
      <c r="EP96" s="108" t="s">
        <v>503</v>
      </c>
      <c r="EQ96" s="108" t="s">
        <v>502</v>
      </c>
      <c r="ER96" s="108" t="s">
        <v>502</v>
      </c>
      <c r="ES96" s="108" t="s">
        <v>502</v>
      </c>
      <c r="ET96" s="108" t="s">
        <v>502</v>
      </c>
      <c r="EU96" s="108" t="s">
        <v>502</v>
      </c>
      <c r="EV96" s="108" t="s">
        <v>502</v>
      </c>
      <c r="EW96" s="108" t="s">
        <v>502</v>
      </c>
      <c r="EX96" s="108" t="s">
        <v>502</v>
      </c>
      <c r="EY96" s="108" t="s">
        <v>502</v>
      </c>
      <c r="EZ96" s="108" t="s">
        <v>503</v>
      </c>
      <c r="FA96" s="108" t="s">
        <v>503</v>
      </c>
      <c r="FB96" s="108" t="s">
        <v>503</v>
      </c>
      <c r="FC96" s="108" t="s">
        <v>502</v>
      </c>
      <c r="FD96" s="108" t="s">
        <v>502</v>
      </c>
      <c r="FE96" s="108" t="s">
        <v>502</v>
      </c>
      <c r="FF96" s="108" t="s">
        <v>503</v>
      </c>
      <c r="FG96" s="108" t="s">
        <v>503</v>
      </c>
      <c r="FH96" s="108" t="s">
        <v>503</v>
      </c>
      <c r="FI96" s="108" t="s">
        <v>503</v>
      </c>
      <c r="FJ96" s="108" t="s">
        <v>503</v>
      </c>
      <c r="FK96" s="108" t="s">
        <v>503</v>
      </c>
      <c r="FL96" s="108" t="s">
        <v>503</v>
      </c>
      <c r="FM96" s="108" t="s">
        <v>503</v>
      </c>
      <c r="FN96" s="108" t="s">
        <v>503</v>
      </c>
      <c r="FO96" s="108" t="s">
        <v>502</v>
      </c>
      <c r="FP96" s="108" t="s">
        <v>502</v>
      </c>
      <c r="FQ96" s="108" t="s">
        <v>502</v>
      </c>
      <c r="FR96" s="108" t="s">
        <v>502</v>
      </c>
      <c r="FS96" s="108" t="s">
        <v>502</v>
      </c>
      <c r="FT96" s="108" t="s">
        <v>502</v>
      </c>
      <c r="FU96" s="108" t="s">
        <v>502</v>
      </c>
      <c r="FV96" s="108" t="s">
        <v>502</v>
      </c>
      <c r="FW96" s="108" t="s">
        <v>502</v>
      </c>
      <c r="FX96" s="108" t="s">
        <v>503</v>
      </c>
      <c r="FY96" s="108" t="s">
        <v>503</v>
      </c>
      <c r="FZ96" s="108" t="s">
        <v>503</v>
      </c>
      <c r="GA96" s="108" t="s">
        <v>503</v>
      </c>
      <c r="GB96" s="108" t="s">
        <v>503</v>
      </c>
      <c r="GC96" s="108" t="s">
        <v>503</v>
      </c>
      <c r="GD96" s="108" t="s">
        <v>503</v>
      </c>
      <c r="GE96" s="108" t="s">
        <v>503</v>
      </c>
      <c r="GF96" s="108" t="s">
        <v>503</v>
      </c>
      <c r="GG96" s="108" t="s">
        <v>669</v>
      </c>
      <c r="GH96" s="108" t="s">
        <v>669</v>
      </c>
      <c r="GI96" s="108" t="s">
        <v>669</v>
      </c>
      <c r="GJ96" s="108" t="s">
        <v>669</v>
      </c>
      <c r="GK96" s="108" t="s">
        <v>669</v>
      </c>
      <c r="GL96" s="108" t="s">
        <v>669</v>
      </c>
      <c r="GM96" s="108" t="s">
        <v>502</v>
      </c>
      <c r="GN96" s="108" t="s">
        <v>502</v>
      </c>
      <c r="GO96" s="108" t="s">
        <v>502</v>
      </c>
      <c r="GP96" s="108" t="s">
        <v>664</v>
      </c>
      <c r="GQ96" s="108" t="s">
        <v>664</v>
      </c>
      <c r="GR96" s="108" t="s">
        <v>664</v>
      </c>
      <c r="GS96" s="108" t="s">
        <v>502</v>
      </c>
      <c r="GT96" s="108" t="s">
        <v>502</v>
      </c>
      <c r="GU96" s="108" t="s">
        <v>502</v>
      </c>
      <c r="GV96" s="108" t="s">
        <v>502</v>
      </c>
      <c r="GW96" s="108" t="s">
        <v>502</v>
      </c>
      <c r="GX96" s="108" t="s">
        <v>502</v>
      </c>
      <c r="GY96" s="108" t="s">
        <v>664</v>
      </c>
      <c r="GZ96" s="108" t="s">
        <v>664</v>
      </c>
      <c r="HA96" s="108" t="s">
        <v>664</v>
      </c>
      <c r="HB96" s="108" t="s">
        <v>664</v>
      </c>
      <c r="HC96" s="108" t="s">
        <v>664</v>
      </c>
      <c r="HD96" s="108" t="s">
        <v>664</v>
      </c>
      <c r="HE96" s="108" t="s">
        <v>664</v>
      </c>
      <c r="HF96" s="108" t="s">
        <v>664</v>
      </c>
      <c r="HG96" s="108" t="s">
        <v>664</v>
      </c>
      <c r="HH96" s="108" t="s">
        <v>664</v>
      </c>
      <c r="HI96" s="108" t="s">
        <v>664</v>
      </c>
      <c r="HJ96" s="108" t="s">
        <v>664</v>
      </c>
      <c r="HK96" s="108" t="s">
        <v>664</v>
      </c>
      <c r="HL96" s="108" t="s">
        <v>664</v>
      </c>
      <c r="HM96" s="108" t="s">
        <v>664</v>
      </c>
      <c r="HN96" s="108" t="s">
        <v>664</v>
      </c>
      <c r="HO96" s="108" t="s">
        <v>664</v>
      </c>
      <c r="HP96" s="108" t="s">
        <v>664</v>
      </c>
      <c r="HQ96" s="108" t="s">
        <v>503</v>
      </c>
      <c r="HR96" s="108" t="s">
        <v>503</v>
      </c>
      <c r="HS96" s="108" t="s">
        <v>503</v>
      </c>
      <c r="HT96" s="108" t="s">
        <v>502</v>
      </c>
      <c r="HU96" s="108" t="s">
        <v>502</v>
      </c>
      <c r="HV96" s="108" t="s">
        <v>502</v>
      </c>
      <c r="HW96" s="163">
        <v>85500</v>
      </c>
      <c r="HX96" s="118">
        <f>+HW96*19%</f>
        <v>16245</v>
      </c>
      <c r="HY96" s="118">
        <f>+HW96+HX96</f>
        <v>101745</v>
      </c>
      <c r="HZ96" s="118" t="s">
        <v>502</v>
      </c>
      <c r="IA96" s="118" t="s">
        <v>502</v>
      </c>
      <c r="IB96" s="118" t="s">
        <v>502</v>
      </c>
      <c r="IC96" s="118" t="s">
        <v>502</v>
      </c>
      <c r="ID96" s="118" t="s">
        <v>502</v>
      </c>
      <c r="IE96" s="118" t="s">
        <v>502</v>
      </c>
      <c r="IF96" s="118" t="s">
        <v>502</v>
      </c>
      <c r="IG96" s="118" t="s">
        <v>502</v>
      </c>
      <c r="IH96" s="118" t="s">
        <v>502</v>
      </c>
      <c r="II96" s="118" t="s">
        <v>502</v>
      </c>
      <c r="IJ96" s="118" t="s">
        <v>502</v>
      </c>
      <c r="IK96" s="118" t="s">
        <v>502</v>
      </c>
      <c r="IL96" s="118" t="s">
        <v>502</v>
      </c>
      <c r="IM96" s="118" t="s">
        <v>502</v>
      </c>
      <c r="IN96" s="118" t="s">
        <v>502</v>
      </c>
      <c r="IO96" s="120" t="s">
        <v>503</v>
      </c>
      <c r="IP96" s="120" t="s">
        <v>503</v>
      </c>
      <c r="IQ96" s="120" t="s">
        <v>503</v>
      </c>
      <c r="IR96" s="118" t="s">
        <v>669</v>
      </c>
      <c r="IS96" s="118" t="s">
        <v>669</v>
      </c>
      <c r="IT96" s="118" t="s">
        <v>669</v>
      </c>
      <c r="IU96" s="120" t="s">
        <v>503</v>
      </c>
      <c r="IV96" s="120" t="s">
        <v>503</v>
      </c>
      <c r="IW96" s="120" t="s">
        <v>503</v>
      </c>
      <c r="IX96" s="120" t="s">
        <v>503</v>
      </c>
      <c r="IY96" s="120" t="s">
        <v>503</v>
      </c>
      <c r="IZ96" s="120" t="s">
        <v>503</v>
      </c>
      <c r="JA96" s="120" t="s">
        <v>503</v>
      </c>
      <c r="JB96" s="120" t="s">
        <v>503</v>
      </c>
      <c r="JC96" s="120" t="s">
        <v>503</v>
      </c>
      <c r="JD96" s="120" t="s">
        <v>664</v>
      </c>
      <c r="JE96" s="120" t="s">
        <v>664</v>
      </c>
      <c r="JF96" s="120" t="s">
        <v>664</v>
      </c>
      <c r="JG96" s="118" t="s">
        <v>502</v>
      </c>
      <c r="JH96" s="118" t="s">
        <v>502</v>
      </c>
      <c r="JI96" s="118" t="s">
        <v>502</v>
      </c>
      <c r="JJ96" s="118" t="s">
        <v>502</v>
      </c>
      <c r="JK96" s="118" t="s">
        <v>502</v>
      </c>
      <c r="JL96" s="118" t="s">
        <v>502</v>
      </c>
      <c r="JM96" s="118" t="s">
        <v>502</v>
      </c>
      <c r="JN96" s="118" t="s">
        <v>502</v>
      </c>
      <c r="JO96" s="118" t="s">
        <v>502</v>
      </c>
      <c r="JP96" s="110">
        <v>24600</v>
      </c>
      <c r="JQ96" s="111">
        <v>29391.426624</v>
      </c>
      <c r="JR96" s="112">
        <f t="shared" si="30"/>
        <v>3</v>
      </c>
      <c r="JS96" s="113">
        <f t="shared" si="31"/>
        <v>142205</v>
      </c>
      <c r="JT96" s="114">
        <f t="shared" si="32"/>
        <v>142250</v>
      </c>
      <c r="JU96" s="177"/>
    </row>
    <row r="97" spans="1:281" ht="101.25" customHeight="1" x14ac:dyDescent="0.2">
      <c r="A97" s="98">
        <v>199</v>
      </c>
      <c r="B97" s="99">
        <v>199</v>
      </c>
      <c r="C97" s="39" t="s">
        <v>12</v>
      </c>
      <c r="D97" s="100" t="s">
        <v>47</v>
      </c>
      <c r="E97" s="39">
        <v>82151700</v>
      </c>
      <c r="F97" s="101" t="s">
        <v>200</v>
      </c>
      <c r="G97" s="102" t="s">
        <v>54</v>
      </c>
      <c r="H97" s="103" t="s">
        <v>501</v>
      </c>
      <c r="I97" s="108" t="s">
        <v>503</v>
      </c>
      <c r="J97" s="108" t="s">
        <v>503</v>
      </c>
      <c r="K97" s="108" t="s">
        <v>503</v>
      </c>
      <c r="L97" s="118" t="s">
        <v>502</v>
      </c>
      <c r="M97" s="118" t="s">
        <v>502</v>
      </c>
      <c r="N97" s="118" t="s">
        <v>502</v>
      </c>
      <c r="O97" s="108" t="s">
        <v>503</v>
      </c>
      <c r="P97" s="108" t="s">
        <v>503</v>
      </c>
      <c r="Q97" s="108" t="s">
        <v>503</v>
      </c>
      <c r="R97" s="108" t="s">
        <v>503</v>
      </c>
      <c r="S97" s="108" t="s">
        <v>503</v>
      </c>
      <c r="T97" s="108" t="s">
        <v>503</v>
      </c>
      <c r="U97" s="118" t="s">
        <v>502</v>
      </c>
      <c r="V97" s="118" t="s">
        <v>502</v>
      </c>
      <c r="W97" s="118" t="s">
        <v>502</v>
      </c>
      <c r="X97" s="108" t="s">
        <v>503</v>
      </c>
      <c r="Y97" s="108" t="s">
        <v>503</v>
      </c>
      <c r="Z97" s="108" t="s">
        <v>503</v>
      </c>
      <c r="AA97" s="108" t="s">
        <v>503</v>
      </c>
      <c r="AB97" s="108" t="s">
        <v>503</v>
      </c>
      <c r="AC97" s="108" t="s">
        <v>503</v>
      </c>
      <c r="AD97" s="108" t="s">
        <v>503</v>
      </c>
      <c r="AE97" s="108" t="s">
        <v>503</v>
      </c>
      <c r="AF97" s="108" t="s">
        <v>503</v>
      </c>
      <c r="AG97" s="108" t="s">
        <v>503</v>
      </c>
      <c r="AH97" s="108" t="s">
        <v>503</v>
      </c>
      <c r="AI97" s="108" t="s">
        <v>503</v>
      </c>
      <c r="AJ97" s="108" t="s">
        <v>503</v>
      </c>
      <c r="AK97" s="108" t="s">
        <v>503</v>
      </c>
      <c r="AL97" s="108" t="s">
        <v>503</v>
      </c>
      <c r="AM97" s="108" t="s">
        <v>503</v>
      </c>
      <c r="AN97" s="108" t="s">
        <v>503</v>
      </c>
      <c r="AO97" s="108" t="s">
        <v>503</v>
      </c>
      <c r="AP97" s="108" t="s">
        <v>503</v>
      </c>
      <c r="AQ97" s="108" t="s">
        <v>503</v>
      </c>
      <c r="AR97" s="108" t="s">
        <v>503</v>
      </c>
      <c r="AS97" s="118" t="s">
        <v>502</v>
      </c>
      <c r="AT97" s="118" t="s">
        <v>502</v>
      </c>
      <c r="AU97" s="118" t="s">
        <v>502</v>
      </c>
      <c r="AV97" s="108" t="s">
        <v>503</v>
      </c>
      <c r="AW97" s="108" t="s">
        <v>503</v>
      </c>
      <c r="AX97" s="108" t="s">
        <v>503</v>
      </c>
      <c r="AY97" s="108" t="s">
        <v>503</v>
      </c>
      <c r="AZ97" s="108" t="s">
        <v>503</v>
      </c>
      <c r="BA97" s="108" t="s">
        <v>503</v>
      </c>
      <c r="BB97" s="108" t="s">
        <v>503</v>
      </c>
      <c r="BC97" s="108" t="s">
        <v>503</v>
      </c>
      <c r="BD97" s="108" t="s">
        <v>503</v>
      </c>
      <c r="BE97" s="118" t="s">
        <v>502</v>
      </c>
      <c r="BF97" s="118" t="s">
        <v>502</v>
      </c>
      <c r="BG97" s="118" t="s">
        <v>502</v>
      </c>
      <c r="BH97" s="108" t="s">
        <v>503</v>
      </c>
      <c r="BI97" s="108" t="s">
        <v>503</v>
      </c>
      <c r="BJ97" s="108" t="s">
        <v>503</v>
      </c>
      <c r="BK97" s="108" t="s">
        <v>503</v>
      </c>
      <c r="BL97" s="108" t="s">
        <v>503</v>
      </c>
      <c r="BM97" s="108" t="s">
        <v>503</v>
      </c>
      <c r="BN97" s="108" t="s">
        <v>503</v>
      </c>
      <c r="BO97" s="108" t="s">
        <v>503</v>
      </c>
      <c r="BP97" s="108" t="s">
        <v>503</v>
      </c>
      <c r="BQ97" s="108" t="s">
        <v>503</v>
      </c>
      <c r="BR97" s="108" t="s">
        <v>503</v>
      </c>
      <c r="BS97" s="108" t="s">
        <v>503</v>
      </c>
      <c r="BT97" s="108" t="s">
        <v>503</v>
      </c>
      <c r="BU97" s="108" t="s">
        <v>503</v>
      </c>
      <c r="BV97" s="108" t="s">
        <v>503</v>
      </c>
      <c r="BW97" s="108" t="s">
        <v>503</v>
      </c>
      <c r="BX97" s="108" t="s">
        <v>503</v>
      </c>
      <c r="BY97" s="108" t="s">
        <v>503</v>
      </c>
      <c r="BZ97" s="77">
        <v>1500000</v>
      </c>
      <c r="CA97" s="77">
        <f>+BZ97*19%</f>
        <v>285000</v>
      </c>
      <c r="CB97" s="77">
        <f>+BZ97+CA97</f>
        <v>1785000</v>
      </c>
      <c r="CC97" s="108" t="s">
        <v>503</v>
      </c>
      <c r="CD97" s="108" t="s">
        <v>503</v>
      </c>
      <c r="CE97" s="108" t="s">
        <v>503</v>
      </c>
      <c r="CF97" s="108" t="s">
        <v>503</v>
      </c>
      <c r="CG97" s="108" t="s">
        <v>503</v>
      </c>
      <c r="CH97" s="108" t="s">
        <v>503</v>
      </c>
      <c r="CI97" s="108" t="s">
        <v>503</v>
      </c>
      <c r="CJ97" s="108" t="s">
        <v>503</v>
      </c>
      <c r="CK97" s="108" t="s">
        <v>503</v>
      </c>
      <c r="CL97" s="108" t="s">
        <v>503</v>
      </c>
      <c r="CM97" s="108" t="s">
        <v>503</v>
      </c>
      <c r="CN97" s="108" t="s">
        <v>503</v>
      </c>
      <c r="CO97" s="108" t="s">
        <v>503</v>
      </c>
      <c r="CP97" s="108" t="s">
        <v>503</v>
      </c>
      <c r="CQ97" s="108" t="s">
        <v>503</v>
      </c>
      <c r="CR97" s="108" t="s">
        <v>503</v>
      </c>
      <c r="CS97" s="108" t="s">
        <v>503</v>
      </c>
      <c r="CT97" s="108" t="s">
        <v>503</v>
      </c>
      <c r="CU97" s="108" t="s">
        <v>503</v>
      </c>
      <c r="CV97" s="108" t="s">
        <v>503</v>
      </c>
      <c r="CW97" s="108" t="s">
        <v>503</v>
      </c>
      <c r="CX97" s="108" t="s">
        <v>503</v>
      </c>
      <c r="CY97" s="108" t="s">
        <v>503</v>
      </c>
      <c r="CZ97" s="108" t="s">
        <v>503</v>
      </c>
      <c r="DA97" s="108" t="s">
        <v>503</v>
      </c>
      <c r="DB97" s="108" t="s">
        <v>503</v>
      </c>
      <c r="DC97" s="108" t="s">
        <v>503</v>
      </c>
      <c r="DD97" s="108" t="s">
        <v>503</v>
      </c>
      <c r="DE97" s="108" t="s">
        <v>503</v>
      </c>
      <c r="DF97" s="108" t="s">
        <v>503</v>
      </c>
      <c r="DG97" s="108" t="s">
        <v>503</v>
      </c>
      <c r="DH97" s="108" t="s">
        <v>503</v>
      </c>
      <c r="DI97" s="108" t="s">
        <v>503</v>
      </c>
      <c r="DJ97" s="108" t="s">
        <v>503</v>
      </c>
      <c r="DK97" s="108" t="s">
        <v>503</v>
      </c>
      <c r="DL97" s="108" t="s">
        <v>503</v>
      </c>
      <c r="DM97" s="108" t="s">
        <v>503</v>
      </c>
      <c r="DN97" s="108" t="s">
        <v>503</v>
      </c>
      <c r="DO97" s="108" t="s">
        <v>503</v>
      </c>
      <c r="DP97" s="108" t="s">
        <v>669</v>
      </c>
      <c r="DQ97" s="108" t="s">
        <v>669</v>
      </c>
      <c r="DR97" s="108" t="s">
        <v>669</v>
      </c>
      <c r="DS97" s="108" t="s">
        <v>669</v>
      </c>
      <c r="DT97" s="108" t="s">
        <v>669</v>
      </c>
      <c r="DU97" s="108" t="s">
        <v>669</v>
      </c>
      <c r="DV97" s="108" t="s">
        <v>503</v>
      </c>
      <c r="DW97" s="108" t="s">
        <v>503</v>
      </c>
      <c r="DX97" s="108" t="s">
        <v>503</v>
      </c>
      <c r="DY97" s="108" t="s">
        <v>503</v>
      </c>
      <c r="DZ97" s="108" t="s">
        <v>503</v>
      </c>
      <c r="EA97" s="108" t="s">
        <v>503</v>
      </c>
      <c r="EB97" s="108" t="s">
        <v>503</v>
      </c>
      <c r="EC97" s="108" t="s">
        <v>503</v>
      </c>
      <c r="ED97" s="108" t="s">
        <v>503</v>
      </c>
      <c r="EE97" s="108" t="s">
        <v>503</v>
      </c>
      <c r="EF97" s="108" t="s">
        <v>503</v>
      </c>
      <c r="EG97" s="108" t="s">
        <v>503</v>
      </c>
      <c r="EH97" s="108" t="s">
        <v>503</v>
      </c>
      <c r="EI97" s="108" t="s">
        <v>503</v>
      </c>
      <c r="EJ97" s="108" t="s">
        <v>503</v>
      </c>
      <c r="EK97" s="108" t="s">
        <v>503</v>
      </c>
      <c r="EL97" s="108" t="s">
        <v>503</v>
      </c>
      <c r="EM97" s="108" t="s">
        <v>503</v>
      </c>
      <c r="EN97" s="108" t="s">
        <v>503</v>
      </c>
      <c r="EO97" s="108" t="s">
        <v>503</v>
      </c>
      <c r="EP97" s="108" t="s">
        <v>503</v>
      </c>
      <c r="EQ97" s="108" t="s">
        <v>502</v>
      </c>
      <c r="ER97" s="108" t="s">
        <v>502</v>
      </c>
      <c r="ES97" s="108" t="s">
        <v>502</v>
      </c>
      <c r="ET97" s="108" t="s">
        <v>502</v>
      </c>
      <c r="EU97" s="108" t="s">
        <v>502</v>
      </c>
      <c r="EV97" s="108" t="s">
        <v>502</v>
      </c>
      <c r="EW97" s="108" t="s">
        <v>502</v>
      </c>
      <c r="EX97" s="108" t="s">
        <v>502</v>
      </c>
      <c r="EY97" s="108" t="s">
        <v>502</v>
      </c>
      <c r="EZ97" s="71">
        <v>280000</v>
      </c>
      <c r="FA97" s="71">
        <f>+EZ97*19%</f>
        <v>53200</v>
      </c>
      <c r="FB97" s="71">
        <f>+EZ97+FA97</f>
        <v>333200</v>
      </c>
      <c r="FC97" s="108" t="s">
        <v>502</v>
      </c>
      <c r="FD97" s="108" t="s">
        <v>502</v>
      </c>
      <c r="FE97" s="108" t="s">
        <v>502</v>
      </c>
      <c r="FF97" s="108" t="s">
        <v>503</v>
      </c>
      <c r="FG97" s="108" t="s">
        <v>503</v>
      </c>
      <c r="FH97" s="108" t="s">
        <v>503</v>
      </c>
      <c r="FI97" s="108" t="s">
        <v>503</v>
      </c>
      <c r="FJ97" s="108" t="s">
        <v>503</v>
      </c>
      <c r="FK97" s="108" t="s">
        <v>503</v>
      </c>
      <c r="FL97" s="108" t="s">
        <v>503</v>
      </c>
      <c r="FM97" s="108" t="s">
        <v>503</v>
      </c>
      <c r="FN97" s="108" t="s">
        <v>503</v>
      </c>
      <c r="FO97" s="108" t="s">
        <v>502</v>
      </c>
      <c r="FP97" s="108" t="s">
        <v>502</v>
      </c>
      <c r="FQ97" s="108" t="s">
        <v>502</v>
      </c>
      <c r="FR97" s="108" t="s">
        <v>502</v>
      </c>
      <c r="FS97" s="108" t="s">
        <v>502</v>
      </c>
      <c r="FT97" s="108" t="s">
        <v>502</v>
      </c>
      <c r="FU97" s="108" t="s">
        <v>502</v>
      </c>
      <c r="FV97" s="108" t="s">
        <v>502</v>
      </c>
      <c r="FW97" s="108" t="s">
        <v>502</v>
      </c>
      <c r="FX97" s="108" t="s">
        <v>503</v>
      </c>
      <c r="FY97" s="108" t="s">
        <v>503</v>
      </c>
      <c r="FZ97" s="108" t="s">
        <v>503</v>
      </c>
      <c r="GA97" s="108" t="s">
        <v>503</v>
      </c>
      <c r="GB97" s="108" t="s">
        <v>503</v>
      </c>
      <c r="GC97" s="108" t="s">
        <v>503</v>
      </c>
      <c r="GD97" s="108" t="s">
        <v>503</v>
      </c>
      <c r="GE97" s="108" t="s">
        <v>503</v>
      </c>
      <c r="GF97" s="108" t="s">
        <v>503</v>
      </c>
      <c r="GG97" s="108" t="s">
        <v>669</v>
      </c>
      <c r="GH97" s="108" t="s">
        <v>669</v>
      </c>
      <c r="GI97" s="108" t="s">
        <v>669</v>
      </c>
      <c r="GJ97" s="108" t="s">
        <v>669</v>
      </c>
      <c r="GK97" s="108" t="s">
        <v>669</v>
      </c>
      <c r="GL97" s="108" t="s">
        <v>669</v>
      </c>
      <c r="GM97" s="108" t="s">
        <v>502</v>
      </c>
      <c r="GN97" s="108" t="s">
        <v>502</v>
      </c>
      <c r="GO97" s="108" t="s">
        <v>502</v>
      </c>
      <c r="GP97" s="108" t="s">
        <v>664</v>
      </c>
      <c r="GQ97" s="108" t="s">
        <v>664</v>
      </c>
      <c r="GR97" s="108" t="s">
        <v>664</v>
      </c>
      <c r="GS97" s="108" t="s">
        <v>502</v>
      </c>
      <c r="GT97" s="108" t="s">
        <v>502</v>
      </c>
      <c r="GU97" s="108" t="s">
        <v>502</v>
      </c>
      <c r="GV97" s="108" t="s">
        <v>502</v>
      </c>
      <c r="GW97" s="108" t="s">
        <v>502</v>
      </c>
      <c r="GX97" s="108" t="s">
        <v>502</v>
      </c>
      <c r="GY97" s="108" t="s">
        <v>664</v>
      </c>
      <c r="GZ97" s="108" t="s">
        <v>664</v>
      </c>
      <c r="HA97" s="108" t="s">
        <v>664</v>
      </c>
      <c r="HB97" s="108" t="s">
        <v>664</v>
      </c>
      <c r="HC97" s="108" t="s">
        <v>664</v>
      </c>
      <c r="HD97" s="108" t="s">
        <v>664</v>
      </c>
      <c r="HE97" s="108" t="s">
        <v>664</v>
      </c>
      <c r="HF97" s="108" t="s">
        <v>664</v>
      </c>
      <c r="HG97" s="108" t="s">
        <v>664</v>
      </c>
      <c r="HH97" s="108" t="s">
        <v>664</v>
      </c>
      <c r="HI97" s="108" t="s">
        <v>664</v>
      </c>
      <c r="HJ97" s="108" t="s">
        <v>664</v>
      </c>
      <c r="HK97" s="108" t="s">
        <v>664</v>
      </c>
      <c r="HL97" s="108" t="s">
        <v>664</v>
      </c>
      <c r="HM97" s="108" t="s">
        <v>664</v>
      </c>
      <c r="HN97" s="108" t="s">
        <v>664</v>
      </c>
      <c r="HO97" s="108" t="s">
        <v>664</v>
      </c>
      <c r="HP97" s="108" t="s">
        <v>664</v>
      </c>
      <c r="HQ97" s="108" t="s">
        <v>503</v>
      </c>
      <c r="HR97" s="108" t="s">
        <v>503</v>
      </c>
      <c r="HS97" s="108" t="s">
        <v>503</v>
      </c>
      <c r="HT97" s="108" t="s">
        <v>502</v>
      </c>
      <c r="HU97" s="108" t="s">
        <v>502</v>
      </c>
      <c r="HV97" s="108" t="s">
        <v>502</v>
      </c>
      <c r="HW97" s="108" t="s">
        <v>503</v>
      </c>
      <c r="HX97" s="108" t="s">
        <v>503</v>
      </c>
      <c r="HY97" s="108" t="s">
        <v>503</v>
      </c>
      <c r="HZ97" s="118" t="s">
        <v>502</v>
      </c>
      <c r="IA97" s="118" t="s">
        <v>502</v>
      </c>
      <c r="IB97" s="118" t="s">
        <v>502</v>
      </c>
      <c r="IC97" s="118" t="s">
        <v>502</v>
      </c>
      <c r="ID97" s="118" t="s">
        <v>502</v>
      </c>
      <c r="IE97" s="118" t="s">
        <v>502</v>
      </c>
      <c r="IF97" s="118" t="s">
        <v>502</v>
      </c>
      <c r="IG97" s="118" t="s">
        <v>502</v>
      </c>
      <c r="IH97" s="118" t="s">
        <v>502</v>
      </c>
      <c r="II97" s="118" t="s">
        <v>502</v>
      </c>
      <c r="IJ97" s="118" t="s">
        <v>502</v>
      </c>
      <c r="IK97" s="118" t="s">
        <v>502</v>
      </c>
      <c r="IL97" s="118" t="s">
        <v>502</v>
      </c>
      <c r="IM97" s="118" t="s">
        <v>502</v>
      </c>
      <c r="IN97" s="118" t="s">
        <v>502</v>
      </c>
      <c r="IO97" s="120" t="s">
        <v>503</v>
      </c>
      <c r="IP97" s="120" t="s">
        <v>503</v>
      </c>
      <c r="IQ97" s="120" t="s">
        <v>503</v>
      </c>
      <c r="IR97" s="118" t="s">
        <v>669</v>
      </c>
      <c r="IS97" s="118" t="s">
        <v>669</v>
      </c>
      <c r="IT97" s="118" t="s">
        <v>669</v>
      </c>
      <c r="IU97" s="120" t="s">
        <v>503</v>
      </c>
      <c r="IV97" s="120" t="s">
        <v>503</v>
      </c>
      <c r="IW97" s="120" t="s">
        <v>503</v>
      </c>
      <c r="IX97" s="120" t="s">
        <v>503</v>
      </c>
      <c r="IY97" s="120" t="s">
        <v>503</v>
      </c>
      <c r="IZ97" s="120" t="s">
        <v>503</v>
      </c>
      <c r="JA97" s="120" t="s">
        <v>503</v>
      </c>
      <c r="JB97" s="120" t="s">
        <v>503</v>
      </c>
      <c r="JC97" s="120" t="s">
        <v>503</v>
      </c>
      <c r="JD97" s="120" t="s">
        <v>664</v>
      </c>
      <c r="JE97" s="120" t="s">
        <v>664</v>
      </c>
      <c r="JF97" s="120" t="s">
        <v>664</v>
      </c>
      <c r="JG97" s="118" t="s">
        <v>502</v>
      </c>
      <c r="JH97" s="118" t="s">
        <v>502</v>
      </c>
      <c r="JI97" s="118" t="s">
        <v>502</v>
      </c>
      <c r="JJ97" s="118" t="s">
        <v>502</v>
      </c>
      <c r="JK97" s="118" t="s">
        <v>502</v>
      </c>
      <c r="JL97" s="118" t="s">
        <v>502</v>
      </c>
      <c r="JM97" s="118" t="s">
        <v>502</v>
      </c>
      <c r="JN97" s="118" t="s">
        <v>502</v>
      </c>
      <c r="JO97" s="118" t="s">
        <v>502</v>
      </c>
      <c r="JP97" s="110"/>
      <c r="JQ97" s="111">
        <v>0</v>
      </c>
      <c r="JR97" s="112">
        <f t="shared" si="30"/>
        <v>2</v>
      </c>
      <c r="JS97" s="113">
        <f t="shared" si="31"/>
        <v>1059100</v>
      </c>
      <c r="JT97" s="114">
        <f t="shared" si="32"/>
        <v>1059100</v>
      </c>
      <c r="JU97" s="177"/>
    </row>
    <row r="98" spans="1:281" ht="101.25" customHeight="1" x14ac:dyDescent="0.2">
      <c r="A98" s="98">
        <v>200</v>
      </c>
      <c r="B98" s="99">
        <v>200</v>
      </c>
      <c r="C98" s="39" t="s">
        <v>12</v>
      </c>
      <c r="D98" s="100" t="s">
        <v>48</v>
      </c>
      <c r="E98" s="39">
        <v>82151700</v>
      </c>
      <c r="F98" s="101" t="s">
        <v>201</v>
      </c>
      <c r="G98" s="102" t="s">
        <v>54</v>
      </c>
      <c r="H98" s="103" t="s">
        <v>501</v>
      </c>
      <c r="I98" s="108" t="s">
        <v>503</v>
      </c>
      <c r="J98" s="108" t="s">
        <v>503</v>
      </c>
      <c r="K98" s="108" t="s">
        <v>503</v>
      </c>
      <c r="L98" s="118" t="s">
        <v>502</v>
      </c>
      <c r="M98" s="118" t="s">
        <v>502</v>
      </c>
      <c r="N98" s="118" t="s">
        <v>502</v>
      </c>
      <c r="O98" s="108" t="s">
        <v>503</v>
      </c>
      <c r="P98" s="108" t="s">
        <v>503</v>
      </c>
      <c r="Q98" s="108" t="s">
        <v>503</v>
      </c>
      <c r="R98" s="108" t="s">
        <v>503</v>
      </c>
      <c r="S98" s="108" t="s">
        <v>503</v>
      </c>
      <c r="T98" s="108" t="s">
        <v>503</v>
      </c>
      <c r="U98" s="118" t="s">
        <v>502</v>
      </c>
      <c r="V98" s="118" t="s">
        <v>502</v>
      </c>
      <c r="W98" s="118" t="s">
        <v>502</v>
      </c>
      <c r="X98" s="108" t="s">
        <v>503</v>
      </c>
      <c r="Y98" s="108" t="s">
        <v>503</v>
      </c>
      <c r="Z98" s="108" t="s">
        <v>503</v>
      </c>
      <c r="AA98" s="108" t="s">
        <v>503</v>
      </c>
      <c r="AB98" s="108" t="s">
        <v>503</v>
      </c>
      <c r="AC98" s="108" t="s">
        <v>503</v>
      </c>
      <c r="AD98" s="108" t="s">
        <v>503</v>
      </c>
      <c r="AE98" s="108" t="s">
        <v>503</v>
      </c>
      <c r="AF98" s="108" t="s">
        <v>503</v>
      </c>
      <c r="AG98" s="108" t="s">
        <v>503</v>
      </c>
      <c r="AH98" s="108" t="s">
        <v>503</v>
      </c>
      <c r="AI98" s="108" t="s">
        <v>503</v>
      </c>
      <c r="AJ98" s="108" t="s">
        <v>503</v>
      </c>
      <c r="AK98" s="108" t="s">
        <v>503</v>
      </c>
      <c r="AL98" s="108" t="s">
        <v>503</v>
      </c>
      <c r="AM98" s="108" t="s">
        <v>503</v>
      </c>
      <c r="AN98" s="108" t="s">
        <v>503</v>
      </c>
      <c r="AO98" s="108" t="s">
        <v>503</v>
      </c>
      <c r="AP98" s="108" t="s">
        <v>503</v>
      </c>
      <c r="AQ98" s="108" t="s">
        <v>503</v>
      </c>
      <c r="AR98" s="108" t="s">
        <v>503</v>
      </c>
      <c r="AS98" s="118" t="s">
        <v>502</v>
      </c>
      <c r="AT98" s="118" t="s">
        <v>502</v>
      </c>
      <c r="AU98" s="118" t="s">
        <v>502</v>
      </c>
      <c r="AV98" s="108" t="s">
        <v>503</v>
      </c>
      <c r="AW98" s="108" t="s">
        <v>503</v>
      </c>
      <c r="AX98" s="108" t="s">
        <v>503</v>
      </c>
      <c r="AY98" s="108" t="s">
        <v>503</v>
      </c>
      <c r="AZ98" s="108" t="s">
        <v>503</v>
      </c>
      <c r="BA98" s="108" t="s">
        <v>503</v>
      </c>
      <c r="BB98" s="108" t="s">
        <v>503</v>
      </c>
      <c r="BC98" s="108" t="s">
        <v>503</v>
      </c>
      <c r="BD98" s="108" t="s">
        <v>503</v>
      </c>
      <c r="BE98" s="118" t="s">
        <v>502</v>
      </c>
      <c r="BF98" s="118" t="s">
        <v>502</v>
      </c>
      <c r="BG98" s="118" t="s">
        <v>502</v>
      </c>
      <c r="BH98" s="108" t="s">
        <v>503</v>
      </c>
      <c r="BI98" s="108" t="s">
        <v>503</v>
      </c>
      <c r="BJ98" s="108" t="s">
        <v>503</v>
      </c>
      <c r="BK98" s="108" t="s">
        <v>503</v>
      </c>
      <c r="BL98" s="108" t="s">
        <v>503</v>
      </c>
      <c r="BM98" s="108" t="s">
        <v>503</v>
      </c>
      <c r="BN98" s="108" t="s">
        <v>503</v>
      </c>
      <c r="BO98" s="108" t="s">
        <v>503</v>
      </c>
      <c r="BP98" s="108" t="s">
        <v>503</v>
      </c>
      <c r="BQ98" s="108" t="s">
        <v>503</v>
      </c>
      <c r="BR98" s="108" t="s">
        <v>503</v>
      </c>
      <c r="BS98" s="108" t="s">
        <v>503</v>
      </c>
      <c r="BT98" s="108" t="s">
        <v>503</v>
      </c>
      <c r="BU98" s="108" t="s">
        <v>503</v>
      </c>
      <c r="BV98" s="108" t="s">
        <v>503</v>
      </c>
      <c r="BW98" s="108" t="s">
        <v>503</v>
      </c>
      <c r="BX98" s="108" t="s">
        <v>503</v>
      </c>
      <c r="BY98" s="108" t="s">
        <v>503</v>
      </c>
      <c r="BZ98" s="77">
        <v>1500000</v>
      </c>
      <c r="CA98" s="77">
        <f>+BZ98*19%</f>
        <v>285000</v>
      </c>
      <c r="CB98" s="77">
        <f>+BZ98+CA98</f>
        <v>1785000</v>
      </c>
      <c r="CC98" s="108" t="s">
        <v>503</v>
      </c>
      <c r="CD98" s="108" t="s">
        <v>503</v>
      </c>
      <c r="CE98" s="108" t="s">
        <v>503</v>
      </c>
      <c r="CF98" s="108" t="s">
        <v>503</v>
      </c>
      <c r="CG98" s="108" t="s">
        <v>503</v>
      </c>
      <c r="CH98" s="108" t="s">
        <v>503</v>
      </c>
      <c r="CI98" s="108" t="s">
        <v>503</v>
      </c>
      <c r="CJ98" s="108" t="s">
        <v>503</v>
      </c>
      <c r="CK98" s="108" t="s">
        <v>503</v>
      </c>
      <c r="CL98" s="108" t="s">
        <v>503</v>
      </c>
      <c r="CM98" s="108" t="s">
        <v>503</v>
      </c>
      <c r="CN98" s="108" t="s">
        <v>503</v>
      </c>
      <c r="CO98" s="108" t="s">
        <v>503</v>
      </c>
      <c r="CP98" s="108" t="s">
        <v>503</v>
      </c>
      <c r="CQ98" s="108" t="s">
        <v>503</v>
      </c>
      <c r="CR98" s="108" t="s">
        <v>503</v>
      </c>
      <c r="CS98" s="108" t="s">
        <v>503</v>
      </c>
      <c r="CT98" s="108" t="s">
        <v>503</v>
      </c>
      <c r="CU98" s="108" t="s">
        <v>503</v>
      </c>
      <c r="CV98" s="108" t="s">
        <v>503</v>
      </c>
      <c r="CW98" s="108" t="s">
        <v>503</v>
      </c>
      <c r="CX98" s="108" t="s">
        <v>503</v>
      </c>
      <c r="CY98" s="108" t="s">
        <v>503</v>
      </c>
      <c r="CZ98" s="108" t="s">
        <v>503</v>
      </c>
      <c r="DA98" s="108" t="s">
        <v>503</v>
      </c>
      <c r="DB98" s="108" t="s">
        <v>503</v>
      </c>
      <c r="DC98" s="108" t="s">
        <v>503</v>
      </c>
      <c r="DD98" s="108" t="s">
        <v>503</v>
      </c>
      <c r="DE98" s="108" t="s">
        <v>503</v>
      </c>
      <c r="DF98" s="108" t="s">
        <v>503</v>
      </c>
      <c r="DG98" s="108" t="s">
        <v>503</v>
      </c>
      <c r="DH98" s="108" t="s">
        <v>503</v>
      </c>
      <c r="DI98" s="108" t="s">
        <v>503</v>
      </c>
      <c r="DJ98" s="108" t="s">
        <v>503</v>
      </c>
      <c r="DK98" s="108" t="s">
        <v>503</v>
      </c>
      <c r="DL98" s="108" t="s">
        <v>503</v>
      </c>
      <c r="DM98" s="108" t="s">
        <v>503</v>
      </c>
      <c r="DN98" s="108" t="s">
        <v>503</v>
      </c>
      <c r="DO98" s="108" t="s">
        <v>503</v>
      </c>
      <c r="DP98" s="108" t="s">
        <v>669</v>
      </c>
      <c r="DQ98" s="108" t="s">
        <v>669</v>
      </c>
      <c r="DR98" s="108" t="s">
        <v>669</v>
      </c>
      <c r="DS98" s="108" t="s">
        <v>669</v>
      </c>
      <c r="DT98" s="108" t="s">
        <v>669</v>
      </c>
      <c r="DU98" s="108" t="s">
        <v>669</v>
      </c>
      <c r="DV98" s="108" t="s">
        <v>503</v>
      </c>
      <c r="DW98" s="108" t="s">
        <v>503</v>
      </c>
      <c r="DX98" s="108" t="s">
        <v>503</v>
      </c>
      <c r="DY98" s="108" t="s">
        <v>503</v>
      </c>
      <c r="DZ98" s="108" t="s">
        <v>503</v>
      </c>
      <c r="EA98" s="108" t="s">
        <v>503</v>
      </c>
      <c r="EB98" s="108" t="s">
        <v>503</v>
      </c>
      <c r="EC98" s="108" t="s">
        <v>503</v>
      </c>
      <c r="ED98" s="108" t="s">
        <v>503</v>
      </c>
      <c r="EE98" s="108" t="s">
        <v>503</v>
      </c>
      <c r="EF98" s="108" t="s">
        <v>503</v>
      </c>
      <c r="EG98" s="108" t="s">
        <v>503</v>
      </c>
      <c r="EH98" s="108" t="s">
        <v>503</v>
      </c>
      <c r="EI98" s="108" t="s">
        <v>503</v>
      </c>
      <c r="EJ98" s="108" t="s">
        <v>503</v>
      </c>
      <c r="EK98" s="108" t="s">
        <v>503</v>
      </c>
      <c r="EL98" s="108" t="s">
        <v>503</v>
      </c>
      <c r="EM98" s="108" t="s">
        <v>503</v>
      </c>
      <c r="EN98" s="108" t="s">
        <v>503</v>
      </c>
      <c r="EO98" s="108" t="s">
        <v>503</v>
      </c>
      <c r="EP98" s="108" t="s">
        <v>503</v>
      </c>
      <c r="EQ98" s="108" t="s">
        <v>502</v>
      </c>
      <c r="ER98" s="108" t="s">
        <v>502</v>
      </c>
      <c r="ES98" s="108" t="s">
        <v>502</v>
      </c>
      <c r="ET98" s="108" t="s">
        <v>502</v>
      </c>
      <c r="EU98" s="108" t="s">
        <v>502</v>
      </c>
      <c r="EV98" s="108" t="s">
        <v>502</v>
      </c>
      <c r="EW98" s="108" t="s">
        <v>502</v>
      </c>
      <c r="EX98" s="108" t="s">
        <v>502</v>
      </c>
      <c r="EY98" s="108" t="s">
        <v>502</v>
      </c>
      <c r="EZ98" s="71">
        <v>210000</v>
      </c>
      <c r="FA98" s="71">
        <f>+EZ98*19%</f>
        <v>39900</v>
      </c>
      <c r="FB98" s="71">
        <f>+EZ98+FA98</f>
        <v>249900</v>
      </c>
      <c r="FC98" s="108" t="s">
        <v>502</v>
      </c>
      <c r="FD98" s="108" t="s">
        <v>502</v>
      </c>
      <c r="FE98" s="108" t="s">
        <v>502</v>
      </c>
      <c r="FF98" s="108" t="s">
        <v>503</v>
      </c>
      <c r="FG98" s="108" t="s">
        <v>503</v>
      </c>
      <c r="FH98" s="108" t="s">
        <v>503</v>
      </c>
      <c r="FI98" s="108" t="s">
        <v>503</v>
      </c>
      <c r="FJ98" s="108" t="s">
        <v>503</v>
      </c>
      <c r="FK98" s="108" t="s">
        <v>503</v>
      </c>
      <c r="FL98" s="108" t="s">
        <v>503</v>
      </c>
      <c r="FM98" s="108" t="s">
        <v>503</v>
      </c>
      <c r="FN98" s="108" t="s">
        <v>503</v>
      </c>
      <c r="FO98" s="108" t="s">
        <v>502</v>
      </c>
      <c r="FP98" s="108" t="s">
        <v>502</v>
      </c>
      <c r="FQ98" s="108" t="s">
        <v>502</v>
      </c>
      <c r="FR98" s="108" t="s">
        <v>502</v>
      </c>
      <c r="FS98" s="108" t="s">
        <v>502</v>
      </c>
      <c r="FT98" s="108" t="s">
        <v>502</v>
      </c>
      <c r="FU98" s="108" t="s">
        <v>502</v>
      </c>
      <c r="FV98" s="108" t="s">
        <v>502</v>
      </c>
      <c r="FW98" s="108" t="s">
        <v>502</v>
      </c>
      <c r="FX98" s="108" t="s">
        <v>503</v>
      </c>
      <c r="FY98" s="108" t="s">
        <v>503</v>
      </c>
      <c r="FZ98" s="108" t="s">
        <v>503</v>
      </c>
      <c r="GA98" s="108" t="s">
        <v>503</v>
      </c>
      <c r="GB98" s="108" t="s">
        <v>503</v>
      </c>
      <c r="GC98" s="108" t="s">
        <v>503</v>
      </c>
      <c r="GD98" s="108" t="s">
        <v>503</v>
      </c>
      <c r="GE98" s="108" t="s">
        <v>503</v>
      </c>
      <c r="GF98" s="108" t="s">
        <v>503</v>
      </c>
      <c r="GG98" s="108" t="s">
        <v>669</v>
      </c>
      <c r="GH98" s="108" t="s">
        <v>669</v>
      </c>
      <c r="GI98" s="108" t="s">
        <v>669</v>
      </c>
      <c r="GJ98" s="108" t="s">
        <v>669</v>
      </c>
      <c r="GK98" s="108" t="s">
        <v>669</v>
      </c>
      <c r="GL98" s="108" t="s">
        <v>669</v>
      </c>
      <c r="GM98" s="108" t="s">
        <v>502</v>
      </c>
      <c r="GN98" s="108" t="s">
        <v>502</v>
      </c>
      <c r="GO98" s="108" t="s">
        <v>502</v>
      </c>
      <c r="GP98" s="108" t="s">
        <v>664</v>
      </c>
      <c r="GQ98" s="108" t="s">
        <v>664</v>
      </c>
      <c r="GR98" s="108" t="s">
        <v>664</v>
      </c>
      <c r="GS98" s="108" t="s">
        <v>502</v>
      </c>
      <c r="GT98" s="108" t="s">
        <v>502</v>
      </c>
      <c r="GU98" s="108" t="s">
        <v>502</v>
      </c>
      <c r="GV98" s="108" t="s">
        <v>502</v>
      </c>
      <c r="GW98" s="108" t="s">
        <v>502</v>
      </c>
      <c r="GX98" s="108" t="s">
        <v>502</v>
      </c>
      <c r="GY98" s="108" t="s">
        <v>664</v>
      </c>
      <c r="GZ98" s="108" t="s">
        <v>664</v>
      </c>
      <c r="HA98" s="108" t="s">
        <v>664</v>
      </c>
      <c r="HB98" s="108" t="s">
        <v>664</v>
      </c>
      <c r="HC98" s="108" t="s">
        <v>664</v>
      </c>
      <c r="HD98" s="108" t="s">
        <v>664</v>
      </c>
      <c r="HE98" s="108" t="s">
        <v>664</v>
      </c>
      <c r="HF98" s="108" t="s">
        <v>664</v>
      </c>
      <c r="HG98" s="108" t="s">
        <v>664</v>
      </c>
      <c r="HH98" s="108" t="s">
        <v>664</v>
      </c>
      <c r="HI98" s="108" t="s">
        <v>664</v>
      </c>
      <c r="HJ98" s="108" t="s">
        <v>664</v>
      </c>
      <c r="HK98" s="108" t="s">
        <v>664</v>
      </c>
      <c r="HL98" s="108" t="s">
        <v>664</v>
      </c>
      <c r="HM98" s="108" t="s">
        <v>664</v>
      </c>
      <c r="HN98" s="108" t="s">
        <v>664</v>
      </c>
      <c r="HO98" s="108" t="s">
        <v>664</v>
      </c>
      <c r="HP98" s="108" t="s">
        <v>664</v>
      </c>
      <c r="HQ98" s="108" t="s">
        <v>503</v>
      </c>
      <c r="HR98" s="108" t="s">
        <v>503</v>
      </c>
      <c r="HS98" s="108" t="s">
        <v>503</v>
      </c>
      <c r="HT98" s="108" t="s">
        <v>502</v>
      </c>
      <c r="HU98" s="108" t="s">
        <v>502</v>
      </c>
      <c r="HV98" s="108" t="s">
        <v>502</v>
      </c>
      <c r="HW98" s="108" t="s">
        <v>503</v>
      </c>
      <c r="HX98" s="108" t="s">
        <v>503</v>
      </c>
      <c r="HY98" s="108" t="s">
        <v>503</v>
      </c>
      <c r="HZ98" s="118" t="s">
        <v>502</v>
      </c>
      <c r="IA98" s="118" t="s">
        <v>502</v>
      </c>
      <c r="IB98" s="118" t="s">
        <v>502</v>
      </c>
      <c r="IC98" s="118" t="s">
        <v>502</v>
      </c>
      <c r="ID98" s="118" t="s">
        <v>502</v>
      </c>
      <c r="IE98" s="118" t="s">
        <v>502</v>
      </c>
      <c r="IF98" s="118" t="s">
        <v>502</v>
      </c>
      <c r="IG98" s="118" t="s">
        <v>502</v>
      </c>
      <c r="IH98" s="118" t="s">
        <v>502</v>
      </c>
      <c r="II98" s="118" t="s">
        <v>502</v>
      </c>
      <c r="IJ98" s="118" t="s">
        <v>502</v>
      </c>
      <c r="IK98" s="118" t="s">
        <v>502</v>
      </c>
      <c r="IL98" s="118" t="s">
        <v>502</v>
      </c>
      <c r="IM98" s="118" t="s">
        <v>502</v>
      </c>
      <c r="IN98" s="118" t="s">
        <v>502</v>
      </c>
      <c r="IO98" s="120" t="s">
        <v>503</v>
      </c>
      <c r="IP98" s="120" t="s">
        <v>503</v>
      </c>
      <c r="IQ98" s="120" t="s">
        <v>503</v>
      </c>
      <c r="IR98" s="118" t="s">
        <v>669</v>
      </c>
      <c r="IS98" s="118" t="s">
        <v>669</v>
      </c>
      <c r="IT98" s="118" t="s">
        <v>669</v>
      </c>
      <c r="IU98" s="120" t="s">
        <v>503</v>
      </c>
      <c r="IV98" s="120" t="s">
        <v>503</v>
      </c>
      <c r="IW98" s="120" t="s">
        <v>503</v>
      </c>
      <c r="IX98" s="120" t="s">
        <v>503</v>
      </c>
      <c r="IY98" s="120" t="s">
        <v>503</v>
      </c>
      <c r="IZ98" s="120" t="s">
        <v>503</v>
      </c>
      <c r="JA98" s="120" t="s">
        <v>503</v>
      </c>
      <c r="JB98" s="120" t="s">
        <v>503</v>
      </c>
      <c r="JC98" s="120" t="s">
        <v>503</v>
      </c>
      <c r="JD98" s="120" t="s">
        <v>664</v>
      </c>
      <c r="JE98" s="120" t="s">
        <v>664</v>
      </c>
      <c r="JF98" s="120" t="s">
        <v>664</v>
      </c>
      <c r="JG98" s="118" t="s">
        <v>502</v>
      </c>
      <c r="JH98" s="118" t="s">
        <v>502</v>
      </c>
      <c r="JI98" s="118" t="s">
        <v>502</v>
      </c>
      <c r="JJ98" s="118" t="s">
        <v>502</v>
      </c>
      <c r="JK98" s="118" t="s">
        <v>502</v>
      </c>
      <c r="JL98" s="118" t="s">
        <v>502</v>
      </c>
      <c r="JM98" s="118" t="s">
        <v>502</v>
      </c>
      <c r="JN98" s="118" t="s">
        <v>502</v>
      </c>
      <c r="JO98" s="118" t="s">
        <v>502</v>
      </c>
      <c r="JP98" s="110"/>
      <c r="JQ98" s="111">
        <v>0</v>
      </c>
      <c r="JR98" s="112">
        <f t="shared" si="30"/>
        <v>2</v>
      </c>
      <c r="JS98" s="113">
        <f t="shared" si="31"/>
        <v>1017450</v>
      </c>
      <c r="JT98" s="114">
        <f t="shared" si="32"/>
        <v>1017450</v>
      </c>
      <c r="JU98" s="177"/>
    </row>
    <row r="99" spans="1:281" s="127" customFormat="1" ht="81" customHeight="1" x14ac:dyDescent="0.2">
      <c r="A99" s="98">
        <v>202</v>
      </c>
      <c r="B99" s="99">
        <v>202</v>
      </c>
      <c r="C99" s="39" t="s">
        <v>688</v>
      </c>
      <c r="D99" s="184" t="s">
        <v>287</v>
      </c>
      <c r="E99" s="53">
        <v>53102700</v>
      </c>
      <c r="F99" s="129" t="s">
        <v>289</v>
      </c>
      <c r="G99" s="102" t="s">
        <v>86</v>
      </c>
      <c r="H99" s="103" t="s">
        <v>501</v>
      </c>
      <c r="I99" s="108" t="s">
        <v>503</v>
      </c>
      <c r="J99" s="108" t="s">
        <v>503</v>
      </c>
      <c r="K99" s="108" t="s">
        <v>503</v>
      </c>
      <c r="L99" s="108" t="s">
        <v>503</v>
      </c>
      <c r="M99" s="108" t="s">
        <v>503</v>
      </c>
      <c r="N99" s="108" t="s">
        <v>503</v>
      </c>
      <c r="O99" s="108" t="s">
        <v>503</v>
      </c>
      <c r="P99" s="108" t="s">
        <v>503</v>
      </c>
      <c r="Q99" s="108" t="s">
        <v>503</v>
      </c>
      <c r="R99" s="108" t="s">
        <v>503</v>
      </c>
      <c r="S99" s="108" t="s">
        <v>503</v>
      </c>
      <c r="T99" s="108" t="s">
        <v>503</v>
      </c>
      <c r="U99" s="108" t="s">
        <v>503</v>
      </c>
      <c r="V99" s="108" t="s">
        <v>503</v>
      </c>
      <c r="W99" s="108" t="s">
        <v>503</v>
      </c>
      <c r="X99" s="108" t="s">
        <v>503</v>
      </c>
      <c r="Y99" s="108" t="s">
        <v>503</v>
      </c>
      <c r="Z99" s="108" t="s">
        <v>503</v>
      </c>
      <c r="AA99" s="108" t="s">
        <v>503</v>
      </c>
      <c r="AB99" s="108" t="s">
        <v>503</v>
      </c>
      <c r="AC99" s="108" t="s">
        <v>503</v>
      </c>
      <c r="AD99" s="108" t="s">
        <v>503</v>
      </c>
      <c r="AE99" s="108" t="s">
        <v>503</v>
      </c>
      <c r="AF99" s="108" t="s">
        <v>503</v>
      </c>
      <c r="AG99" s="108" t="s">
        <v>503</v>
      </c>
      <c r="AH99" s="108" t="s">
        <v>503</v>
      </c>
      <c r="AI99" s="108" t="s">
        <v>503</v>
      </c>
      <c r="AJ99" s="108" t="s">
        <v>503</v>
      </c>
      <c r="AK99" s="108" t="s">
        <v>503</v>
      </c>
      <c r="AL99" s="108" t="s">
        <v>503</v>
      </c>
      <c r="AM99" s="108" t="s">
        <v>503</v>
      </c>
      <c r="AN99" s="108" t="s">
        <v>503</v>
      </c>
      <c r="AO99" s="108" t="s">
        <v>503</v>
      </c>
      <c r="AP99" s="108" t="s">
        <v>503</v>
      </c>
      <c r="AQ99" s="108" t="s">
        <v>503</v>
      </c>
      <c r="AR99" s="108" t="s">
        <v>503</v>
      </c>
      <c r="AS99" s="108" t="s">
        <v>503</v>
      </c>
      <c r="AT99" s="108" t="s">
        <v>503</v>
      </c>
      <c r="AU99" s="108" t="s">
        <v>503</v>
      </c>
      <c r="AV99" s="108" t="s">
        <v>503</v>
      </c>
      <c r="AW99" s="108" t="s">
        <v>503</v>
      </c>
      <c r="AX99" s="108" t="s">
        <v>503</v>
      </c>
      <c r="AY99" s="108" t="s">
        <v>503</v>
      </c>
      <c r="AZ99" s="108" t="s">
        <v>503</v>
      </c>
      <c r="BA99" s="108" t="s">
        <v>503</v>
      </c>
      <c r="BB99" s="108" t="s">
        <v>503</v>
      </c>
      <c r="BC99" s="108" t="s">
        <v>503</v>
      </c>
      <c r="BD99" s="108" t="s">
        <v>503</v>
      </c>
      <c r="BE99" s="108" t="s">
        <v>503</v>
      </c>
      <c r="BF99" s="108" t="s">
        <v>503</v>
      </c>
      <c r="BG99" s="108" t="s">
        <v>503</v>
      </c>
      <c r="BH99" s="118" t="s">
        <v>502</v>
      </c>
      <c r="BI99" s="118" t="s">
        <v>502</v>
      </c>
      <c r="BJ99" s="118" t="s">
        <v>502</v>
      </c>
      <c r="BK99" s="108" t="s">
        <v>503</v>
      </c>
      <c r="BL99" s="108" t="s">
        <v>503</v>
      </c>
      <c r="BM99" s="108" t="s">
        <v>503</v>
      </c>
      <c r="BN99" s="108" t="s">
        <v>503</v>
      </c>
      <c r="BO99" s="108" t="s">
        <v>503</v>
      </c>
      <c r="BP99" s="108" t="s">
        <v>503</v>
      </c>
      <c r="BQ99" s="108" t="s">
        <v>503</v>
      </c>
      <c r="BR99" s="108" t="s">
        <v>503</v>
      </c>
      <c r="BS99" s="108" t="s">
        <v>503</v>
      </c>
      <c r="BT99" s="108" t="s">
        <v>503</v>
      </c>
      <c r="BU99" s="108" t="s">
        <v>503</v>
      </c>
      <c r="BV99" s="108" t="s">
        <v>503</v>
      </c>
      <c r="BW99" s="108" t="s">
        <v>503</v>
      </c>
      <c r="BX99" s="108" t="s">
        <v>503</v>
      </c>
      <c r="BY99" s="108" t="s">
        <v>503</v>
      </c>
      <c r="BZ99" s="108" t="s">
        <v>503</v>
      </c>
      <c r="CA99" s="108" t="s">
        <v>503</v>
      </c>
      <c r="CB99" s="108" t="s">
        <v>503</v>
      </c>
      <c r="CC99" s="56">
        <v>24175</v>
      </c>
      <c r="CD99" s="119">
        <f>+CC99*19%</f>
        <v>4593.25</v>
      </c>
      <c r="CE99" s="118">
        <f>+CC99+CD99</f>
        <v>28768.25</v>
      </c>
      <c r="CF99" s="108" t="s">
        <v>503</v>
      </c>
      <c r="CG99" s="108" t="s">
        <v>503</v>
      </c>
      <c r="CH99" s="108" t="s">
        <v>503</v>
      </c>
      <c r="CI99" s="108" t="s">
        <v>503</v>
      </c>
      <c r="CJ99" s="108" t="s">
        <v>503</v>
      </c>
      <c r="CK99" s="108" t="s">
        <v>503</v>
      </c>
      <c r="CL99" s="108" t="s">
        <v>503</v>
      </c>
      <c r="CM99" s="108" t="s">
        <v>503</v>
      </c>
      <c r="CN99" s="108" t="s">
        <v>503</v>
      </c>
      <c r="CO99" s="108" t="s">
        <v>503</v>
      </c>
      <c r="CP99" s="108" t="s">
        <v>503</v>
      </c>
      <c r="CQ99" s="108" t="s">
        <v>503</v>
      </c>
      <c r="CR99" s="108" t="s">
        <v>503</v>
      </c>
      <c r="CS99" s="108" t="s">
        <v>503</v>
      </c>
      <c r="CT99" s="108" t="s">
        <v>503</v>
      </c>
      <c r="CU99" s="108" t="s">
        <v>503</v>
      </c>
      <c r="CV99" s="108" t="s">
        <v>503</v>
      </c>
      <c r="CW99" s="108" t="s">
        <v>503</v>
      </c>
      <c r="CX99" s="108" t="s">
        <v>503</v>
      </c>
      <c r="CY99" s="108" t="s">
        <v>503</v>
      </c>
      <c r="CZ99" s="108" t="s">
        <v>503</v>
      </c>
      <c r="DA99" s="108" t="s">
        <v>503</v>
      </c>
      <c r="DB99" s="108" t="s">
        <v>503</v>
      </c>
      <c r="DC99" s="108" t="s">
        <v>503</v>
      </c>
      <c r="DD99" s="108" t="s">
        <v>503</v>
      </c>
      <c r="DE99" s="108" t="s">
        <v>503</v>
      </c>
      <c r="DF99" s="108" t="s">
        <v>503</v>
      </c>
      <c r="DG99" s="108" t="s">
        <v>503</v>
      </c>
      <c r="DH99" s="108" t="s">
        <v>503</v>
      </c>
      <c r="DI99" s="108" t="s">
        <v>503</v>
      </c>
      <c r="DJ99" s="108" t="s">
        <v>503</v>
      </c>
      <c r="DK99" s="108" t="s">
        <v>503</v>
      </c>
      <c r="DL99" s="108" t="s">
        <v>503</v>
      </c>
      <c r="DM99" s="108" t="s">
        <v>503</v>
      </c>
      <c r="DN99" s="108" t="s">
        <v>503</v>
      </c>
      <c r="DO99" s="108" t="s">
        <v>503</v>
      </c>
      <c r="DP99" s="108" t="s">
        <v>503</v>
      </c>
      <c r="DQ99" s="108" t="s">
        <v>503</v>
      </c>
      <c r="DR99" s="108" t="s">
        <v>503</v>
      </c>
      <c r="DS99" s="108" t="s">
        <v>503</v>
      </c>
      <c r="DT99" s="108" t="s">
        <v>503</v>
      </c>
      <c r="DU99" s="108" t="s">
        <v>503</v>
      </c>
      <c r="DV99" s="108" t="s">
        <v>503</v>
      </c>
      <c r="DW99" s="108" t="s">
        <v>503</v>
      </c>
      <c r="DX99" s="108" t="s">
        <v>503</v>
      </c>
      <c r="DY99" s="108" t="s">
        <v>503</v>
      </c>
      <c r="DZ99" s="108" t="s">
        <v>503</v>
      </c>
      <c r="EA99" s="108" t="s">
        <v>503</v>
      </c>
      <c r="EB99" s="71">
        <f>15685+1500+1500+2500</f>
        <v>21185</v>
      </c>
      <c r="EC99" s="71">
        <f>+EB99*19%</f>
        <v>4025.15</v>
      </c>
      <c r="ED99" s="71">
        <f>+EB99+EC99</f>
        <v>25210.15</v>
      </c>
      <c r="EE99" s="108" t="s">
        <v>503</v>
      </c>
      <c r="EF99" s="108" t="s">
        <v>503</v>
      </c>
      <c r="EG99" s="108" t="s">
        <v>503</v>
      </c>
      <c r="EH99" s="108" t="s">
        <v>503</v>
      </c>
      <c r="EI99" s="108" t="s">
        <v>503</v>
      </c>
      <c r="EJ99" s="108" t="s">
        <v>503</v>
      </c>
      <c r="EK99" s="71">
        <v>21008</v>
      </c>
      <c r="EL99" s="71">
        <f>+EK99*19%</f>
        <v>3991.52</v>
      </c>
      <c r="EM99" s="71">
        <f>+EK99+EL99</f>
        <v>24999.52</v>
      </c>
      <c r="EN99" s="71" t="s">
        <v>669</v>
      </c>
      <c r="EO99" s="71" t="s">
        <v>669</v>
      </c>
      <c r="EP99" s="71" t="s">
        <v>669</v>
      </c>
      <c r="EQ99" s="108" t="s">
        <v>503</v>
      </c>
      <c r="ER99" s="108" t="s">
        <v>503</v>
      </c>
      <c r="ES99" s="108" t="s">
        <v>503</v>
      </c>
      <c r="ET99" s="108" t="s">
        <v>503</v>
      </c>
      <c r="EU99" s="108" t="s">
        <v>503</v>
      </c>
      <c r="EV99" s="108" t="s">
        <v>503</v>
      </c>
      <c r="EW99" s="108" t="s">
        <v>503</v>
      </c>
      <c r="EX99" s="108" t="s">
        <v>503</v>
      </c>
      <c r="EY99" s="108" t="s">
        <v>503</v>
      </c>
      <c r="EZ99" s="118" t="s">
        <v>503</v>
      </c>
      <c r="FA99" s="118" t="s">
        <v>503</v>
      </c>
      <c r="FB99" s="118" t="s">
        <v>503</v>
      </c>
      <c r="FC99" s="108" t="s">
        <v>503</v>
      </c>
      <c r="FD99" s="108" t="s">
        <v>503</v>
      </c>
      <c r="FE99" s="108" t="s">
        <v>503</v>
      </c>
      <c r="FF99" s="108" t="s">
        <v>503</v>
      </c>
      <c r="FG99" s="108" t="s">
        <v>503</v>
      </c>
      <c r="FH99" s="108" t="s">
        <v>503</v>
      </c>
      <c r="FI99" s="108" t="s">
        <v>503</v>
      </c>
      <c r="FJ99" s="108" t="s">
        <v>503</v>
      </c>
      <c r="FK99" s="108" t="s">
        <v>503</v>
      </c>
      <c r="FL99" s="108" t="s">
        <v>503</v>
      </c>
      <c r="FM99" s="108" t="s">
        <v>503</v>
      </c>
      <c r="FN99" s="108" t="s">
        <v>503</v>
      </c>
      <c r="FO99" s="108" t="s">
        <v>503</v>
      </c>
      <c r="FP99" s="108" t="s">
        <v>503</v>
      </c>
      <c r="FQ99" s="108" t="s">
        <v>503</v>
      </c>
      <c r="FR99" s="108" t="s">
        <v>503</v>
      </c>
      <c r="FS99" s="108" t="s">
        <v>503</v>
      </c>
      <c r="FT99" s="108" t="s">
        <v>503</v>
      </c>
      <c r="FU99" s="108" t="s">
        <v>503</v>
      </c>
      <c r="FV99" s="108" t="s">
        <v>503</v>
      </c>
      <c r="FW99" s="108" t="s">
        <v>503</v>
      </c>
      <c r="FX99" s="108" t="s">
        <v>503</v>
      </c>
      <c r="FY99" s="108" t="s">
        <v>503</v>
      </c>
      <c r="FZ99" s="108" t="s">
        <v>503</v>
      </c>
      <c r="GA99" s="108" t="s">
        <v>503</v>
      </c>
      <c r="GB99" s="108" t="s">
        <v>503</v>
      </c>
      <c r="GC99" s="108" t="s">
        <v>503</v>
      </c>
      <c r="GD99" s="108" t="s">
        <v>503</v>
      </c>
      <c r="GE99" s="108" t="s">
        <v>503</v>
      </c>
      <c r="GF99" s="108" t="s">
        <v>503</v>
      </c>
      <c r="GG99" s="108" t="s">
        <v>503</v>
      </c>
      <c r="GH99" s="108" t="s">
        <v>503</v>
      </c>
      <c r="GI99" s="108" t="s">
        <v>503</v>
      </c>
      <c r="GJ99" s="108" t="s">
        <v>503</v>
      </c>
      <c r="GK99" s="108" t="s">
        <v>503</v>
      </c>
      <c r="GL99" s="108" t="s">
        <v>503</v>
      </c>
      <c r="GM99" s="108" t="s">
        <v>503</v>
      </c>
      <c r="GN99" s="108" t="s">
        <v>503</v>
      </c>
      <c r="GO99" s="108" t="s">
        <v>503</v>
      </c>
      <c r="GP99" s="108" t="s">
        <v>664</v>
      </c>
      <c r="GQ99" s="108" t="s">
        <v>664</v>
      </c>
      <c r="GR99" s="108" t="s">
        <v>664</v>
      </c>
      <c r="GS99" s="108" t="s">
        <v>664</v>
      </c>
      <c r="GT99" s="108" t="s">
        <v>664</v>
      </c>
      <c r="GU99" s="108" t="s">
        <v>664</v>
      </c>
      <c r="GV99" s="108" t="s">
        <v>664</v>
      </c>
      <c r="GW99" s="108" t="s">
        <v>664</v>
      </c>
      <c r="GX99" s="108" t="s">
        <v>664</v>
      </c>
      <c r="GY99" s="108" t="s">
        <v>664</v>
      </c>
      <c r="GZ99" s="108" t="s">
        <v>664</v>
      </c>
      <c r="HA99" s="108" t="s">
        <v>664</v>
      </c>
      <c r="HB99" s="108" t="s">
        <v>664</v>
      </c>
      <c r="HC99" s="108" t="s">
        <v>664</v>
      </c>
      <c r="HD99" s="108" t="s">
        <v>664</v>
      </c>
      <c r="HE99" s="108" t="s">
        <v>664</v>
      </c>
      <c r="HF99" s="108" t="s">
        <v>664</v>
      </c>
      <c r="HG99" s="108" t="s">
        <v>664</v>
      </c>
      <c r="HH99" s="108" t="s">
        <v>664</v>
      </c>
      <c r="HI99" s="108" t="s">
        <v>664</v>
      </c>
      <c r="HJ99" s="108" t="s">
        <v>664</v>
      </c>
      <c r="HK99" s="108" t="s">
        <v>664</v>
      </c>
      <c r="HL99" s="108" t="s">
        <v>664</v>
      </c>
      <c r="HM99" s="108" t="s">
        <v>664</v>
      </c>
      <c r="HN99" s="108" t="s">
        <v>664</v>
      </c>
      <c r="HO99" s="108" t="s">
        <v>664</v>
      </c>
      <c r="HP99" s="108" t="s">
        <v>664</v>
      </c>
      <c r="HQ99" s="108" t="s">
        <v>664</v>
      </c>
      <c r="HR99" s="108" t="s">
        <v>664</v>
      </c>
      <c r="HS99" s="108" t="s">
        <v>664</v>
      </c>
      <c r="HT99" s="108" t="s">
        <v>664</v>
      </c>
      <c r="HU99" s="108" t="s">
        <v>664</v>
      </c>
      <c r="HV99" s="108" t="s">
        <v>664</v>
      </c>
      <c r="HW99" s="108" t="s">
        <v>664</v>
      </c>
      <c r="HX99" s="108" t="s">
        <v>664</v>
      </c>
      <c r="HY99" s="108" t="s">
        <v>664</v>
      </c>
      <c r="HZ99" s="108" t="s">
        <v>664</v>
      </c>
      <c r="IA99" s="108" t="s">
        <v>664</v>
      </c>
      <c r="IB99" s="108" t="s">
        <v>664</v>
      </c>
      <c r="IC99" s="108" t="s">
        <v>664</v>
      </c>
      <c r="ID99" s="108" t="s">
        <v>664</v>
      </c>
      <c r="IE99" s="108" t="s">
        <v>664</v>
      </c>
      <c r="IF99" s="108" t="s">
        <v>664</v>
      </c>
      <c r="IG99" s="108" t="s">
        <v>664</v>
      </c>
      <c r="IH99" s="108" t="s">
        <v>664</v>
      </c>
      <c r="II99" s="108" t="s">
        <v>664</v>
      </c>
      <c r="IJ99" s="108" t="s">
        <v>664</v>
      </c>
      <c r="IK99" s="108" t="s">
        <v>664</v>
      </c>
      <c r="IL99" s="108" t="s">
        <v>664</v>
      </c>
      <c r="IM99" s="108" t="s">
        <v>664</v>
      </c>
      <c r="IN99" s="108" t="s">
        <v>664</v>
      </c>
      <c r="IO99" s="108" t="s">
        <v>502</v>
      </c>
      <c r="IP99" s="108" t="s">
        <v>502</v>
      </c>
      <c r="IQ99" s="108" t="s">
        <v>502</v>
      </c>
      <c r="IR99" s="120" t="s">
        <v>664</v>
      </c>
      <c r="IS99" s="120" t="s">
        <v>664</v>
      </c>
      <c r="IT99" s="120" t="s">
        <v>664</v>
      </c>
      <c r="IU99" s="120" t="s">
        <v>503</v>
      </c>
      <c r="IV99" s="120" t="s">
        <v>503</v>
      </c>
      <c r="IW99" s="120" t="s">
        <v>503</v>
      </c>
      <c r="IX99" s="120" t="s">
        <v>503</v>
      </c>
      <c r="IY99" s="120" t="s">
        <v>503</v>
      </c>
      <c r="IZ99" s="120" t="s">
        <v>503</v>
      </c>
      <c r="JA99" s="120" t="s">
        <v>503</v>
      </c>
      <c r="JB99" s="120" t="s">
        <v>503</v>
      </c>
      <c r="JC99" s="120" t="s">
        <v>503</v>
      </c>
      <c r="JD99" s="120" t="s">
        <v>664</v>
      </c>
      <c r="JE99" s="120" t="s">
        <v>664</v>
      </c>
      <c r="JF99" s="120" t="s">
        <v>664</v>
      </c>
      <c r="JG99" s="120" t="s">
        <v>664</v>
      </c>
      <c r="JH99" s="120" t="s">
        <v>664</v>
      </c>
      <c r="JI99" s="120" t="s">
        <v>664</v>
      </c>
      <c r="JJ99" s="120" t="s">
        <v>664</v>
      </c>
      <c r="JK99" s="120" t="s">
        <v>664</v>
      </c>
      <c r="JL99" s="120" t="s">
        <v>664</v>
      </c>
      <c r="JM99" s="120" t="s">
        <v>664</v>
      </c>
      <c r="JN99" s="120" t="s">
        <v>664</v>
      </c>
      <c r="JO99" s="120" t="s">
        <v>664</v>
      </c>
      <c r="JP99" s="110">
        <v>24350</v>
      </c>
      <c r="JQ99" s="111">
        <v>29092.733264000002</v>
      </c>
      <c r="JR99" s="112">
        <f t="shared" si="30"/>
        <v>3</v>
      </c>
      <c r="JS99" s="113">
        <f t="shared" si="31"/>
        <v>26325.973333333332</v>
      </c>
      <c r="JT99" s="114">
        <f t="shared" si="32"/>
        <v>26350</v>
      </c>
      <c r="JU99" s="167"/>
    </row>
    <row r="100" spans="1:281" s="127" customFormat="1" ht="81" customHeight="1" x14ac:dyDescent="0.2">
      <c r="A100" s="98">
        <v>203</v>
      </c>
      <c r="B100" s="99">
        <v>203</v>
      </c>
      <c r="C100" s="39" t="s">
        <v>688</v>
      </c>
      <c r="D100" s="100" t="s">
        <v>288</v>
      </c>
      <c r="E100" s="53">
        <v>53102700</v>
      </c>
      <c r="F100" s="101" t="s">
        <v>290</v>
      </c>
      <c r="G100" s="102" t="s">
        <v>86</v>
      </c>
      <c r="H100" s="103" t="s">
        <v>501</v>
      </c>
      <c r="I100" s="108" t="s">
        <v>503</v>
      </c>
      <c r="J100" s="108" t="s">
        <v>503</v>
      </c>
      <c r="K100" s="108" t="s">
        <v>503</v>
      </c>
      <c r="L100" s="108" t="s">
        <v>503</v>
      </c>
      <c r="M100" s="108" t="s">
        <v>503</v>
      </c>
      <c r="N100" s="108" t="s">
        <v>503</v>
      </c>
      <c r="O100" s="108" t="s">
        <v>503</v>
      </c>
      <c r="P100" s="108" t="s">
        <v>503</v>
      </c>
      <c r="Q100" s="108" t="s">
        <v>503</v>
      </c>
      <c r="R100" s="108" t="s">
        <v>503</v>
      </c>
      <c r="S100" s="108" t="s">
        <v>503</v>
      </c>
      <c r="T100" s="108" t="s">
        <v>503</v>
      </c>
      <c r="U100" s="108" t="s">
        <v>503</v>
      </c>
      <c r="V100" s="108" t="s">
        <v>503</v>
      </c>
      <c r="W100" s="108" t="s">
        <v>503</v>
      </c>
      <c r="X100" s="108" t="s">
        <v>503</v>
      </c>
      <c r="Y100" s="108" t="s">
        <v>503</v>
      </c>
      <c r="Z100" s="108" t="s">
        <v>503</v>
      </c>
      <c r="AA100" s="108" t="s">
        <v>503</v>
      </c>
      <c r="AB100" s="108" t="s">
        <v>503</v>
      </c>
      <c r="AC100" s="108" t="s">
        <v>503</v>
      </c>
      <c r="AD100" s="108" t="s">
        <v>503</v>
      </c>
      <c r="AE100" s="108" t="s">
        <v>503</v>
      </c>
      <c r="AF100" s="108" t="s">
        <v>503</v>
      </c>
      <c r="AG100" s="108" t="s">
        <v>503</v>
      </c>
      <c r="AH100" s="108" t="s">
        <v>503</v>
      </c>
      <c r="AI100" s="108" t="s">
        <v>503</v>
      </c>
      <c r="AJ100" s="108" t="s">
        <v>503</v>
      </c>
      <c r="AK100" s="108" t="s">
        <v>503</v>
      </c>
      <c r="AL100" s="108" t="s">
        <v>503</v>
      </c>
      <c r="AM100" s="108" t="s">
        <v>503</v>
      </c>
      <c r="AN100" s="108" t="s">
        <v>503</v>
      </c>
      <c r="AO100" s="108" t="s">
        <v>503</v>
      </c>
      <c r="AP100" s="108" t="s">
        <v>503</v>
      </c>
      <c r="AQ100" s="108" t="s">
        <v>503</v>
      </c>
      <c r="AR100" s="108" t="s">
        <v>503</v>
      </c>
      <c r="AS100" s="108" t="s">
        <v>503</v>
      </c>
      <c r="AT100" s="108" t="s">
        <v>503</v>
      </c>
      <c r="AU100" s="108" t="s">
        <v>503</v>
      </c>
      <c r="AV100" s="108" t="s">
        <v>503</v>
      </c>
      <c r="AW100" s="108" t="s">
        <v>503</v>
      </c>
      <c r="AX100" s="108" t="s">
        <v>503</v>
      </c>
      <c r="AY100" s="108" t="s">
        <v>503</v>
      </c>
      <c r="AZ100" s="108" t="s">
        <v>503</v>
      </c>
      <c r="BA100" s="108" t="s">
        <v>503</v>
      </c>
      <c r="BB100" s="108" t="s">
        <v>503</v>
      </c>
      <c r="BC100" s="108" t="s">
        <v>503</v>
      </c>
      <c r="BD100" s="108" t="s">
        <v>503</v>
      </c>
      <c r="BE100" s="108" t="s">
        <v>503</v>
      </c>
      <c r="BF100" s="108" t="s">
        <v>503</v>
      </c>
      <c r="BG100" s="108" t="s">
        <v>503</v>
      </c>
      <c r="BH100" s="118" t="s">
        <v>502</v>
      </c>
      <c r="BI100" s="118" t="s">
        <v>502</v>
      </c>
      <c r="BJ100" s="118" t="s">
        <v>502</v>
      </c>
      <c r="BK100" s="108" t="s">
        <v>503</v>
      </c>
      <c r="BL100" s="108" t="s">
        <v>503</v>
      </c>
      <c r="BM100" s="108" t="s">
        <v>503</v>
      </c>
      <c r="BN100" s="108" t="s">
        <v>503</v>
      </c>
      <c r="BO100" s="108" t="s">
        <v>503</v>
      </c>
      <c r="BP100" s="108" t="s">
        <v>503</v>
      </c>
      <c r="BQ100" s="108" t="s">
        <v>503</v>
      </c>
      <c r="BR100" s="108" t="s">
        <v>503</v>
      </c>
      <c r="BS100" s="108" t="s">
        <v>503</v>
      </c>
      <c r="BT100" s="108" t="s">
        <v>503</v>
      </c>
      <c r="BU100" s="108" t="s">
        <v>503</v>
      </c>
      <c r="BV100" s="108" t="s">
        <v>503</v>
      </c>
      <c r="BW100" s="108" t="s">
        <v>503</v>
      </c>
      <c r="BX100" s="108" t="s">
        <v>503</v>
      </c>
      <c r="BY100" s="108" t="s">
        <v>503</v>
      </c>
      <c r="BZ100" s="108" t="s">
        <v>503</v>
      </c>
      <c r="CA100" s="108" t="s">
        <v>503</v>
      </c>
      <c r="CB100" s="108" t="s">
        <v>503</v>
      </c>
      <c r="CC100" s="56">
        <v>39375</v>
      </c>
      <c r="CD100" s="119">
        <f>+CC100*19%</f>
        <v>7481.25</v>
      </c>
      <c r="CE100" s="118">
        <f>+CC100+CD100</f>
        <v>46856.25</v>
      </c>
      <c r="CF100" s="108" t="s">
        <v>503</v>
      </c>
      <c r="CG100" s="108" t="s">
        <v>503</v>
      </c>
      <c r="CH100" s="108" t="s">
        <v>503</v>
      </c>
      <c r="CI100" s="108" t="s">
        <v>503</v>
      </c>
      <c r="CJ100" s="108" t="s">
        <v>503</v>
      </c>
      <c r="CK100" s="108" t="s">
        <v>503</v>
      </c>
      <c r="CL100" s="108" t="s">
        <v>503</v>
      </c>
      <c r="CM100" s="108" t="s">
        <v>503</v>
      </c>
      <c r="CN100" s="108" t="s">
        <v>503</v>
      </c>
      <c r="CO100" s="108" t="s">
        <v>503</v>
      </c>
      <c r="CP100" s="108" t="s">
        <v>503</v>
      </c>
      <c r="CQ100" s="108" t="s">
        <v>503</v>
      </c>
      <c r="CR100" s="118">
        <v>39530</v>
      </c>
      <c r="CS100" s="119">
        <f>+CR100*19%</f>
        <v>7510.7</v>
      </c>
      <c r="CT100" s="118">
        <f>+CR100+CS100</f>
        <v>47040.7</v>
      </c>
      <c r="CU100" s="108" t="s">
        <v>503</v>
      </c>
      <c r="CV100" s="108" t="s">
        <v>503</v>
      </c>
      <c r="CW100" s="108" t="s">
        <v>503</v>
      </c>
      <c r="CX100" s="108" t="s">
        <v>503</v>
      </c>
      <c r="CY100" s="108" t="s">
        <v>503</v>
      </c>
      <c r="CZ100" s="108" t="s">
        <v>503</v>
      </c>
      <c r="DA100" s="108" t="s">
        <v>503</v>
      </c>
      <c r="DB100" s="108" t="s">
        <v>503</v>
      </c>
      <c r="DC100" s="108" t="s">
        <v>503</v>
      </c>
      <c r="DD100" s="108" t="s">
        <v>503</v>
      </c>
      <c r="DE100" s="108" t="s">
        <v>503</v>
      </c>
      <c r="DF100" s="108" t="s">
        <v>503</v>
      </c>
      <c r="DG100" s="108" t="s">
        <v>503</v>
      </c>
      <c r="DH100" s="108" t="s">
        <v>503</v>
      </c>
      <c r="DI100" s="108" t="s">
        <v>503</v>
      </c>
      <c r="DJ100" s="108" t="s">
        <v>503</v>
      </c>
      <c r="DK100" s="108" t="s">
        <v>503</v>
      </c>
      <c r="DL100" s="108" t="s">
        <v>503</v>
      </c>
      <c r="DM100" s="108" t="s">
        <v>503</v>
      </c>
      <c r="DN100" s="108" t="s">
        <v>503</v>
      </c>
      <c r="DO100" s="108" t="s">
        <v>503</v>
      </c>
      <c r="DP100" s="108" t="s">
        <v>503</v>
      </c>
      <c r="DQ100" s="108" t="s">
        <v>503</v>
      </c>
      <c r="DR100" s="108" t="s">
        <v>503</v>
      </c>
      <c r="DS100" s="108" t="s">
        <v>503</v>
      </c>
      <c r="DT100" s="108" t="s">
        <v>503</v>
      </c>
      <c r="DU100" s="108" t="s">
        <v>503</v>
      </c>
      <c r="DV100" s="108" t="s">
        <v>503</v>
      </c>
      <c r="DW100" s="108" t="s">
        <v>503</v>
      </c>
      <c r="DX100" s="108" t="s">
        <v>503</v>
      </c>
      <c r="DY100" s="108" t="s">
        <v>503</v>
      </c>
      <c r="DZ100" s="108" t="s">
        <v>503</v>
      </c>
      <c r="EA100" s="108" t="s">
        <v>503</v>
      </c>
      <c r="EB100" s="71">
        <f>26331+4000+8000</f>
        <v>38331</v>
      </c>
      <c r="EC100" s="71">
        <f>+EB100*19%</f>
        <v>7282.89</v>
      </c>
      <c r="ED100" s="71">
        <f>+EB100+EC100</f>
        <v>45613.89</v>
      </c>
      <c r="EE100" s="108" t="s">
        <v>503</v>
      </c>
      <c r="EF100" s="108" t="s">
        <v>503</v>
      </c>
      <c r="EG100" s="108" t="s">
        <v>503</v>
      </c>
      <c r="EH100" s="108" t="s">
        <v>503</v>
      </c>
      <c r="EI100" s="108" t="s">
        <v>503</v>
      </c>
      <c r="EJ100" s="108" t="s">
        <v>503</v>
      </c>
      <c r="EK100" s="108" t="s">
        <v>503</v>
      </c>
      <c r="EL100" s="108" t="s">
        <v>503</v>
      </c>
      <c r="EM100" s="108" t="s">
        <v>503</v>
      </c>
      <c r="EN100" s="108" t="s">
        <v>503</v>
      </c>
      <c r="EO100" s="108" t="s">
        <v>503</v>
      </c>
      <c r="EP100" s="108" t="s">
        <v>503</v>
      </c>
      <c r="EQ100" s="108" t="s">
        <v>503</v>
      </c>
      <c r="ER100" s="108" t="s">
        <v>503</v>
      </c>
      <c r="ES100" s="108" t="s">
        <v>503</v>
      </c>
      <c r="ET100" s="108" t="s">
        <v>503</v>
      </c>
      <c r="EU100" s="108" t="s">
        <v>503</v>
      </c>
      <c r="EV100" s="108" t="s">
        <v>503</v>
      </c>
      <c r="EW100" s="108" t="s">
        <v>503</v>
      </c>
      <c r="EX100" s="108" t="s">
        <v>503</v>
      </c>
      <c r="EY100" s="108" t="s">
        <v>503</v>
      </c>
      <c r="EZ100" s="118" t="s">
        <v>503</v>
      </c>
      <c r="FA100" s="118" t="s">
        <v>503</v>
      </c>
      <c r="FB100" s="118" t="s">
        <v>503</v>
      </c>
      <c r="FC100" s="108" t="s">
        <v>503</v>
      </c>
      <c r="FD100" s="108" t="s">
        <v>503</v>
      </c>
      <c r="FE100" s="108" t="s">
        <v>503</v>
      </c>
      <c r="FF100" s="108" t="s">
        <v>503</v>
      </c>
      <c r="FG100" s="108" t="s">
        <v>503</v>
      </c>
      <c r="FH100" s="108" t="s">
        <v>503</v>
      </c>
      <c r="FI100" s="108" t="s">
        <v>503</v>
      </c>
      <c r="FJ100" s="108" t="s">
        <v>503</v>
      </c>
      <c r="FK100" s="108" t="s">
        <v>503</v>
      </c>
      <c r="FL100" s="108" t="s">
        <v>503</v>
      </c>
      <c r="FM100" s="108" t="s">
        <v>503</v>
      </c>
      <c r="FN100" s="108" t="s">
        <v>503</v>
      </c>
      <c r="FO100" s="108" t="s">
        <v>503</v>
      </c>
      <c r="FP100" s="108" t="s">
        <v>503</v>
      </c>
      <c r="FQ100" s="108" t="s">
        <v>503</v>
      </c>
      <c r="FR100" s="108" t="s">
        <v>503</v>
      </c>
      <c r="FS100" s="108" t="s">
        <v>503</v>
      </c>
      <c r="FT100" s="108" t="s">
        <v>503</v>
      </c>
      <c r="FU100" s="108" t="s">
        <v>503</v>
      </c>
      <c r="FV100" s="108" t="s">
        <v>503</v>
      </c>
      <c r="FW100" s="108" t="s">
        <v>503</v>
      </c>
      <c r="FX100" s="108" t="s">
        <v>503</v>
      </c>
      <c r="FY100" s="108" t="s">
        <v>503</v>
      </c>
      <c r="FZ100" s="108" t="s">
        <v>503</v>
      </c>
      <c r="GA100" s="108" t="s">
        <v>503</v>
      </c>
      <c r="GB100" s="108" t="s">
        <v>503</v>
      </c>
      <c r="GC100" s="108" t="s">
        <v>503</v>
      </c>
      <c r="GD100" s="108" t="s">
        <v>503</v>
      </c>
      <c r="GE100" s="108" t="s">
        <v>503</v>
      </c>
      <c r="GF100" s="108" t="s">
        <v>503</v>
      </c>
      <c r="GG100" s="108" t="s">
        <v>503</v>
      </c>
      <c r="GH100" s="108" t="s">
        <v>503</v>
      </c>
      <c r="GI100" s="108" t="s">
        <v>503</v>
      </c>
      <c r="GJ100" s="108" t="s">
        <v>503</v>
      </c>
      <c r="GK100" s="108" t="s">
        <v>503</v>
      </c>
      <c r="GL100" s="108" t="s">
        <v>503</v>
      </c>
      <c r="GM100" s="108" t="s">
        <v>503</v>
      </c>
      <c r="GN100" s="108" t="s">
        <v>503</v>
      </c>
      <c r="GO100" s="108" t="s">
        <v>503</v>
      </c>
      <c r="GP100" s="108" t="s">
        <v>664</v>
      </c>
      <c r="GQ100" s="108" t="s">
        <v>664</v>
      </c>
      <c r="GR100" s="108" t="s">
        <v>664</v>
      </c>
      <c r="GS100" s="108" t="s">
        <v>664</v>
      </c>
      <c r="GT100" s="108" t="s">
        <v>664</v>
      </c>
      <c r="GU100" s="108" t="s">
        <v>664</v>
      </c>
      <c r="GV100" s="108" t="s">
        <v>664</v>
      </c>
      <c r="GW100" s="108" t="s">
        <v>664</v>
      </c>
      <c r="GX100" s="108" t="s">
        <v>664</v>
      </c>
      <c r="GY100" s="108" t="s">
        <v>664</v>
      </c>
      <c r="GZ100" s="108" t="s">
        <v>664</v>
      </c>
      <c r="HA100" s="108" t="s">
        <v>664</v>
      </c>
      <c r="HB100" s="108" t="s">
        <v>664</v>
      </c>
      <c r="HC100" s="108" t="s">
        <v>664</v>
      </c>
      <c r="HD100" s="108" t="s">
        <v>664</v>
      </c>
      <c r="HE100" s="108" t="s">
        <v>664</v>
      </c>
      <c r="HF100" s="108" t="s">
        <v>664</v>
      </c>
      <c r="HG100" s="108" t="s">
        <v>664</v>
      </c>
      <c r="HH100" s="108" t="s">
        <v>664</v>
      </c>
      <c r="HI100" s="108" t="s">
        <v>664</v>
      </c>
      <c r="HJ100" s="108" t="s">
        <v>664</v>
      </c>
      <c r="HK100" s="108" t="s">
        <v>664</v>
      </c>
      <c r="HL100" s="108" t="s">
        <v>664</v>
      </c>
      <c r="HM100" s="108" t="s">
        <v>664</v>
      </c>
      <c r="HN100" s="108" t="s">
        <v>664</v>
      </c>
      <c r="HO100" s="108" t="s">
        <v>664</v>
      </c>
      <c r="HP100" s="108" t="s">
        <v>664</v>
      </c>
      <c r="HQ100" s="108" t="s">
        <v>664</v>
      </c>
      <c r="HR100" s="108" t="s">
        <v>664</v>
      </c>
      <c r="HS100" s="108" t="s">
        <v>664</v>
      </c>
      <c r="HT100" s="108" t="s">
        <v>664</v>
      </c>
      <c r="HU100" s="108" t="s">
        <v>664</v>
      </c>
      <c r="HV100" s="108" t="s">
        <v>664</v>
      </c>
      <c r="HW100" s="108" t="s">
        <v>664</v>
      </c>
      <c r="HX100" s="108" t="s">
        <v>664</v>
      </c>
      <c r="HY100" s="108" t="s">
        <v>664</v>
      </c>
      <c r="HZ100" s="108" t="s">
        <v>664</v>
      </c>
      <c r="IA100" s="108" t="s">
        <v>664</v>
      </c>
      <c r="IB100" s="108" t="s">
        <v>664</v>
      </c>
      <c r="IC100" s="108" t="s">
        <v>664</v>
      </c>
      <c r="ID100" s="108" t="s">
        <v>664</v>
      </c>
      <c r="IE100" s="108" t="s">
        <v>664</v>
      </c>
      <c r="IF100" s="108" t="s">
        <v>664</v>
      </c>
      <c r="IG100" s="108" t="s">
        <v>664</v>
      </c>
      <c r="IH100" s="108" t="s">
        <v>664</v>
      </c>
      <c r="II100" s="108" t="s">
        <v>664</v>
      </c>
      <c r="IJ100" s="108" t="s">
        <v>664</v>
      </c>
      <c r="IK100" s="108" t="s">
        <v>664</v>
      </c>
      <c r="IL100" s="108" t="s">
        <v>664</v>
      </c>
      <c r="IM100" s="108" t="s">
        <v>664</v>
      </c>
      <c r="IN100" s="108" t="s">
        <v>664</v>
      </c>
      <c r="IO100" s="108" t="s">
        <v>502</v>
      </c>
      <c r="IP100" s="108" t="s">
        <v>502</v>
      </c>
      <c r="IQ100" s="108" t="s">
        <v>502</v>
      </c>
      <c r="IR100" s="120" t="s">
        <v>664</v>
      </c>
      <c r="IS100" s="120" t="s">
        <v>664</v>
      </c>
      <c r="IT100" s="120" t="s">
        <v>664</v>
      </c>
      <c r="IU100" s="120" t="s">
        <v>503</v>
      </c>
      <c r="IV100" s="120" t="s">
        <v>503</v>
      </c>
      <c r="IW100" s="120" t="s">
        <v>503</v>
      </c>
      <c r="IX100" s="120" t="s">
        <v>503</v>
      </c>
      <c r="IY100" s="120" t="s">
        <v>503</v>
      </c>
      <c r="IZ100" s="120" t="s">
        <v>503</v>
      </c>
      <c r="JA100" s="120" t="s">
        <v>503</v>
      </c>
      <c r="JB100" s="120" t="s">
        <v>503</v>
      </c>
      <c r="JC100" s="120" t="s">
        <v>503</v>
      </c>
      <c r="JD100" s="120" t="s">
        <v>664</v>
      </c>
      <c r="JE100" s="120" t="s">
        <v>664</v>
      </c>
      <c r="JF100" s="120" t="s">
        <v>664</v>
      </c>
      <c r="JG100" s="120" t="s">
        <v>664</v>
      </c>
      <c r="JH100" s="120" t="s">
        <v>664</v>
      </c>
      <c r="JI100" s="120" t="s">
        <v>664</v>
      </c>
      <c r="JJ100" s="120" t="s">
        <v>664</v>
      </c>
      <c r="JK100" s="120" t="s">
        <v>664</v>
      </c>
      <c r="JL100" s="120" t="s">
        <v>664</v>
      </c>
      <c r="JM100" s="120" t="s">
        <v>664</v>
      </c>
      <c r="JN100" s="120" t="s">
        <v>664</v>
      </c>
      <c r="JO100" s="120" t="s">
        <v>664</v>
      </c>
      <c r="JP100" s="110">
        <v>36200</v>
      </c>
      <c r="JQ100" s="111">
        <v>43250.798527999999</v>
      </c>
      <c r="JR100" s="112">
        <f t="shared" si="30"/>
        <v>3</v>
      </c>
      <c r="JS100" s="113">
        <f t="shared" si="31"/>
        <v>46503.613333333335</v>
      </c>
      <c r="JT100" s="114">
        <f t="shared" si="32"/>
        <v>46550</v>
      </c>
      <c r="JU100" s="167"/>
    </row>
    <row r="101" spans="1:281" ht="81" customHeight="1" x14ac:dyDescent="0.2">
      <c r="A101" s="98">
        <v>209</v>
      </c>
      <c r="B101" s="99">
        <v>209</v>
      </c>
      <c r="C101" s="39" t="s">
        <v>688</v>
      </c>
      <c r="D101" s="100" t="s">
        <v>227</v>
      </c>
      <c r="E101" s="39">
        <v>46181500</v>
      </c>
      <c r="F101" s="101" t="s">
        <v>689</v>
      </c>
      <c r="G101" s="102" t="s">
        <v>88</v>
      </c>
      <c r="H101" s="103" t="s">
        <v>501</v>
      </c>
      <c r="I101" s="108" t="s">
        <v>503</v>
      </c>
      <c r="J101" s="108" t="s">
        <v>503</v>
      </c>
      <c r="K101" s="108" t="s">
        <v>503</v>
      </c>
      <c r="L101" s="108" t="s">
        <v>503</v>
      </c>
      <c r="M101" s="108" t="s">
        <v>503</v>
      </c>
      <c r="N101" s="108" t="s">
        <v>503</v>
      </c>
      <c r="O101" s="108" t="s">
        <v>503</v>
      </c>
      <c r="P101" s="108" t="s">
        <v>503</v>
      </c>
      <c r="Q101" s="108" t="s">
        <v>503</v>
      </c>
      <c r="R101" s="108" t="s">
        <v>503</v>
      </c>
      <c r="S101" s="108" t="s">
        <v>503</v>
      </c>
      <c r="T101" s="108" t="s">
        <v>503</v>
      </c>
      <c r="U101" s="108" t="s">
        <v>503</v>
      </c>
      <c r="V101" s="108" t="s">
        <v>503</v>
      </c>
      <c r="W101" s="108" t="s">
        <v>503</v>
      </c>
      <c r="X101" s="108" t="s">
        <v>503</v>
      </c>
      <c r="Y101" s="108" t="s">
        <v>503</v>
      </c>
      <c r="Z101" s="108" t="s">
        <v>503</v>
      </c>
      <c r="AA101" s="108" t="s">
        <v>503</v>
      </c>
      <c r="AB101" s="108" t="s">
        <v>503</v>
      </c>
      <c r="AC101" s="108" t="s">
        <v>503</v>
      </c>
      <c r="AD101" s="108" t="s">
        <v>503</v>
      </c>
      <c r="AE101" s="108" t="s">
        <v>503</v>
      </c>
      <c r="AF101" s="108" t="s">
        <v>503</v>
      </c>
      <c r="AG101" s="108" t="s">
        <v>503</v>
      </c>
      <c r="AH101" s="108" t="s">
        <v>503</v>
      </c>
      <c r="AI101" s="108" t="s">
        <v>503</v>
      </c>
      <c r="AJ101" s="108" t="s">
        <v>503</v>
      </c>
      <c r="AK101" s="108" t="s">
        <v>503</v>
      </c>
      <c r="AL101" s="108" t="s">
        <v>503</v>
      </c>
      <c r="AM101" s="108" t="s">
        <v>503</v>
      </c>
      <c r="AN101" s="108" t="s">
        <v>503</v>
      </c>
      <c r="AO101" s="108" t="s">
        <v>503</v>
      </c>
      <c r="AP101" s="108" t="s">
        <v>503</v>
      </c>
      <c r="AQ101" s="108" t="s">
        <v>503</v>
      </c>
      <c r="AR101" s="108" t="s">
        <v>503</v>
      </c>
      <c r="AS101" s="108" t="s">
        <v>503</v>
      </c>
      <c r="AT101" s="108" t="s">
        <v>503</v>
      </c>
      <c r="AU101" s="108" t="s">
        <v>503</v>
      </c>
      <c r="AV101" s="108" t="s">
        <v>503</v>
      </c>
      <c r="AW101" s="108" t="s">
        <v>503</v>
      </c>
      <c r="AX101" s="108" t="s">
        <v>503</v>
      </c>
      <c r="AY101" s="108" t="s">
        <v>503</v>
      </c>
      <c r="AZ101" s="108" t="s">
        <v>503</v>
      </c>
      <c r="BA101" s="108" t="s">
        <v>503</v>
      </c>
      <c r="BB101" s="108" t="s">
        <v>503</v>
      </c>
      <c r="BC101" s="108" t="s">
        <v>503</v>
      </c>
      <c r="BD101" s="108" t="s">
        <v>503</v>
      </c>
      <c r="BE101" s="108" t="s">
        <v>503</v>
      </c>
      <c r="BF101" s="108" t="s">
        <v>503</v>
      </c>
      <c r="BG101" s="108" t="s">
        <v>503</v>
      </c>
      <c r="BH101" s="71">
        <v>8823.5294117647063</v>
      </c>
      <c r="BI101" s="119">
        <f>+BH101*19%</f>
        <v>1676.4705882352941</v>
      </c>
      <c r="BJ101" s="118">
        <f>+BH101+BI101</f>
        <v>10500</v>
      </c>
      <c r="BK101" s="108" t="s">
        <v>503</v>
      </c>
      <c r="BL101" s="108" t="s">
        <v>503</v>
      </c>
      <c r="BM101" s="108" t="s">
        <v>503</v>
      </c>
      <c r="BN101" s="108" t="s">
        <v>503</v>
      </c>
      <c r="BO101" s="108" t="s">
        <v>503</v>
      </c>
      <c r="BP101" s="108" t="s">
        <v>503</v>
      </c>
      <c r="BQ101" s="108" t="s">
        <v>503</v>
      </c>
      <c r="BR101" s="108" t="s">
        <v>503</v>
      </c>
      <c r="BS101" s="108" t="s">
        <v>503</v>
      </c>
      <c r="BT101" s="108" t="s">
        <v>503</v>
      </c>
      <c r="BU101" s="108" t="s">
        <v>503</v>
      </c>
      <c r="BV101" s="108" t="s">
        <v>503</v>
      </c>
      <c r="BW101" s="108" t="s">
        <v>503</v>
      </c>
      <c r="BX101" s="108" t="s">
        <v>503</v>
      </c>
      <c r="BY101" s="108" t="s">
        <v>503</v>
      </c>
      <c r="BZ101" s="108" t="s">
        <v>503</v>
      </c>
      <c r="CA101" s="108" t="s">
        <v>503</v>
      </c>
      <c r="CB101" s="108" t="s">
        <v>503</v>
      </c>
      <c r="CC101" s="160" t="s">
        <v>502</v>
      </c>
      <c r="CD101" s="160" t="s">
        <v>502</v>
      </c>
      <c r="CE101" s="160" t="s">
        <v>502</v>
      </c>
      <c r="CF101" s="108" t="s">
        <v>503</v>
      </c>
      <c r="CG101" s="108" t="s">
        <v>503</v>
      </c>
      <c r="CH101" s="108" t="s">
        <v>503</v>
      </c>
      <c r="CI101" s="108" t="s">
        <v>503</v>
      </c>
      <c r="CJ101" s="108" t="s">
        <v>503</v>
      </c>
      <c r="CK101" s="108" t="s">
        <v>503</v>
      </c>
      <c r="CL101" s="108" t="s">
        <v>503</v>
      </c>
      <c r="CM101" s="108" t="s">
        <v>503</v>
      </c>
      <c r="CN101" s="108" t="s">
        <v>503</v>
      </c>
      <c r="CO101" s="108" t="s">
        <v>503</v>
      </c>
      <c r="CP101" s="108" t="s">
        <v>503</v>
      </c>
      <c r="CQ101" s="108" t="s">
        <v>503</v>
      </c>
      <c r="CR101" s="108" t="s">
        <v>503</v>
      </c>
      <c r="CS101" s="108" t="s">
        <v>503</v>
      </c>
      <c r="CT101" s="108" t="s">
        <v>503</v>
      </c>
      <c r="CU101" s="108" t="s">
        <v>503</v>
      </c>
      <c r="CV101" s="108" t="s">
        <v>503</v>
      </c>
      <c r="CW101" s="108" t="s">
        <v>503</v>
      </c>
      <c r="CX101" s="108" t="s">
        <v>503</v>
      </c>
      <c r="CY101" s="108" t="s">
        <v>503</v>
      </c>
      <c r="CZ101" s="108" t="s">
        <v>503</v>
      </c>
      <c r="DA101" s="108" t="s">
        <v>503</v>
      </c>
      <c r="DB101" s="108" t="s">
        <v>503</v>
      </c>
      <c r="DC101" s="108" t="s">
        <v>503</v>
      </c>
      <c r="DD101" s="108" t="s">
        <v>503</v>
      </c>
      <c r="DE101" s="108" t="s">
        <v>503</v>
      </c>
      <c r="DF101" s="108" t="s">
        <v>503</v>
      </c>
      <c r="DG101" s="108" t="s">
        <v>503</v>
      </c>
      <c r="DH101" s="108" t="s">
        <v>503</v>
      </c>
      <c r="DI101" s="108" t="s">
        <v>503</v>
      </c>
      <c r="DJ101" s="108" t="s">
        <v>503</v>
      </c>
      <c r="DK101" s="108" t="s">
        <v>503</v>
      </c>
      <c r="DL101" s="108" t="s">
        <v>503</v>
      </c>
      <c r="DM101" s="108" t="s">
        <v>503</v>
      </c>
      <c r="DN101" s="108" t="s">
        <v>503</v>
      </c>
      <c r="DO101" s="108" t="s">
        <v>503</v>
      </c>
      <c r="DP101" s="108" t="s">
        <v>503</v>
      </c>
      <c r="DQ101" s="108" t="s">
        <v>503</v>
      </c>
      <c r="DR101" s="108" t="s">
        <v>503</v>
      </c>
      <c r="DS101" s="108" t="s">
        <v>503</v>
      </c>
      <c r="DT101" s="108" t="s">
        <v>503</v>
      </c>
      <c r="DU101" s="108" t="s">
        <v>503</v>
      </c>
      <c r="DV101" s="108" t="s">
        <v>503</v>
      </c>
      <c r="DW101" s="108" t="s">
        <v>503</v>
      </c>
      <c r="DX101" s="108" t="s">
        <v>503</v>
      </c>
      <c r="DY101" s="108" t="s">
        <v>503</v>
      </c>
      <c r="DZ101" s="108" t="s">
        <v>503</v>
      </c>
      <c r="EA101" s="108" t="s">
        <v>503</v>
      </c>
      <c r="EB101" s="71">
        <v>8800</v>
      </c>
      <c r="EC101" s="71">
        <f>+EB101*19%</f>
        <v>1672</v>
      </c>
      <c r="ED101" s="71">
        <f>+EB101+EC101</f>
        <v>10472</v>
      </c>
      <c r="EE101" s="108" t="s">
        <v>503</v>
      </c>
      <c r="EF101" s="108" t="s">
        <v>503</v>
      </c>
      <c r="EG101" s="108" t="s">
        <v>503</v>
      </c>
      <c r="EH101" s="108" t="s">
        <v>503</v>
      </c>
      <c r="EI101" s="108" t="s">
        <v>503</v>
      </c>
      <c r="EJ101" s="108" t="s">
        <v>503</v>
      </c>
      <c r="EK101" s="71">
        <v>6723</v>
      </c>
      <c r="EL101" s="71">
        <f t="shared" ref="EL101:EL103" si="41">+EK101*19%</f>
        <v>1277.3700000000001</v>
      </c>
      <c r="EM101" s="71">
        <f t="shared" ref="EM101:EM103" si="42">+EK101+EL101</f>
        <v>8000.37</v>
      </c>
      <c r="EN101" s="185">
        <v>6900</v>
      </c>
      <c r="EO101" s="118">
        <f>+EN101*19%</f>
        <v>1311</v>
      </c>
      <c r="EP101" s="118">
        <f>+EN101+EO101</f>
        <v>8211</v>
      </c>
      <c r="EQ101" s="108" t="s">
        <v>503</v>
      </c>
      <c r="ER101" s="108" t="s">
        <v>503</v>
      </c>
      <c r="ES101" s="108" t="s">
        <v>503</v>
      </c>
      <c r="ET101" s="108" t="s">
        <v>503</v>
      </c>
      <c r="EU101" s="108" t="s">
        <v>503</v>
      </c>
      <c r="EV101" s="108" t="s">
        <v>503</v>
      </c>
      <c r="EW101" s="108" t="s">
        <v>503</v>
      </c>
      <c r="EX101" s="108" t="s">
        <v>503</v>
      </c>
      <c r="EY101" s="108" t="s">
        <v>503</v>
      </c>
      <c r="EZ101" s="118" t="s">
        <v>503</v>
      </c>
      <c r="FA101" s="118" t="s">
        <v>503</v>
      </c>
      <c r="FB101" s="118" t="s">
        <v>503</v>
      </c>
      <c r="FC101" s="108" t="s">
        <v>503</v>
      </c>
      <c r="FD101" s="108" t="s">
        <v>503</v>
      </c>
      <c r="FE101" s="108" t="s">
        <v>503</v>
      </c>
      <c r="FF101" s="108" t="s">
        <v>503</v>
      </c>
      <c r="FG101" s="108" t="s">
        <v>503</v>
      </c>
      <c r="FH101" s="108" t="s">
        <v>503</v>
      </c>
      <c r="FI101" s="108" t="s">
        <v>503</v>
      </c>
      <c r="FJ101" s="108" t="s">
        <v>503</v>
      </c>
      <c r="FK101" s="108" t="s">
        <v>503</v>
      </c>
      <c r="FL101" s="108" t="s">
        <v>503</v>
      </c>
      <c r="FM101" s="108" t="s">
        <v>503</v>
      </c>
      <c r="FN101" s="108" t="s">
        <v>503</v>
      </c>
      <c r="FO101" s="108" t="s">
        <v>503</v>
      </c>
      <c r="FP101" s="108" t="s">
        <v>503</v>
      </c>
      <c r="FQ101" s="108" t="s">
        <v>503</v>
      </c>
      <c r="FR101" s="108" t="s">
        <v>503</v>
      </c>
      <c r="FS101" s="108" t="s">
        <v>503</v>
      </c>
      <c r="FT101" s="108" t="s">
        <v>503</v>
      </c>
      <c r="FU101" s="108" t="s">
        <v>503</v>
      </c>
      <c r="FV101" s="108" t="s">
        <v>503</v>
      </c>
      <c r="FW101" s="108" t="s">
        <v>503</v>
      </c>
      <c r="FX101" s="108" t="s">
        <v>503</v>
      </c>
      <c r="FY101" s="108" t="s">
        <v>503</v>
      </c>
      <c r="FZ101" s="108" t="s">
        <v>503</v>
      </c>
      <c r="GA101" s="108" t="s">
        <v>503</v>
      </c>
      <c r="GB101" s="108" t="s">
        <v>503</v>
      </c>
      <c r="GC101" s="108" t="s">
        <v>503</v>
      </c>
      <c r="GD101" s="108" t="s">
        <v>503</v>
      </c>
      <c r="GE101" s="108" t="s">
        <v>503</v>
      </c>
      <c r="GF101" s="108" t="s">
        <v>503</v>
      </c>
      <c r="GG101" s="108" t="s">
        <v>503</v>
      </c>
      <c r="GH101" s="108" t="s">
        <v>503</v>
      </c>
      <c r="GI101" s="108" t="s">
        <v>503</v>
      </c>
      <c r="GJ101" s="108" t="s">
        <v>503</v>
      </c>
      <c r="GK101" s="108" t="s">
        <v>503</v>
      </c>
      <c r="GL101" s="108" t="s">
        <v>503</v>
      </c>
      <c r="GM101" s="108" t="s">
        <v>503</v>
      </c>
      <c r="GN101" s="108" t="s">
        <v>503</v>
      </c>
      <c r="GO101" s="108" t="s">
        <v>503</v>
      </c>
      <c r="GP101" s="108" t="s">
        <v>664</v>
      </c>
      <c r="GQ101" s="108" t="s">
        <v>664</v>
      </c>
      <c r="GR101" s="108" t="s">
        <v>664</v>
      </c>
      <c r="GS101" s="108" t="s">
        <v>664</v>
      </c>
      <c r="GT101" s="108" t="s">
        <v>664</v>
      </c>
      <c r="GU101" s="108" t="s">
        <v>664</v>
      </c>
      <c r="GV101" s="108" t="s">
        <v>664</v>
      </c>
      <c r="GW101" s="108" t="s">
        <v>664</v>
      </c>
      <c r="GX101" s="108" t="s">
        <v>664</v>
      </c>
      <c r="GY101" s="71">
        <f>9173/1.19</f>
        <v>7708.4033613445381</v>
      </c>
      <c r="GZ101" s="71">
        <f>GY101*0.19</f>
        <v>1464.5966386554624</v>
      </c>
      <c r="HA101" s="71">
        <f>GZ101+GY101</f>
        <v>9173</v>
      </c>
      <c r="HB101" s="108" t="s">
        <v>664</v>
      </c>
      <c r="HC101" s="108" t="s">
        <v>664</v>
      </c>
      <c r="HD101" s="108" t="s">
        <v>664</v>
      </c>
      <c r="HE101" s="108" t="s">
        <v>664</v>
      </c>
      <c r="HF101" s="108" t="s">
        <v>664</v>
      </c>
      <c r="HG101" s="108" t="s">
        <v>664</v>
      </c>
      <c r="HH101" s="108" t="s">
        <v>664</v>
      </c>
      <c r="HI101" s="108" t="s">
        <v>664</v>
      </c>
      <c r="HJ101" s="108" t="s">
        <v>664</v>
      </c>
      <c r="HK101" s="108" t="s">
        <v>664</v>
      </c>
      <c r="HL101" s="108" t="s">
        <v>664</v>
      </c>
      <c r="HM101" s="108" t="s">
        <v>664</v>
      </c>
      <c r="HN101" s="108" t="s">
        <v>664</v>
      </c>
      <c r="HO101" s="108" t="s">
        <v>664</v>
      </c>
      <c r="HP101" s="108" t="s">
        <v>664</v>
      </c>
      <c r="HQ101" s="108" t="s">
        <v>664</v>
      </c>
      <c r="HR101" s="108" t="s">
        <v>664</v>
      </c>
      <c r="HS101" s="108" t="s">
        <v>664</v>
      </c>
      <c r="HT101" s="108" t="s">
        <v>664</v>
      </c>
      <c r="HU101" s="108" t="s">
        <v>664</v>
      </c>
      <c r="HV101" s="108" t="s">
        <v>664</v>
      </c>
      <c r="HW101" s="108" t="s">
        <v>664</v>
      </c>
      <c r="HX101" s="108" t="s">
        <v>664</v>
      </c>
      <c r="HY101" s="108" t="s">
        <v>664</v>
      </c>
      <c r="HZ101" s="108" t="s">
        <v>664</v>
      </c>
      <c r="IA101" s="108" t="s">
        <v>664</v>
      </c>
      <c r="IB101" s="108" t="s">
        <v>664</v>
      </c>
      <c r="IC101" s="108" t="s">
        <v>664</v>
      </c>
      <c r="ID101" s="108" t="s">
        <v>664</v>
      </c>
      <c r="IE101" s="108" t="s">
        <v>664</v>
      </c>
      <c r="IF101" s="108" t="s">
        <v>664</v>
      </c>
      <c r="IG101" s="108" t="s">
        <v>664</v>
      </c>
      <c r="IH101" s="108" t="s">
        <v>664</v>
      </c>
      <c r="II101" s="108" t="s">
        <v>664</v>
      </c>
      <c r="IJ101" s="108" t="s">
        <v>664</v>
      </c>
      <c r="IK101" s="108" t="s">
        <v>664</v>
      </c>
      <c r="IL101" s="108" t="s">
        <v>664</v>
      </c>
      <c r="IM101" s="108" t="s">
        <v>664</v>
      </c>
      <c r="IN101" s="108" t="s">
        <v>664</v>
      </c>
      <c r="IO101" s="108" t="s">
        <v>502</v>
      </c>
      <c r="IP101" s="108" t="s">
        <v>502</v>
      </c>
      <c r="IQ101" s="108" t="s">
        <v>502</v>
      </c>
      <c r="IR101" s="120" t="s">
        <v>664</v>
      </c>
      <c r="IS101" s="120" t="s">
        <v>664</v>
      </c>
      <c r="IT101" s="120" t="s">
        <v>664</v>
      </c>
      <c r="IU101" s="120" t="s">
        <v>503</v>
      </c>
      <c r="IV101" s="120" t="s">
        <v>503</v>
      </c>
      <c r="IW101" s="120" t="s">
        <v>503</v>
      </c>
      <c r="IX101" s="120" t="s">
        <v>503</v>
      </c>
      <c r="IY101" s="120" t="s">
        <v>503</v>
      </c>
      <c r="IZ101" s="120" t="s">
        <v>503</v>
      </c>
      <c r="JA101" s="120" t="s">
        <v>503</v>
      </c>
      <c r="JB101" s="120" t="s">
        <v>503</v>
      </c>
      <c r="JC101" s="120" t="s">
        <v>503</v>
      </c>
      <c r="JD101" s="120" t="s">
        <v>664</v>
      </c>
      <c r="JE101" s="120" t="s">
        <v>664</v>
      </c>
      <c r="JF101" s="120" t="s">
        <v>664</v>
      </c>
      <c r="JG101" s="120" t="s">
        <v>664</v>
      </c>
      <c r="JH101" s="120" t="s">
        <v>664</v>
      </c>
      <c r="JI101" s="120" t="s">
        <v>664</v>
      </c>
      <c r="JJ101" s="120" t="s">
        <v>664</v>
      </c>
      <c r="JK101" s="120" t="s">
        <v>664</v>
      </c>
      <c r="JL101" s="120" t="s">
        <v>664</v>
      </c>
      <c r="JM101" s="120" t="s">
        <v>664</v>
      </c>
      <c r="JN101" s="120" t="s">
        <v>664</v>
      </c>
      <c r="JO101" s="120" t="s">
        <v>664</v>
      </c>
      <c r="JP101" s="110">
        <v>10350</v>
      </c>
      <c r="JQ101" s="111">
        <v>12365.905103999999</v>
      </c>
      <c r="JR101" s="112">
        <f t="shared" si="30"/>
        <v>5</v>
      </c>
      <c r="JS101" s="113">
        <f t="shared" si="31"/>
        <v>9271.2739999999994</v>
      </c>
      <c r="JT101" s="114">
        <f t="shared" si="32"/>
        <v>9300</v>
      </c>
      <c r="JU101" s="167"/>
    </row>
    <row r="102" spans="1:281" ht="81" customHeight="1" x14ac:dyDescent="0.2">
      <c r="A102" s="98">
        <v>210</v>
      </c>
      <c r="B102" s="99">
        <v>210</v>
      </c>
      <c r="C102" s="39" t="s">
        <v>688</v>
      </c>
      <c r="D102" s="100" t="s">
        <v>291</v>
      </c>
      <c r="E102" s="39">
        <v>46181600</v>
      </c>
      <c r="F102" s="129" t="s">
        <v>293</v>
      </c>
      <c r="G102" s="102" t="s">
        <v>88</v>
      </c>
      <c r="H102" s="103" t="s">
        <v>501</v>
      </c>
      <c r="I102" s="108" t="s">
        <v>503</v>
      </c>
      <c r="J102" s="108" t="s">
        <v>503</v>
      </c>
      <c r="K102" s="108" t="s">
        <v>503</v>
      </c>
      <c r="L102" s="108" t="s">
        <v>503</v>
      </c>
      <c r="M102" s="108" t="s">
        <v>503</v>
      </c>
      <c r="N102" s="108" t="s">
        <v>503</v>
      </c>
      <c r="O102" s="108" t="s">
        <v>503</v>
      </c>
      <c r="P102" s="108" t="s">
        <v>503</v>
      </c>
      <c r="Q102" s="108" t="s">
        <v>503</v>
      </c>
      <c r="R102" s="108" t="s">
        <v>503</v>
      </c>
      <c r="S102" s="108" t="s">
        <v>503</v>
      </c>
      <c r="T102" s="108" t="s">
        <v>503</v>
      </c>
      <c r="U102" s="108" t="s">
        <v>503</v>
      </c>
      <c r="V102" s="108" t="s">
        <v>503</v>
      </c>
      <c r="W102" s="108" t="s">
        <v>503</v>
      </c>
      <c r="X102" s="108" t="s">
        <v>503</v>
      </c>
      <c r="Y102" s="108" t="s">
        <v>503</v>
      </c>
      <c r="Z102" s="108" t="s">
        <v>503</v>
      </c>
      <c r="AA102" s="108" t="s">
        <v>503</v>
      </c>
      <c r="AB102" s="108" t="s">
        <v>503</v>
      </c>
      <c r="AC102" s="108" t="s">
        <v>503</v>
      </c>
      <c r="AD102" s="108" t="s">
        <v>503</v>
      </c>
      <c r="AE102" s="108" t="s">
        <v>503</v>
      </c>
      <c r="AF102" s="108" t="s">
        <v>503</v>
      </c>
      <c r="AG102" s="108" t="s">
        <v>503</v>
      </c>
      <c r="AH102" s="108" t="s">
        <v>503</v>
      </c>
      <c r="AI102" s="108" t="s">
        <v>503</v>
      </c>
      <c r="AJ102" s="108" t="s">
        <v>503</v>
      </c>
      <c r="AK102" s="108" t="s">
        <v>503</v>
      </c>
      <c r="AL102" s="108" t="s">
        <v>503</v>
      </c>
      <c r="AM102" s="108" t="s">
        <v>503</v>
      </c>
      <c r="AN102" s="108" t="s">
        <v>503</v>
      </c>
      <c r="AO102" s="108" t="s">
        <v>503</v>
      </c>
      <c r="AP102" s="108" t="s">
        <v>503</v>
      </c>
      <c r="AQ102" s="108" t="s">
        <v>503</v>
      </c>
      <c r="AR102" s="108" t="s">
        <v>503</v>
      </c>
      <c r="AS102" s="108" t="s">
        <v>503</v>
      </c>
      <c r="AT102" s="108" t="s">
        <v>503</v>
      </c>
      <c r="AU102" s="108" t="s">
        <v>503</v>
      </c>
      <c r="AV102" s="108" t="s">
        <v>503</v>
      </c>
      <c r="AW102" s="108" t="s">
        <v>503</v>
      </c>
      <c r="AX102" s="108" t="s">
        <v>503</v>
      </c>
      <c r="AY102" s="108" t="s">
        <v>503</v>
      </c>
      <c r="AZ102" s="108" t="s">
        <v>503</v>
      </c>
      <c r="BA102" s="108" t="s">
        <v>503</v>
      </c>
      <c r="BB102" s="108" t="s">
        <v>503</v>
      </c>
      <c r="BC102" s="108" t="s">
        <v>503</v>
      </c>
      <c r="BD102" s="108" t="s">
        <v>503</v>
      </c>
      <c r="BE102" s="108" t="s">
        <v>503</v>
      </c>
      <c r="BF102" s="108" t="s">
        <v>503</v>
      </c>
      <c r="BG102" s="108" t="s">
        <v>503</v>
      </c>
      <c r="BH102" s="71">
        <v>28739.495798319331</v>
      </c>
      <c r="BI102" s="117">
        <f>+BH102*19%</f>
        <v>5460.5042016806728</v>
      </c>
      <c r="BJ102" s="71">
        <f>+BH102+BI102</f>
        <v>34200</v>
      </c>
      <c r="BK102" s="108" t="s">
        <v>503</v>
      </c>
      <c r="BL102" s="108" t="s">
        <v>503</v>
      </c>
      <c r="BM102" s="108" t="s">
        <v>503</v>
      </c>
      <c r="BN102" s="108" t="s">
        <v>503</v>
      </c>
      <c r="BO102" s="108" t="s">
        <v>503</v>
      </c>
      <c r="BP102" s="108" t="s">
        <v>503</v>
      </c>
      <c r="BQ102" s="108" t="s">
        <v>503</v>
      </c>
      <c r="BR102" s="108" t="s">
        <v>503</v>
      </c>
      <c r="BS102" s="108" t="s">
        <v>503</v>
      </c>
      <c r="BT102" s="108" t="s">
        <v>503</v>
      </c>
      <c r="BU102" s="108" t="s">
        <v>503</v>
      </c>
      <c r="BV102" s="108" t="s">
        <v>503</v>
      </c>
      <c r="BW102" s="108" t="s">
        <v>503</v>
      </c>
      <c r="BX102" s="108" t="s">
        <v>503</v>
      </c>
      <c r="BY102" s="108" t="s">
        <v>503</v>
      </c>
      <c r="BZ102" s="108" t="s">
        <v>503</v>
      </c>
      <c r="CA102" s="108" t="s">
        <v>503</v>
      </c>
      <c r="CB102" s="108" t="s">
        <v>503</v>
      </c>
      <c r="CC102" s="160" t="s">
        <v>502</v>
      </c>
      <c r="CD102" s="160" t="s">
        <v>502</v>
      </c>
      <c r="CE102" s="160" t="s">
        <v>502</v>
      </c>
      <c r="CF102" s="108" t="s">
        <v>503</v>
      </c>
      <c r="CG102" s="108" t="s">
        <v>503</v>
      </c>
      <c r="CH102" s="108" t="s">
        <v>503</v>
      </c>
      <c r="CI102" s="108" t="s">
        <v>503</v>
      </c>
      <c r="CJ102" s="108" t="s">
        <v>503</v>
      </c>
      <c r="CK102" s="108" t="s">
        <v>503</v>
      </c>
      <c r="CL102" s="108" t="s">
        <v>503</v>
      </c>
      <c r="CM102" s="108" t="s">
        <v>503</v>
      </c>
      <c r="CN102" s="108" t="s">
        <v>503</v>
      </c>
      <c r="CO102" s="108" t="s">
        <v>503</v>
      </c>
      <c r="CP102" s="108" t="s">
        <v>503</v>
      </c>
      <c r="CQ102" s="108" t="s">
        <v>503</v>
      </c>
      <c r="CR102" s="108" t="s">
        <v>503</v>
      </c>
      <c r="CS102" s="108" t="s">
        <v>503</v>
      </c>
      <c r="CT102" s="108" t="s">
        <v>503</v>
      </c>
      <c r="CU102" s="108" t="s">
        <v>503</v>
      </c>
      <c r="CV102" s="108" t="s">
        <v>503</v>
      </c>
      <c r="CW102" s="108" t="s">
        <v>503</v>
      </c>
      <c r="CX102" s="108" t="s">
        <v>503</v>
      </c>
      <c r="CY102" s="108" t="s">
        <v>503</v>
      </c>
      <c r="CZ102" s="108" t="s">
        <v>503</v>
      </c>
      <c r="DA102" s="108" t="s">
        <v>503</v>
      </c>
      <c r="DB102" s="108" t="s">
        <v>503</v>
      </c>
      <c r="DC102" s="108" t="s">
        <v>503</v>
      </c>
      <c r="DD102" s="108" t="s">
        <v>503</v>
      </c>
      <c r="DE102" s="108" t="s">
        <v>503</v>
      </c>
      <c r="DF102" s="108" t="s">
        <v>503</v>
      </c>
      <c r="DG102" s="108" t="s">
        <v>503</v>
      </c>
      <c r="DH102" s="108" t="s">
        <v>503</v>
      </c>
      <c r="DI102" s="108" t="s">
        <v>503</v>
      </c>
      <c r="DJ102" s="108" t="s">
        <v>503</v>
      </c>
      <c r="DK102" s="108" t="s">
        <v>503</v>
      </c>
      <c r="DL102" s="108" t="s">
        <v>503</v>
      </c>
      <c r="DM102" s="108" t="s">
        <v>503</v>
      </c>
      <c r="DN102" s="108" t="s">
        <v>503</v>
      </c>
      <c r="DO102" s="108" t="s">
        <v>503</v>
      </c>
      <c r="DP102" s="108" t="s">
        <v>503</v>
      </c>
      <c r="DQ102" s="108" t="s">
        <v>503</v>
      </c>
      <c r="DR102" s="108" t="s">
        <v>503</v>
      </c>
      <c r="DS102" s="108" t="s">
        <v>503</v>
      </c>
      <c r="DT102" s="108" t="s">
        <v>503</v>
      </c>
      <c r="DU102" s="108" t="s">
        <v>503</v>
      </c>
      <c r="DV102" s="108" t="s">
        <v>503</v>
      </c>
      <c r="DW102" s="108" t="s">
        <v>503</v>
      </c>
      <c r="DX102" s="108" t="s">
        <v>503</v>
      </c>
      <c r="DY102" s="108" t="s">
        <v>503</v>
      </c>
      <c r="DZ102" s="108" t="s">
        <v>503</v>
      </c>
      <c r="EA102" s="108" t="s">
        <v>503</v>
      </c>
      <c r="EB102" s="71">
        <v>30500</v>
      </c>
      <c r="EC102" s="71">
        <f>+EB102*19%</f>
        <v>5795</v>
      </c>
      <c r="ED102" s="71">
        <f>+EB102+EC102</f>
        <v>36295</v>
      </c>
      <c r="EE102" s="56">
        <v>32000</v>
      </c>
      <c r="EF102" s="71">
        <f t="shared" ref="EF102:EF103" si="43">+EE102*19%</f>
        <v>6080</v>
      </c>
      <c r="EG102" s="71">
        <f t="shared" ref="EG102:EG103" si="44">+EE102+EF102</f>
        <v>38080</v>
      </c>
      <c r="EH102" s="108" t="s">
        <v>503</v>
      </c>
      <c r="EI102" s="108" t="s">
        <v>503</v>
      </c>
      <c r="EJ102" s="108" t="s">
        <v>503</v>
      </c>
      <c r="EK102" s="71">
        <v>36134.5</v>
      </c>
      <c r="EL102" s="71">
        <f t="shared" si="41"/>
        <v>6865.5550000000003</v>
      </c>
      <c r="EM102" s="71">
        <f t="shared" si="42"/>
        <v>43000.055</v>
      </c>
      <c r="EN102" s="185">
        <v>35900</v>
      </c>
      <c r="EO102" s="118">
        <f>+EN102*19%</f>
        <v>6821</v>
      </c>
      <c r="EP102" s="118">
        <f>+EN102+EO102</f>
        <v>42721</v>
      </c>
      <c r="EQ102" s="108" t="s">
        <v>503</v>
      </c>
      <c r="ER102" s="108" t="s">
        <v>503</v>
      </c>
      <c r="ES102" s="108" t="s">
        <v>503</v>
      </c>
      <c r="ET102" s="108" t="s">
        <v>503</v>
      </c>
      <c r="EU102" s="108" t="s">
        <v>503</v>
      </c>
      <c r="EV102" s="108" t="s">
        <v>503</v>
      </c>
      <c r="EW102" s="108" t="s">
        <v>503</v>
      </c>
      <c r="EX102" s="108" t="s">
        <v>503</v>
      </c>
      <c r="EY102" s="108" t="s">
        <v>503</v>
      </c>
      <c r="EZ102" s="118" t="s">
        <v>503</v>
      </c>
      <c r="FA102" s="118" t="s">
        <v>503</v>
      </c>
      <c r="FB102" s="118" t="s">
        <v>503</v>
      </c>
      <c r="FC102" s="108" t="s">
        <v>503</v>
      </c>
      <c r="FD102" s="108" t="s">
        <v>503</v>
      </c>
      <c r="FE102" s="108" t="s">
        <v>503</v>
      </c>
      <c r="FF102" s="108" t="s">
        <v>503</v>
      </c>
      <c r="FG102" s="108" t="s">
        <v>503</v>
      </c>
      <c r="FH102" s="108" t="s">
        <v>503</v>
      </c>
      <c r="FI102" s="108" t="s">
        <v>503</v>
      </c>
      <c r="FJ102" s="108" t="s">
        <v>503</v>
      </c>
      <c r="FK102" s="108" t="s">
        <v>503</v>
      </c>
      <c r="FL102" s="108" t="s">
        <v>503</v>
      </c>
      <c r="FM102" s="108" t="s">
        <v>503</v>
      </c>
      <c r="FN102" s="108" t="s">
        <v>503</v>
      </c>
      <c r="FO102" s="108" t="s">
        <v>503</v>
      </c>
      <c r="FP102" s="108" t="s">
        <v>503</v>
      </c>
      <c r="FQ102" s="108" t="s">
        <v>503</v>
      </c>
      <c r="FR102" s="108" t="s">
        <v>503</v>
      </c>
      <c r="FS102" s="108" t="s">
        <v>503</v>
      </c>
      <c r="FT102" s="108" t="s">
        <v>503</v>
      </c>
      <c r="FU102" s="108" t="s">
        <v>503</v>
      </c>
      <c r="FV102" s="108" t="s">
        <v>503</v>
      </c>
      <c r="FW102" s="108" t="s">
        <v>503</v>
      </c>
      <c r="FX102" s="108" t="s">
        <v>503</v>
      </c>
      <c r="FY102" s="108" t="s">
        <v>503</v>
      </c>
      <c r="FZ102" s="108" t="s">
        <v>503</v>
      </c>
      <c r="GA102" s="108" t="s">
        <v>503</v>
      </c>
      <c r="GB102" s="108" t="s">
        <v>503</v>
      </c>
      <c r="GC102" s="108" t="s">
        <v>503</v>
      </c>
      <c r="GD102" s="108" t="s">
        <v>503</v>
      </c>
      <c r="GE102" s="108" t="s">
        <v>503</v>
      </c>
      <c r="GF102" s="108" t="s">
        <v>503</v>
      </c>
      <c r="GG102" s="108" t="s">
        <v>503</v>
      </c>
      <c r="GH102" s="108" t="s">
        <v>503</v>
      </c>
      <c r="GI102" s="108" t="s">
        <v>503</v>
      </c>
      <c r="GJ102" s="108" t="s">
        <v>503</v>
      </c>
      <c r="GK102" s="108" t="s">
        <v>503</v>
      </c>
      <c r="GL102" s="108" t="s">
        <v>503</v>
      </c>
      <c r="GM102" s="108" t="s">
        <v>503</v>
      </c>
      <c r="GN102" s="108" t="s">
        <v>503</v>
      </c>
      <c r="GO102" s="108" t="s">
        <v>503</v>
      </c>
      <c r="GP102" s="108" t="s">
        <v>664</v>
      </c>
      <c r="GQ102" s="108" t="s">
        <v>664</v>
      </c>
      <c r="GR102" s="108" t="s">
        <v>664</v>
      </c>
      <c r="GS102" s="108" t="s">
        <v>664</v>
      </c>
      <c r="GT102" s="108" t="s">
        <v>664</v>
      </c>
      <c r="GU102" s="108" t="s">
        <v>664</v>
      </c>
      <c r="GV102" s="108" t="s">
        <v>664</v>
      </c>
      <c r="GW102" s="108" t="s">
        <v>664</v>
      </c>
      <c r="GX102" s="108" t="s">
        <v>664</v>
      </c>
      <c r="GY102" s="108" t="s">
        <v>664</v>
      </c>
      <c r="GZ102" s="108" t="s">
        <v>664</v>
      </c>
      <c r="HA102" s="108" t="s">
        <v>664</v>
      </c>
      <c r="HB102" s="108" t="s">
        <v>664</v>
      </c>
      <c r="HC102" s="108" t="s">
        <v>664</v>
      </c>
      <c r="HD102" s="108" t="s">
        <v>664</v>
      </c>
      <c r="HE102" s="108" t="s">
        <v>664</v>
      </c>
      <c r="HF102" s="108" t="s">
        <v>664</v>
      </c>
      <c r="HG102" s="108" t="s">
        <v>664</v>
      </c>
      <c r="HH102" s="108" t="s">
        <v>664</v>
      </c>
      <c r="HI102" s="108" t="s">
        <v>664</v>
      </c>
      <c r="HJ102" s="108" t="s">
        <v>664</v>
      </c>
      <c r="HK102" s="108" t="s">
        <v>664</v>
      </c>
      <c r="HL102" s="108" t="s">
        <v>664</v>
      </c>
      <c r="HM102" s="108" t="s">
        <v>664</v>
      </c>
      <c r="HN102" s="108" t="s">
        <v>664</v>
      </c>
      <c r="HO102" s="108" t="s">
        <v>664</v>
      </c>
      <c r="HP102" s="108" t="s">
        <v>664</v>
      </c>
      <c r="HQ102" s="108" t="s">
        <v>664</v>
      </c>
      <c r="HR102" s="108" t="s">
        <v>664</v>
      </c>
      <c r="HS102" s="108" t="s">
        <v>664</v>
      </c>
      <c r="HT102" s="108" t="s">
        <v>664</v>
      </c>
      <c r="HU102" s="108" t="s">
        <v>664</v>
      </c>
      <c r="HV102" s="108" t="s">
        <v>664</v>
      </c>
      <c r="HW102" s="108" t="s">
        <v>664</v>
      </c>
      <c r="HX102" s="108" t="s">
        <v>664</v>
      </c>
      <c r="HY102" s="108" t="s">
        <v>664</v>
      </c>
      <c r="HZ102" s="108" t="s">
        <v>664</v>
      </c>
      <c r="IA102" s="108" t="s">
        <v>664</v>
      </c>
      <c r="IB102" s="108" t="s">
        <v>664</v>
      </c>
      <c r="IC102" s="108" t="s">
        <v>664</v>
      </c>
      <c r="ID102" s="108" t="s">
        <v>664</v>
      </c>
      <c r="IE102" s="108" t="s">
        <v>664</v>
      </c>
      <c r="IF102" s="108" t="s">
        <v>664</v>
      </c>
      <c r="IG102" s="108" t="s">
        <v>664</v>
      </c>
      <c r="IH102" s="108" t="s">
        <v>664</v>
      </c>
      <c r="II102" s="108" t="s">
        <v>664</v>
      </c>
      <c r="IJ102" s="108" t="s">
        <v>664</v>
      </c>
      <c r="IK102" s="108" t="s">
        <v>664</v>
      </c>
      <c r="IL102" s="108" t="s">
        <v>664</v>
      </c>
      <c r="IM102" s="108" t="s">
        <v>664</v>
      </c>
      <c r="IN102" s="108" t="s">
        <v>664</v>
      </c>
      <c r="IO102" s="108" t="s">
        <v>502</v>
      </c>
      <c r="IP102" s="108" t="s">
        <v>502</v>
      </c>
      <c r="IQ102" s="108" t="s">
        <v>502</v>
      </c>
      <c r="IR102" s="120" t="s">
        <v>664</v>
      </c>
      <c r="IS102" s="120" t="s">
        <v>664</v>
      </c>
      <c r="IT102" s="120" t="s">
        <v>664</v>
      </c>
      <c r="IU102" s="120" t="s">
        <v>503</v>
      </c>
      <c r="IV102" s="120" t="s">
        <v>503</v>
      </c>
      <c r="IW102" s="120" t="s">
        <v>503</v>
      </c>
      <c r="IX102" s="120" t="s">
        <v>503</v>
      </c>
      <c r="IY102" s="120" t="s">
        <v>503</v>
      </c>
      <c r="IZ102" s="120" t="s">
        <v>503</v>
      </c>
      <c r="JA102" s="120" t="s">
        <v>503</v>
      </c>
      <c r="JB102" s="120" t="s">
        <v>503</v>
      </c>
      <c r="JC102" s="120" t="s">
        <v>503</v>
      </c>
      <c r="JD102" s="120" t="s">
        <v>664</v>
      </c>
      <c r="JE102" s="120" t="s">
        <v>664</v>
      </c>
      <c r="JF102" s="120" t="s">
        <v>664</v>
      </c>
      <c r="JG102" s="120" t="s">
        <v>664</v>
      </c>
      <c r="JH102" s="120" t="s">
        <v>664</v>
      </c>
      <c r="JI102" s="120" t="s">
        <v>664</v>
      </c>
      <c r="JJ102" s="120" t="s">
        <v>664</v>
      </c>
      <c r="JK102" s="120" t="s">
        <v>664</v>
      </c>
      <c r="JL102" s="120" t="s">
        <v>664</v>
      </c>
      <c r="JM102" s="120" t="s">
        <v>664</v>
      </c>
      <c r="JN102" s="120" t="s">
        <v>664</v>
      </c>
      <c r="JO102" s="120" t="s">
        <v>664</v>
      </c>
      <c r="JP102" s="110">
        <v>30750</v>
      </c>
      <c r="JQ102" s="111">
        <v>36739.283280000003</v>
      </c>
      <c r="JR102" s="112">
        <f t="shared" si="30"/>
        <v>5</v>
      </c>
      <c r="JS102" s="113">
        <f t="shared" si="31"/>
        <v>38859.210999999996</v>
      </c>
      <c r="JT102" s="114">
        <f t="shared" si="32"/>
        <v>38900</v>
      </c>
      <c r="JU102" s="167"/>
    </row>
    <row r="103" spans="1:281" ht="81" customHeight="1" x14ac:dyDescent="0.2">
      <c r="A103" s="98">
        <v>211</v>
      </c>
      <c r="B103" s="99">
        <v>211</v>
      </c>
      <c r="C103" s="39" t="s">
        <v>688</v>
      </c>
      <c r="D103" s="100" t="s">
        <v>292</v>
      </c>
      <c r="E103" s="39">
        <v>46181600</v>
      </c>
      <c r="F103" s="129" t="s">
        <v>294</v>
      </c>
      <c r="G103" s="102" t="s">
        <v>88</v>
      </c>
      <c r="H103" s="103" t="s">
        <v>501</v>
      </c>
      <c r="I103" s="108" t="s">
        <v>503</v>
      </c>
      <c r="J103" s="108" t="s">
        <v>503</v>
      </c>
      <c r="K103" s="108" t="s">
        <v>503</v>
      </c>
      <c r="L103" s="108" t="s">
        <v>503</v>
      </c>
      <c r="M103" s="108" t="s">
        <v>503</v>
      </c>
      <c r="N103" s="108" t="s">
        <v>503</v>
      </c>
      <c r="O103" s="108" t="s">
        <v>503</v>
      </c>
      <c r="P103" s="108" t="s">
        <v>503</v>
      </c>
      <c r="Q103" s="108" t="s">
        <v>503</v>
      </c>
      <c r="R103" s="108" t="s">
        <v>503</v>
      </c>
      <c r="S103" s="108" t="s">
        <v>503</v>
      </c>
      <c r="T103" s="108" t="s">
        <v>503</v>
      </c>
      <c r="U103" s="108" t="s">
        <v>503</v>
      </c>
      <c r="V103" s="108" t="s">
        <v>503</v>
      </c>
      <c r="W103" s="108" t="s">
        <v>503</v>
      </c>
      <c r="X103" s="108" t="s">
        <v>503</v>
      </c>
      <c r="Y103" s="108" t="s">
        <v>503</v>
      </c>
      <c r="Z103" s="108" t="s">
        <v>503</v>
      </c>
      <c r="AA103" s="108" t="s">
        <v>503</v>
      </c>
      <c r="AB103" s="108" t="s">
        <v>503</v>
      </c>
      <c r="AC103" s="108" t="s">
        <v>503</v>
      </c>
      <c r="AD103" s="108" t="s">
        <v>503</v>
      </c>
      <c r="AE103" s="108" t="s">
        <v>503</v>
      </c>
      <c r="AF103" s="108" t="s">
        <v>503</v>
      </c>
      <c r="AG103" s="108" t="s">
        <v>503</v>
      </c>
      <c r="AH103" s="108" t="s">
        <v>503</v>
      </c>
      <c r="AI103" s="108" t="s">
        <v>503</v>
      </c>
      <c r="AJ103" s="108" t="s">
        <v>503</v>
      </c>
      <c r="AK103" s="108" t="s">
        <v>503</v>
      </c>
      <c r="AL103" s="108" t="s">
        <v>503</v>
      </c>
      <c r="AM103" s="108" t="s">
        <v>503</v>
      </c>
      <c r="AN103" s="108" t="s">
        <v>503</v>
      </c>
      <c r="AO103" s="108" t="s">
        <v>503</v>
      </c>
      <c r="AP103" s="108" t="s">
        <v>503</v>
      </c>
      <c r="AQ103" s="108" t="s">
        <v>503</v>
      </c>
      <c r="AR103" s="108" t="s">
        <v>503</v>
      </c>
      <c r="AS103" s="108" t="s">
        <v>503</v>
      </c>
      <c r="AT103" s="108" t="s">
        <v>503</v>
      </c>
      <c r="AU103" s="108" t="s">
        <v>503</v>
      </c>
      <c r="AV103" s="108" t="s">
        <v>503</v>
      </c>
      <c r="AW103" s="108" t="s">
        <v>503</v>
      </c>
      <c r="AX103" s="108" t="s">
        <v>503</v>
      </c>
      <c r="AY103" s="108" t="s">
        <v>503</v>
      </c>
      <c r="AZ103" s="108" t="s">
        <v>503</v>
      </c>
      <c r="BA103" s="108" t="s">
        <v>503</v>
      </c>
      <c r="BB103" s="108" t="s">
        <v>503</v>
      </c>
      <c r="BC103" s="108" t="s">
        <v>503</v>
      </c>
      <c r="BD103" s="108" t="s">
        <v>503</v>
      </c>
      <c r="BE103" s="108" t="s">
        <v>503</v>
      </c>
      <c r="BF103" s="108" t="s">
        <v>503</v>
      </c>
      <c r="BG103" s="108" t="s">
        <v>503</v>
      </c>
      <c r="BH103" s="71">
        <v>107142.85714285714</v>
      </c>
      <c r="BI103" s="119">
        <f>+BH103*19%</f>
        <v>20357.142857142859</v>
      </c>
      <c r="BJ103" s="118">
        <f>+BH103+BI103</f>
        <v>127500</v>
      </c>
      <c r="BK103" s="108" t="s">
        <v>503</v>
      </c>
      <c r="BL103" s="108" t="s">
        <v>503</v>
      </c>
      <c r="BM103" s="108" t="s">
        <v>503</v>
      </c>
      <c r="BN103" s="108" t="s">
        <v>503</v>
      </c>
      <c r="BO103" s="108" t="s">
        <v>503</v>
      </c>
      <c r="BP103" s="108" t="s">
        <v>503</v>
      </c>
      <c r="BQ103" s="108" t="s">
        <v>503</v>
      </c>
      <c r="BR103" s="108" t="s">
        <v>503</v>
      </c>
      <c r="BS103" s="108" t="s">
        <v>503</v>
      </c>
      <c r="BT103" s="108" t="s">
        <v>503</v>
      </c>
      <c r="BU103" s="108" t="s">
        <v>503</v>
      </c>
      <c r="BV103" s="108" t="s">
        <v>503</v>
      </c>
      <c r="BW103" s="108" t="s">
        <v>503</v>
      </c>
      <c r="BX103" s="108" t="s">
        <v>503</v>
      </c>
      <c r="BY103" s="108" t="s">
        <v>503</v>
      </c>
      <c r="BZ103" s="108" t="s">
        <v>503</v>
      </c>
      <c r="CA103" s="108" t="s">
        <v>503</v>
      </c>
      <c r="CB103" s="108" t="s">
        <v>503</v>
      </c>
      <c r="CC103" s="160" t="s">
        <v>502</v>
      </c>
      <c r="CD103" s="160" t="s">
        <v>502</v>
      </c>
      <c r="CE103" s="160" t="s">
        <v>502</v>
      </c>
      <c r="CF103" s="108" t="s">
        <v>503</v>
      </c>
      <c r="CG103" s="108" t="s">
        <v>503</v>
      </c>
      <c r="CH103" s="108" t="s">
        <v>503</v>
      </c>
      <c r="CI103" s="108" t="s">
        <v>503</v>
      </c>
      <c r="CJ103" s="108" t="s">
        <v>503</v>
      </c>
      <c r="CK103" s="108" t="s">
        <v>503</v>
      </c>
      <c r="CL103" s="108" t="s">
        <v>503</v>
      </c>
      <c r="CM103" s="108" t="s">
        <v>503</v>
      </c>
      <c r="CN103" s="108" t="s">
        <v>503</v>
      </c>
      <c r="CO103" s="108" t="s">
        <v>503</v>
      </c>
      <c r="CP103" s="108" t="s">
        <v>503</v>
      </c>
      <c r="CQ103" s="108" t="s">
        <v>503</v>
      </c>
      <c r="CR103" s="108" t="s">
        <v>503</v>
      </c>
      <c r="CS103" s="108" t="s">
        <v>503</v>
      </c>
      <c r="CT103" s="108" t="s">
        <v>503</v>
      </c>
      <c r="CU103" s="108" t="s">
        <v>503</v>
      </c>
      <c r="CV103" s="108" t="s">
        <v>503</v>
      </c>
      <c r="CW103" s="108" t="s">
        <v>503</v>
      </c>
      <c r="CX103" s="108" t="s">
        <v>503</v>
      </c>
      <c r="CY103" s="108" t="s">
        <v>503</v>
      </c>
      <c r="CZ103" s="108" t="s">
        <v>503</v>
      </c>
      <c r="DA103" s="108" t="s">
        <v>503</v>
      </c>
      <c r="DB103" s="108" t="s">
        <v>503</v>
      </c>
      <c r="DC103" s="108" t="s">
        <v>503</v>
      </c>
      <c r="DD103" s="108" t="s">
        <v>503</v>
      </c>
      <c r="DE103" s="108" t="s">
        <v>503</v>
      </c>
      <c r="DF103" s="108" t="s">
        <v>503</v>
      </c>
      <c r="DG103" s="108" t="s">
        <v>503</v>
      </c>
      <c r="DH103" s="108" t="s">
        <v>503</v>
      </c>
      <c r="DI103" s="108" t="s">
        <v>503</v>
      </c>
      <c r="DJ103" s="108" t="s">
        <v>503</v>
      </c>
      <c r="DK103" s="108" t="s">
        <v>503</v>
      </c>
      <c r="DL103" s="108" t="s">
        <v>503</v>
      </c>
      <c r="DM103" s="108" t="s">
        <v>503</v>
      </c>
      <c r="DN103" s="108" t="s">
        <v>503</v>
      </c>
      <c r="DO103" s="108" t="s">
        <v>503</v>
      </c>
      <c r="DP103" s="108" t="s">
        <v>503</v>
      </c>
      <c r="DQ103" s="108" t="s">
        <v>503</v>
      </c>
      <c r="DR103" s="108" t="s">
        <v>503</v>
      </c>
      <c r="DS103" s="108" t="s">
        <v>503</v>
      </c>
      <c r="DT103" s="108" t="s">
        <v>503</v>
      </c>
      <c r="DU103" s="108" t="s">
        <v>503</v>
      </c>
      <c r="DV103" s="108" t="s">
        <v>503</v>
      </c>
      <c r="DW103" s="108" t="s">
        <v>503</v>
      </c>
      <c r="DX103" s="108" t="s">
        <v>503</v>
      </c>
      <c r="DY103" s="108" t="s">
        <v>503</v>
      </c>
      <c r="DZ103" s="108" t="s">
        <v>503</v>
      </c>
      <c r="EA103" s="108" t="s">
        <v>503</v>
      </c>
      <c r="EB103" s="118">
        <v>107000</v>
      </c>
      <c r="EC103" s="118">
        <f>+EB103*19%</f>
        <v>20330</v>
      </c>
      <c r="ED103" s="118">
        <f>+EB103+EC103</f>
        <v>127330</v>
      </c>
      <c r="EE103" s="56">
        <v>115000</v>
      </c>
      <c r="EF103" s="71">
        <f t="shared" si="43"/>
        <v>21850</v>
      </c>
      <c r="EG103" s="71">
        <f t="shared" si="44"/>
        <v>136850</v>
      </c>
      <c r="EH103" s="108" t="s">
        <v>503</v>
      </c>
      <c r="EI103" s="108" t="s">
        <v>503</v>
      </c>
      <c r="EJ103" s="108" t="s">
        <v>503</v>
      </c>
      <c r="EK103" s="71">
        <v>50420</v>
      </c>
      <c r="EL103" s="71">
        <f t="shared" si="41"/>
        <v>9579.7999999999993</v>
      </c>
      <c r="EM103" s="71">
        <f t="shared" si="42"/>
        <v>59999.8</v>
      </c>
      <c r="EN103" s="185">
        <v>45900</v>
      </c>
      <c r="EO103" s="118">
        <f>+EN103*19%</f>
        <v>8721</v>
      </c>
      <c r="EP103" s="118">
        <f>+EN103+EO103</f>
        <v>54621</v>
      </c>
      <c r="EQ103" s="108" t="s">
        <v>503</v>
      </c>
      <c r="ER103" s="108" t="s">
        <v>503</v>
      </c>
      <c r="ES103" s="108" t="s">
        <v>503</v>
      </c>
      <c r="ET103" s="108" t="s">
        <v>503</v>
      </c>
      <c r="EU103" s="108" t="s">
        <v>503</v>
      </c>
      <c r="EV103" s="108" t="s">
        <v>503</v>
      </c>
      <c r="EW103" s="108" t="s">
        <v>503</v>
      </c>
      <c r="EX103" s="108" t="s">
        <v>503</v>
      </c>
      <c r="EY103" s="108" t="s">
        <v>503</v>
      </c>
      <c r="EZ103" s="118" t="s">
        <v>503</v>
      </c>
      <c r="FA103" s="118" t="s">
        <v>503</v>
      </c>
      <c r="FB103" s="118" t="s">
        <v>503</v>
      </c>
      <c r="FC103" s="108" t="s">
        <v>503</v>
      </c>
      <c r="FD103" s="108" t="s">
        <v>503</v>
      </c>
      <c r="FE103" s="108" t="s">
        <v>503</v>
      </c>
      <c r="FF103" s="108" t="s">
        <v>503</v>
      </c>
      <c r="FG103" s="108" t="s">
        <v>503</v>
      </c>
      <c r="FH103" s="108" t="s">
        <v>503</v>
      </c>
      <c r="FI103" s="108" t="s">
        <v>503</v>
      </c>
      <c r="FJ103" s="108" t="s">
        <v>503</v>
      </c>
      <c r="FK103" s="108" t="s">
        <v>503</v>
      </c>
      <c r="FL103" s="108" t="s">
        <v>503</v>
      </c>
      <c r="FM103" s="108" t="s">
        <v>503</v>
      </c>
      <c r="FN103" s="108" t="s">
        <v>503</v>
      </c>
      <c r="FO103" s="108" t="s">
        <v>503</v>
      </c>
      <c r="FP103" s="108" t="s">
        <v>503</v>
      </c>
      <c r="FQ103" s="108" t="s">
        <v>503</v>
      </c>
      <c r="FR103" s="108" t="s">
        <v>503</v>
      </c>
      <c r="FS103" s="108" t="s">
        <v>503</v>
      </c>
      <c r="FT103" s="108" t="s">
        <v>503</v>
      </c>
      <c r="FU103" s="108" t="s">
        <v>503</v>
      </c>
      <c r="FV103" s="108" t="s">
        <v>503</v>
      </c>
      <c r="FW103" s="108" t="s">
        <v>503</v>
      </c>
      <c r="FX103" s="108" t="s">
        <v>503</v>
      </c>
      <c r="FY103" s="108" t="s">
        <v>503</v>
      </c>
      <c r="FZ103" s="108" t="s">
        <v>503</v>
      </c>
      <c r="GA103" s="108" t="s">
        <v>503</v>
      </c>
      <c r="GB103" s="108" t="s">
        <v>503</v>
      </c>
      <c r="GC103" s="108" t="s">
        <v>503</v>
      </c>
      <c r="GD103" s="108" t="s">
        <v>503</v>
      </c>
      <c r="GE103" s="108" t="s">
        <v>503</v>
      </c>
      <c r="GF103" s="108" t="s">
        <v>503</v>
      </c>
      <c r="GG103" s="108" t="s">
        <v>503</v>
      </c>
      <c r="GH103" s="108" t="s">
        <v>503</v>
      </c>
      <c r="GI103" s="108" t="s">
        <v>503</v>
      </c>
      <c r="GJ103" s="108" t="s">
        <v>503</v>
      </c>
      <c r="GK103" s="108" t="s">
        <v>503</v>
      </c>
      <c r="GL103" s="108" t="s">
        <v>503</v>
      </c>
      <c r="GM103" s="108" t="s">
        <v>503</v>
      </c>
      <c r="GN103" s="108" t="s">
        <v>503</v>
      </c>
      <c r="GO103" s="108" t="s">
        <v>503</v>
      </c>
      <c r="GP103" s="108" t="s">
        <v>664</v>
      </c>
      <c r="GQ103" s="108" t="s">
        <v>664</v>
      </c>
      <c r="GR103" s="108" t="s">
        <v>664</v>
      </c>
      <c r="GS103" s="108" t="s">
        <v>664</v>
      </c>
      <c r="GT103" s="108" t="s">
        <v>664</v>
      </c>
      <c r="GU103" s="108" t="s">
        <v>664</v>
      </c>
      <c r="GV103" s="108" t="s">
        <v>664</v>
      </c>
      <c r="GW103" s="108" t="s">
        <v>664</v>
      </c>
      <c r="GX103" s="108" t="s">
        <v>664</v>
      </c>
      <c r="GY103" s="108" t="s">
        <v>664</v>
      </c>
      <c r="GZ103" s="108" t="s">
        <v>664</v>
      </c>
      <c r="HA103" s="108" t="s">
        <v>664</v>
      </c>
      <c r="HB103" s="108" t="s">
        <v>664</v>
      </c>
      <c r="HC103" s="108" t="s">
        <v>664</v>
      </c>
      <c r="HD103" s="108" t="s">
        <v>664</v>
      </c>
      <c r="HE103" s="108" t="s">
        <v>664</v>
      </c>
      <c r="HF103" s="108" t="s">
        <v>664</v>
      </c>
      <c r="HG103" s="108" t="s">
        <v>664</v>
      </c>
      <c r="HH103" s="108" t="s">
        <v>664</v>
      </c>
      <c r="HI103" s="108" t="s">
        <v>664</v>
      </c>
      <c r="HJ103" s="108" t="s">
        <v>664</v>
      </c>
      <c r="HK103" s="108" t="s">
        <v>664</v>
      </c>
      <c r="HL103" s="108" t="s">
        <v>664</v>
      </c>
      <c r="HM103" s="108" t="s">
        <v>664</v>
      </c>
      <c r="HN103" s="108" t="s">
        <v>664</v>
      </c>
      <c r="HO103" s="108" t="s">
        <v>664</v>
      </c>
      <c r="HP103" s="108" t="s">
        <v>664</v>
      </c>
      <c r="HQ103" s="108" t="s">
        <v>664</v>
      </c>
      <c r="HR103" s="108" t="s">
        <v>664</v>
      </c>
      <c r="HS103" s="108" t="s">
        <v>664</v>
      </c>
      <c r="HT103" s="108" t="s">
        <v>664</v>
      </c>
      <c r="HU103" s="108" t="s">
        <v>664</v>
      </c>
      <c r="HV103" s="108" t="s">
        <v>664</v>
      </c>
      <c r="HW103" s="108" t="s">
        <v>664</v>
      </c>
      <c r="HX103" s="108" t="s">
        <v>664</v>
      </c>
      <c r="HY103" s="108" t="s">
        <v>664</v>
      </c>
      <c r="HZ103" s="108" t="s">
        <v>664</v>
      </c>
      <c r="IA103" s="108" t="s">
        <v>664</v>
      </c>
      <c r="IB103" s="108" t="s">
        <v>664</v>
      </c>
      <c r="IC103" s="108" t="s">
        <v>664</v>
      </c>
      <c r="ID103" s="108" t="s">
        <v>664</v>
      </c>
      <c r="IE103" s="108" t="s">
        <v>664</v>
      </c>
      <c r="IF103" s="108" t="s">
        <v>664</v>
      </c>
      <c r="IG103" s="108" t="s">
        <v>664</v>
      </c>
      <c r="IH103" s="108" t="s">
        <v>664</v>
      </c>
      <c r="II103" s="108" t="s">
        <v>664</v>
      </c>
      <c r="IJ103" s="108" t="s">
        <v>664</v>
      </c>
      <c r="IK103" s="108" t="s">
        <v>664</v>
      </c>
      <c r="IL103" s="108" t="s">
        <v>664</v>
      </c>
      <c r="IM103" s="108" t="s">
        <v>664</v>
      </c>
      <c r="IN103" s="108" t="s">
        <v>664</v>
      </c>
      <c r="IO103" s="108" t="s">
        <v>502</v>
      </c>
      <c r="IP103" s="108" t="s">
        <v>502</v>
      </c>
      <c r="IQ103" s="108" t="s">
        <v>502</v>
      </c>
      <c r="IR103" s="120" t="s">
        <v>664</v>
      </c>
      <c r="IS103" s="120" t="s">
        <v>664</v>
      </c>
      <c r="IT103" s="120" t="s">
        <v>664</v>
      </c>
      <c r="IU103" s="120" t="s">
        <v>503</v>
      </c>
      <c r="IV103" s="120" t="s">
        <v>503</v>
      </c>
      <c r="IW103" s="120" t="s">
        <v>503</v>
      </c>
      <c r="IX103" s="120" t="s">
        <v>503</v>
      </c>
      <c r="IY103" s="120" t="s">
        <v>503</v>
      </c>
      <c r="IZ103" s="120" t="s">
        <v>503</v>
      </c>
      <c r="JA103" s="120" t="s">
        <v>503</v>
      </c>
      <c r="JB103" s="120" t="s">
        <v>503</v>
      </c>
      <c r="JC103" s="120" t="s">
        <v>503</v>
      </c>
      <c r="JD103" s="120" t="s">
        <v>664</v>
      </c>
      <c r="JE103" s="120" t="s">
        <v>664</v>
      </c>
      <c r="JF103" s="120" t="s">
        <v>664</v>
      </c>
      <c r="JG103" s="120" t="s">
        <v>664</v>
      </c>
      <c r="JH103" s="120" t="s">
        <v>664</v>
      </c>
      <c r="JI103" s="120" t="s">
        <v>664</v>
      </c>
      <c r="JJ103" s="120" t="s">
        <v>664</v>
      </c>
      <c r="JK103" s="120" t="s">
        <v>664</v>
      </c>
      <c r="JL103" s="120" t="s">
        <v>664</v>
      </c>
      <c r="JM103" s="120" t="s">
        <v>664</v>
      </c>
      <c r="JN103" s="120" t="s">
        <v>664</v>
      </c>
      <c r="JO103" s="120" t="s">
        <v>664</v>
      </c>
      <c r="JP103" s="110">
        <v>86800</v>
      </c>
      <c r="JQ103" s="111">
        <v>103706.334592</v>
      </c>
      <c r="JR103" s="112">
        <f t="shared" si="30"/>
        <v>5</v>
      </c>
      <c r="JS103" s="113">
        <f t="shared" si="31"/>
        <v>101260.16</v>
      </c>
      <c r="JT103" s="114">
        <f t="shared" si="32"/>
        <v>101300</v>
      </c>
      <c r="JU103" s="167"/>
    </row>
    <row r="104" spans="1:281" s="188" customFormat="1" ht="112.5" customHeight="1" x14ac:dyDescent="0.2">
      <c r="A104" s="98">
        <v>259</v>
      </c>
      <c r="B104" s="99">
        <v>259</v>
      </c>
      <c r="C104" s="70" t="s">
        <v>12</v>
      </c>
      <c r="D104" s="100" t="s">
        <v>209</v>
      </c>
      <c r="E104" s="170">
        <v>80141600</v>
      </c>
      <c r="F104" s="168" t="s">
        <v>224</v>
      </c>
      <c r="G104" s="102" t="s">
        <v>86</v>
      </c>
      <c r="H104" s="186" t="s">
        <v>501</v>
      </c>
      <c r="I104" s="108" t="s">
        <v>503</v>
      </c>
      <c r="J104" s="108" t="s">
        <v>503</v>
      </c>
      <c r="K104" s="108" t="s">
        <v>503</v>
      </c>
      <c r="L104" s="108" t="s">
        <v>503</v>
      </c>
      <c r="M104" s="108" t="s">
        <v>503</v>
      </c>
      <c r="N104" s="108" t="s">
        <v>503</v>
      </c>
      <c r="O104" s="108" t="s">
        <v>503</v>
      </c>
      <c r="P104" s="108" t="s">
        <v>503</v>
      </c>
      <c r="Q104" s="108" t="s">
        <v>503</v>
      </c>
      <c r="R104" s="108" t="s">
        <v>503</v>
      </c>
      <c r="S104" s="108" t="s">
        <v>503</v>
      </c>
      <c r="T104" s="108" t="s">
        <v>503</v>
      </c>
      <c r="U104" s="108" t="s">
        <v>503</v>
      </c>
      <c r="V104" s="108" t="s">
        <v>503</v>
      </c>
      <c r="W104" s="108" t="s">
        <v>503</v>
      </c>
      <c r="X104" s="108" t="s">
        <v>503</v>
      </c>
      <c r="Y104" s="108" t="s">
        <v>503</v>
      </c>
      <c r="Z104" s="108" t="s">
        <v>503</v>
      </c>
      <c r="AA104" s="108" t="s">
        <v>503</v>
      </c>
      <c r="AB104" s="108" t="s">
        <v>503</v>
      </c>
      <c r="AC104" s="108" t="s">
        <v>503</v>
      </c>
      <c r="AD104" s="108" t="s">
        <v>503</v>
      </c>
      <c r="AE104" s="108" t="s">
        <v>503</v>
      </c>
      <c r="AF104" s="187"/>
      <c r="AG104" s="187" t="s">
        <v>503</v>
      </c>
      <c r="AH104" s="187" t="s">
        <v>503</v>
      </c>
      <c r="AI104" s="187" t="s">
        <v>503</v>
      </c>
      <c r="AJ104" s="187"/>
      <c r="AK104" s="187"/>
      <c r="AL104" s="187"/>
      <c r="AM104" s="108" t="s">
        <v>503</v>
      </c>
      <c r="AN104" s="108" t="s">
        <v>503</v>
      </c>
      <c r="AO104" s="108" t="s">
        <v>503</v>
      </c>
      <c r="AP104" s="108" t="s">
        <v>503</v>
      </c>
      <c r="AQ104" s="108" t="s">
        <v>503</v>
      </c>
      <c r="AR104" s="108" t="s">
        <v>503</v>
      </c>
      <c r="AS104" s="187" t="s">
        <v>502</v>
      </c>
      <c r="AT104" s="187" t="s">
        <v>502</v>
      </c>
      <c r="AU104" s="187" t="s">
        <v>502</v>
      </c>
      <c r="AV104" s="187" t="s">
        <v>664</v>
      </c>
      <c r="AW104" s="187" t="s">
        <v>664</v>
      </c>
      <c r="AX104" s="187" t="s">
        <v>664</v>
      </c>
      <c r="AY104" s="187" t="s">
        <v>664</v>
      </c>
      <c r="AZ104" s="187" t="s">
        <v>664</v>
      </c>
      <c r="BA104" s="187" t="s">
        <v>664</v>
      </c>
      <c r="BB104" s="108" t="s">
        <v>503</v>
      </c>
      <c r="BC104" s="108" t="s">
        <v>503</v>
      </c>
      <c r="BD104" s="108" t="s">
        <v>503</v>
      </c>
      <c r="BE104" s="118" t="s">
        <v>502</v>
      </c>
      <c r="BF104" s="108" t="s">
        <v>502</v>
      </c>
      <c r="BG104" s="108" t="s">
        <v>502</v>
      </c>
      <c r="BH104" s="108" t="s">
        <v>503</v>
      </c>
      <c r="BI104" s="108" t="s">
        <v>503</v>
      </c>
      <c r="BJ104" s="108" t="s">
        <v>503</v>
      </c>
      <c r="BK104" s="187" t="s">
        <v>503</v>
      </c>
      <c r="BL104" s="187" t="s">
        <v>503</v>
      </c>
      <c r="BM104" s="187" t="s">
        <v>503</v>
      </c>
      <c r="BN104" s="187" t="s">
        <v>503</v>
      </c>
      <c r="BO104" s="187" t="s">
        <v>503</v>
      </c>
      <c r="BP104" s="187" t="s">
        <v>503</v>
      </c>
      <c r="BQ104" s="187" t="s">
        <v>503</v>
      </c>
      <c r="BR104" s="187" t="s">
        <v>503</v>
      </c>
      <c r="BS104" s="187" t="s">
        <v>503</v>
      </c>
      <c r="BT104" s="108" t="s">
        <v>503</v>
      </c>
      <c r="BU104" s="108" t="s">
        <v>503</v>
      </c>
      <c r="BV104" s="108" t="s">
        <v>503</v>
      </c>
      <c r="BW104" s="108" t="s">
        <v>503</v>
      </c>
      <c r="BX104" s="108" t="s">
        <v>503</v>
      </c>
      <c r="BY104" s="108" t="s">
        <v>503</v>
      </c>
      <c r="BZ104" s="187" t="s">
        <v>502</v>
      </c>
      <c r="CA104" s="187" t="s">
        <v>502</v>
      </c>
      <c r="CB104" s="187" t="s">
        <v>502</v>
      </c>
      <c r="CC104" s="108" t="s">
        <v>503</v>
      </c>
      <c r="CD104" s="108" t="s">
        <v>503</v>
      </c>
      <c r="CE104" s="108" t="s">
        <v>503</v>
      </c>
      <c r="CF104" s="108" t="s">
        <v>503</v>
      </c>
      <c r="CG104" s="108" t="s">
        <v>503</v>
      </c>
      <c r="CH104" s="108" t="s">
        <v>503</v>
      </c>
      <c r="CI104" s="187" t="s">
        <v>503</v>
      </c>
      <c r="CJ104" s="187" t="s">
        <v>503</v>
      </c>
      <c r="CK104" s="187" t="s">
        <v>503</v>
      </c>
      <c r="CL104" s="187" t="s">
        <v>503</v>
      </c>
      <c r="CM104" s="187" t="s">
        <v>503</v>
      </c>
      <c r="CN104" s="187" t="s">
        <v>503</v>
      </c>
      <c r="CO104" s="108" t="s">
        <v>503</v>
      </c>
      <c r="CP104" s="108" t="s">
        <v>503</v>
      </c>
      <c r="CQ104" s="108" t="s">
        <v>503</v>
      </c>
      <c r="CR104" s="108" t="s">
        <v>503</v>
      </c>
      <c r="CS104" s="108" t="s">
        <v>503</v>
      </c>
      <c r="CT104" s="108" t="s">
        <v>503</v>
      </c>
      <c r="CU104" s="187" t="s">
        <v>503</v>
      </c>
      <c r="CV104" s="187" t="s">
        <v>503</v>
      </c>
      <c r="CW104" s="187" t="s">
        <v>503</v>
      </c>
      <c r="CX104" s="187" t="s">
        <v>503</v>
      </c>
      <c r="CY104" s="187" t="s">
        <v>503</v>
      </c>
      <c r="CZ104" s="187" t="s">
        <v>503</v>
      </c>
      <c r="DA104" s="187" t="s">
        <v>503</v>
      </c>
      <c r="DB104" s="187" t="s">
        <v>503</v>
      </c>
      <c r="DC104" s="187" t="s">
        <v>503</v>
      </c>
      <c r="DD104" s="187" t="s">
        <v>503</v>
      </c>
      <c r="DE104" s="187" t="s">
        <v>503</v>
      </c>
      <c r="DF104" s="187" t="s">
        <v>503</v>
      </c>
      <c r="DG104" s="108" t="s">
        <v>503</v>
      </c>
      <c r="DH104" s="108" t="s">
        <v>503</v>
      </c>
      <c r="DI104" s="108" t="s">
        <v>503</v>
      </c>
      <c r="DJ104" s="187" t="s">
        <v>503</v>
      </c>
      <c r="DK104" s="187" t="s">
        <v>503</v>
      </c>
      <c r="DL104" s="187" t="s">
        <v>503</v>
      </c>
      <c r="DM104" s="108" t="s">
        <v>503</v>
      </c>
      <c r="DN104" s="108" t="s">
        <v>503</v>
      </c>
      <c r="DO104" s="108" t="s">
        <v>503</v>
      </c>
      <c r="DP104" s="108" t="s">
        <v>669</v>
      </c>
      <c r="DQ104" s="108" t="s">
        <v>669</v>
      </c>
      <c r="DR104" s="108" t="s">
        <v>669</v>
      </c>
      <c r="DS104" s="108" t="s">
        <v>669</v>
      </c>
      <c r="DT104" s="108" t="s">
        <v>669</v>
      </c>
      <c r="DU104" s="108" t="s">
        <v>669</v>
      </c>
      <c r="DV104" s="108" t="s">
        <v>503</v>
      </c>
      <c r="DW104" s="108" t="s">
        <v>503</v>
      </c>
      <c r="DX104" s="108" t="s">
        <v>503</v>
      </c>
      <c r="DY104" s="108" t="s">
        <v>503</v>
      </c>
      <c r="DZ104" s="108" t="s">
        <v>503</v>
      </c>
      <c r="EA104" s="108" t="s">
        <v>503</v>
      </c>
      <c r="EB104" s="108" t="s">
        <v>503</v>
      </c>
      <c r="EC104" s="108" t="s">
        <v>503</v>
      </c>
      <c r="ED104" s="108" t="s">
        <v>503</v>
      </c>
      <c r="EE104" s="108" t="s">
        <v>503</v>
      </c>
      <c r="EF104" s="108" t="s">
        <v>503</v>
      </c>
      <c r="EG104" s="108" t="s">
        <v>503</v>
      </c>
      <c r="EH104" s="125" t="s">
        <v>503</v>
      </c>
      <c r="EI104" s="125" t="s">
        <v>503</v>
      </c>
      <c r="EJ104" s="125" t="s">
        <v>503</v>
      </c>
      <c r="EK104" s="108" t="s">
        <v>664</v>
      </c>
      <c r="EL104" s="108" t="s">
        <v>664</v>
      </c>
      <c r="EM104" s="108" t="s">
        <v>664</v>
      </c>
      <c r="EN104" s="108" t="s">
        <v>503</v>
      </c>
      <c r="EO104" s="108" t="s">
        <v>503</v>
      </c>
      <c r="EP104" s="108" t="s">
        <v>503</v>
      </c>
      <c r="EQ104" s="108" t="s">
        <v>502</v>
      </c>
      <c r="ER104" s="108" t="s">
        <v>502</v>
      </c>
      <c r="ES104" s="108" t="s">
        <v>502</v>
      </c>
      <c r="ET104" s="108" t="s">
        <v>502</v>
      </c>
      <c r="EU104" s="108" t="s">
        <v>502</v>
      </c>
      <c r="EV104" s="108" t="s">
        <v>502</v>
      </c>
      <c r="EW104" s="108" t="s">
        <v>502</v>
      </c>
      <c r="EX104" s="108" t="s">
        <v>502</v>
      </c>
      <c r="EY104" s="108" t="s">
        <v>502</v>
      </c>
      <c r="EZ104" s="108" t="s">
        <v>502</v>
      </c>
      <c r="FA104" s="108" t="s">
        <v>502</v>
      </c>
      <c r="FB104" s="108" t="s">
        <v>502</v>
      </c>
      <c r="FC104" s="108" t="s">
        <v>502</v>
      </c>
      <c r="FD104" s="108" t="s">
        <v>502</v>
      </c>
      <c r="FE104" s="108" t="s">
        <v>502</v>
      </c>
      <c r="FF104" s="108" t="s">
        <v>503</v>
      </c>
      <c r="FG104" s="108" t="s">
        <v>503</v>
      </c>
      <c r="FH104" s="108" t="s">
        <v>503</v>
      </c>
      <c r="FI104" s="108" t="s">
        <v>503</v>
      </c>
      <c r="FJ104" s="108" t="s">
        <v>503</v>
      </c>
      <c r="FK104" s="108" t="s">
        <v>503</v>
      </c>
      <c r="FL104" s="108" t="s">
        <v>503</v>
      </c>
      <c r="FM104" s="108" t="s">
        <v>503</v>
      </c>
      <c r="FN104" s="108" t="s">
        <v>503</v>
      </c>
      <c r="FO104" s="108" t="s">
        <v>503</v>
      </c>
      <c r="FP104" s="108" t="s">
        <v>503</v>
      </c>
      <c r="FQ104" s="108" t="s">
        <v>503</v>
      </c>
      <c r="FR104" s="108" t="s">
        <v>503</v>
      </c>
      <c r="FS104" s="108" t="s">
        <v>503</v>
      </c>
      <c r="FT104" s="108" t="s">
        <v>503</v>
      </c>
      <c r="FU104" s="108" t="s">
        <v>503</v>
      </c>
      <c r="FV104" s="108" t="s">
        <v>503</v>
      </c>
      <c r="FW104" s="108" t="s">
        <v>503</v>
      </c>
      <c r="FX104" s="108" t="s">
        <v>503</v>
      </c>
      <c r="FY104" s="108" t="s">
        <v>503</v>
      </c>
      <c r="FZ104" s="108" t="s">
        <v>503</v>
      </c>
      <c r="GA104" s="108" t="s">
        <v>503</v>
      </c>
      <c r="GB104" s="108" t="s">
        <v>503</v>
      </c>
      <c r="GC104" s="108" t="s">
        <v>503</v>
      </c>
      <c r="GD104" s="108" t="s">
        <v>503</v>
      </c>
      <c r="GE104" s="108" t="s">
        <v>503</v>
      </c>
      <c r="GF104" s="108" t="s">
        <v>503</v>
      </c>
      <c r="GG104" s="108" t="s">
        <v>669</v>
      </c>
      <c r="GH104" s="108" t="s">
        <v>669</v>
      </c>
      <c r="GI104" s="108" t="s">
        <v>669</v>
      </c>
      <c r="GJ104" s="108" t="s">
        <v>502</v>
      </c>
      <c r="GK104" s="108" t="s">
        <v>502</v>
      </c>
      <c r="GL104" s="108" t="s">
        <v>502</v>
      </c>
      <c r="GM104" s="108" t="s">
        <v>502</v>
      </c>
      <c r="GN104" s="108" t="s">
        <v>502</v>
      </c>
      <c r="GO104" s="108" t="s">
        <v>502</v>
      </c>
      <c r="GP104" s="108" t="s">
        <v>664</v>
      </c>
      <c r="GQ104" s="108" t="s">
        <v>664</v>
      </c>
      <c r="GR104" s="108" t="s">
        <v>664</v>
      </c>
      <c r="GS104" s="108" t="s">
        <v>502</v>
      </c>
      <c r="GT104" s="108" t="s">
        <v>502</v>
      </c>
      <c r="GU104" s="108" t="s">
        <v>502</v>
      </c>
      <c r="GV104" s="108" t="s">
        <v>502</v>
      </c>
      <c r="GW104" s="108" t="s">
        <v>502</v>
      </c>
      <c r="GX104" s="108" t="s">
        <v>502</v>
      </c>
      <c r="GY104" s="108" t="s">
        <v>502</v>
      </c>
      <c r="GZ104" s="108" t="s">
        <v>502</v>
      </c>
      <c r="HA104" s="108" t="s">
        <v>502</v>
      </c>
      <c r="HB104" s="108" t="s">
        <v>502</v>
      </c>
      <c r="HC104" s="108" t="s">
        <v>502</v>
      </c>
      <c r="HD104" s="108" t="s">
        <v>502</v>
      </c>
      <c r="HE104" s="108" t="s">
        <v>669</v>
      </c>
      <c r="HF104" s="108" t="s">
        <v>669</v>
      </c>
      <c r="HG104" s="108" t="s">
        <v>669</v>
      </c>
      <c r="HH104" s="108" t="s">
        <v>502</v>
      </c>
      <c r="HI104" s="108" t="s">
        <v>502</v>
      </c>
      <c r="HJ104" s="108" t="s">
        <v>502</v>
      </c>
      <c r="HK104" s="108" t="s">
        <v>502</v>
      </c>
      <c r="HL104" s="108" t="s">
        <v>502</v>
      </c>
      <c r="HM104" s="108" t="s">
        <v>502</v>
      </c>
      <c r="HN104" s="108" t="s">
        <v>664</v>
      </c>
      <c r="HO104" s="108" t="s">
        <v>664</v>
      </c>
      <c r="HP104" s="108" t="s">
        <v>664</v>
      </c>
      <c r="HQ104" s="108" t="s">
        <v>664</v>
      </c>
      <c r="HR104" s="108" t="s">
        <v>664</v>
      </c>
      <c r="HS104" s="108" t="s">
        <v>664</v>
      </c>
      <c r="HT104" s="108" t="s">
        <v>502</v>
      </c>
      <c r="HU104" s="108" t="s">
        <v>502</v>
      </c>
      <c r="HV104" s="108" t="s">
        <v>502</v>
      </c>
      <c r="HW104" s="118" t="s">
        <v>502</v>
      </c>
      <c r="HX104" s="118" t="s">
        <v>502</v>
      </c>
      <c r="HY104" s="118" t="s">
        <v>502</v>
      </c>
      <c r="HZ104" s="108" t="s">
        <v>502</v>
      </c>
      <c r="IA104" s="108" t="s">
        <v>502</v>
      </c>
      <c r="IB104" s="108" t="s">
        <v>502</v>
      </c>
      <c r="IC104" s="108" t="s">
        <v>502</v>
      </c>
      <c r="ID104" s="108" t="s">
        <v>502</v>
      </c>
      <c r="IE104" s="108" t="s">
        <v>502</v>
      </c>
      <c r="IF104" s="71">
        <v>1800</v>
      </c>
      <c r="IG104" s="117">
        <f>+IF104*19%</f>
        <v>342</v>
      </c>
      <c r="IH104" s="71">
        <f>+IF104+IG104</f>
        <v>2142</v>
      </c>
      <c r="II104" s="117">
        <f>2000</f>
        <v>2000</v>
      </c>
      <c r="IJ104" s="117">
        <f>+II104*19%</f>
        <v>380</v>
      </c>
      <c r="IK104" s="71">
        <f>+II104+IJ104</f>
        <v>2380</v>
      </c>
      <c r="IL104" s="117">
        <f>1500</f>
        <v>1500</v>
      </c>
      <c r="IM104" s="117">
        <f>+IL104*19%</f>
        <v>285</v>
      </c>
      <c r="IN104" s="71">
        <f>+IL104+IM104</f>
        <v>1785</v>
      </c>
      <c r="IO104" s="120" t="s">
        <v>503</v>
      </c>
      <c r="IP104" s="120" t="s">
        <v>503</v>
      </c>
      <c r="IQ104" s="120" t="s">
        <v>503</v>
      </c>
      <c r="IR104" s="118" t="s">
        <v>669</v>
      </c>
      <c r="IS104" s="118" t="s">
        <v>669</v>
      </c>
      <c r="IT104" s="118" t="s">
        <v>669</v>
      </c>
      <c r="IU104" s="120" t="s">
        <v>503</v>
      </c>
      <c r="IV104" s="120" t="s">
        <v>503</v>
      </c>
      <c r="IW104" s="120" t="s">
        <v>503</v>
      </c>
      <c r="IX104" s="120" t="s">
        <v>503</v>
      </c>
      <c r="IY104" s="120" t="s">
        <v>503</v>
      </c>
      <c r="IZ104" s="120" t="s">
        <v>503</v>
      </c>
      <c r="JA104" s="120" t="s">
        <v>503</v>
      </c>
      <c r="JB104" s="120" t="s">
        <v>503</v>
      </c>
      <c r="JC104" s="120" t="s">
        <v>503</v>
      </c>
      <c r="JD104" s="120" t="s">
        <v>664</v>
      </c>
      <c r="JE104" s="120" t="s">
        <v>664</v>
      </c>
      <c r="JF104" s="120" t="s">
        <v>664</v>
      </c>
      <c r="JG104" s="118" t="s">
        <v>502</v>
      </c>
      <c r="JH104" s="118" t="s">
        <v>502</v>
      </c>
      <c r="JI104" s="118" t="s">
        <v>502</v>
      </c>
      <c r="JJ104" s="118" t="s">
        <v>502</v>
      </c>
      <c r="JK104" s="118" t="s">
        <v>502</v>
      </c>
      <c r="JL104" s="118" t="s">
        <v>502</v>
      </c>
      <c r="JM104" s="118" t="s">
        <v>502</v>
      </c>
      <c r="JN104" s="118" t="s">
        <v>502</v>
      </c>
      <c r="JO104" s="118" t="s">
        <v>502</v>
      </c>
      <c r="JP104" s="110" t="e">
        <v>#N/A</v>
      </c>
      <c r="JQ104" s="110" t="e">
        <v>#N/A</v>
      </c>
      <c r="JR104" s="112">
        <f t="shared" si="30"/>
        <v>3</v>
      </c>
      <c r="JS104" s="113">
        <f t="shared" si="31"/>
        <v>2102.3333333333335</v>
      </c>
      <c r="JT104" s="114">
        <f t="shared" si="32"/>
        <v>2150</v>
      </c>
      <c r="JU104" s="177"/>
    </row>
    <row r="105" spans="1:281" x14ac:dyDescent="0.2">
      <c r="JT105" s="195">
        <f>SUM(JT4:JT104)</f>
        <v>97099200</v>
      </c>
    </row>
  </sheetData>
  <sheetProtection selectLockedCells="1" selectUnlockedCells="1"/>
  <autoFilter ref="A3:JT105"/>
  <mergeCells count="183">
    <mergeCell ref="JM2:JO2"/>
    <mergeCell ref="IU2:IW2"/>
    <mergeCell ref="IX2:IZ2"/>
    <mergeCell ref="JA2:JC2"/>
    <mergeCell ref="JD2:JF2"/>
    <mergeCell ref="JG2:JI2"/>
    <mergeCell ref="JJ2:JL2"/>
    <mergeCell ref="IC2:IE2"/>
    <mergeCell ref="IF2:IH2"/>
    <mergeCell ref="II2:IK2"/>
    <mergeCell ref="IL2:IN2"/>
    <mergeCell ref="IO2:IQ2"/>
    <mergeCell ref="IR2:IT2"/>
    <mergeCell ref="HK2:HM2"/>
    <mergeCell ref="HN2:HP2"/>
    <mergeCell ref="HQ2:HS2"/>
    <mergeCell ref="HT2:HV2"/>
    <mergeCell ref="HW2:HY2"/>
    <mergeCell ref="HZ2:IB2"/>
    <mergeCell ref="GS2:GU2"/>
    <mergeCell ref="GV2:GX2"/>
    <mergeCell ref="GY2:HA2"/>
    <mergeCell ref="HB2:HD2"/>
    <mergeCell ref="HE2:HG2"/>
    <mergeCell ref="HH2:HJ2"/>
    <mergeCell ref="GA2:GC2"/>
    <mergeCell ref="GD2:GF2"/>
    <mergeCell ref="GG2:GI2"/>
    <mergeCell ref="GJ2:GL2"/>
    <mergeCell ref="GM2:GO2"/>
    <mergeCell ref="GP2:GR2"/>
    <mergeCell ref="FI2:FK2"/>
    <mergeCell ref="FL2:FN2"/>
    <mergeCell ref="FO2:FQ2"/>
    <mergeCell ref="FR2:FT2"/>
    <mergeCell ref="FU2:FW2"/>
    <mergeCell ref="FX2:FZ2"/>
    <mergeCell ref="EQ2:ES2"/>
    <mergeCell ref="ET2:EV2"/>
    <mergeCell ref="EW2:EY2"/>
    <mergeCell ref="EZ2:FB2"/>
    <mergeCell ref="FC2:FE2"/>
    <mergeCell ref="FF2:FH2"/>
    <mergeCell ref="DY2:EA2"/>
    <mergeCell ref="EB2:ED2"/>
    <mergeCell ref="EE2:EG2"/>
    <mergeCell ref="EH2:EJ2"/>
    <mergeCell ref="EK2:EM2"/>
    <mergeCell ref="EN2:EP2"/>
    <mergeCell ref="DG2:DI2"/>
    <mergeCell ref="DJ2:DL2"/>
    <mergeCell ref="DM2:DO2"/>
    <mergeCell ref="DP2:DR2"/>
    <mergeCell ref="DS2:DU2"/>
    <mergeCell ref="DV2:DX2"/>
    <mergeCell ref="CO2:CQ2"/>
    <mergeCell ref="CR2:CT2"/>
    <mergeCell ref="CU2:CW2"/>
    <mergeCell ref="CX2:CZ2"/>
    <mergeCell ref="DA2:DC2"/>
    <mergeCell ref="DD2:DF2"/>
    <mergeCell ref="BW2:BY2"/>
    <mergeCell ref="BZ2:CB2"/>
    <mergeCell ref="CC2:CE2"/>
    <mergeCell ref="CF2:CH2"/>
    <mergeCell ref="CI2:CK2"/>
    <mergeCell ref="CL2:CN2"/>
    <mergeCell ref="BE2:BG2"/>
    <mergeCell ref="BH2:BJ2"/>
    <mergeCell ref="BK2:BM2"/>
    <mergeCell ref="BN2:BP2"/>
    <mergeCell ref="BQ2:BS2"/>
    <mergeCell ref="BT2:BV2"/>
    <mergeCell ref="AS2:AU2"/>
    <mergeCell ref="AV2:AX2"/>
    <mergeCell ref="AY2:BA2"/>
    <mergeCell ref="BB2:BD2"/>
    <mergeCell ref="U2:W2"/>
    <mergeCell ref="X2:Z2"/>
    <mergeCell ref="AA2:AC2"/>
    <mergeCell ref="AD2:AF2"/>
    <mergeCell ref="AG2:AI2"/>
    <mergeCell ref="AJ2:AL2"/>
    <mergeCell ref="JP1:JP2"/>
    <mergeCell ref="JQ1:JQ2"/>
    <mergeCell ref="JR1:JR2"/>
    <mergeCell ref="JS1:JS2"/>
    <mergeCell ref="I2:K2"/>
    <mergeCell ref="L2:N2"/>
    <mergeCell ref="O2:Q2"/>
    <mergeCell ref="R2:T2"/>
    <mergeCell ref="IX1:IZ1"/>
    <mergeCell ref="JA1:JC1"/>
    <mergeCell ref="JD1:JF1"/>
    <mergeCell ref="JG1:JI1"/>
    <mergeCell ref="JJ1:JL1"/>
    <mergeCell ref="JM1:JO1"/>
    <mergeCell ref="IF1:IH1"/>
    <mergeCell ref="II1:IK1"/>
    <mergeCell ref="IL1:IN1"/>
    <mergeCell ref="IO1:IQ1"/>
    <mergeCell ref="IR1:IT1"/>
    <mergeCell ref="IU1:IW1"/>
    <mergeCell ref="HN1:HP1"/>
    <mergeCell ref="HQ1:HS1"/>
    <mergeCell ref="AM2:AO2"/>
    <mergeCell ref="AP2:AR2"/>
    <mergeCell ref="HT1:HV1"/>
    <mergeCell ref="HW1:HY1"/>
    <mergeCell ref="HZ1:IB1"/>
    <mergeCell ref="IC1:IE1"/>
    <mergeCell ref="GV1:GX1"/>
    <mergeCell ref="GY1:HA1"/>
    <mergeCell ref="HB1:HD1"/>
    <mergeCell ref="HE1:HG1"/>
    <mergeCell ref="HH1:HJ1"/>
    <mergeCell ref="HK1:HM1"/>
    <mergeCell ref="GD1:GF1"/>
    <mergeCell ref="GG1:GI1"/>
    <mergeCell ref="GJ1:GL1"/>
    <mergeCell ref="GM1:GO1"/>
    <mergeCell ref="GP1:GR1"/>
    <mergeCell ref="GS1:GU1"/>
    <mergeCell ref="FL1:FN1"/>
    <mergeCell ref="FO1:FQ1"/>
    <mergeCell ref="FR1:FT1"/>
    <mergeCell ref="FU1:FW1"/>
    <mergeCell ref="FX1:FZ1"/>
    <mergeCell ref="GA1:GC1"/>
    <mergeCell ref="ET1:EV1"/>
    <mergeCell ref="EW1:EY1"/>
    <mergeCell ref="EZ1:FB1"/>
    <mergeCell ref="FC1:FE1"/>
    <mergeCell ref="FF1:FH1"/>
    <mergeCell ref="FI1:FK1"/>
    <mergeCell ref="EB1:ED1"/>
    <mergeCell ref="EE1:EG1"/>
    <mergeCell ref="EH1:EJ1"/>
    <mergeCell ref="EK1:EM1"/>
    <mergeCell ref="EN1:EP1"/>
    <mergeCell ref="EQ1:ES1"/>
    <mergeCell ref="DJ1:DL1"/>
    <mergeCell ref="DM1:DO1"/>
    <mergeCell ref="DP1:DR1"/>
    <mergeCell ref="DS1:DU1"/>
    <mergeCell ref="DV1:DX1"/>
    <mergeCell ref="DY1:EA1"/>
    <mergeCell ref="CR1:CT1"/>
    <mergeCell ref="CU1:CW1"/>
    <mergeCell ref="CX1:CZ1"/>
    <mergeCell ref="DA1:DC1"/>
    <mergeCell ref="DD1:DF1"/>
    <mergeCell ref="DG1:DI1"/>
    <mergeCell ref="BZ1:CB1"/>
    <mergeCell ref="CC1:CE1"/>
    <mergeCell ref="CF1:CH1"/>
    <mergeCell ref="CI1:CK1"/>
    <mergeCell ref="CL1:CN1"/>
    <mergeCell ref="CO1:CQ1"/>
    <mergeCell ref="BH1:BJ1"/>
    <mergeCell ref="BK1:BM1"/>
    <mergeCell ref="BN1:BP1"/>
    <mergeCell ref="BQ1:BS1"/>
    <mergeCell ref="BT1:BV1"/>
    <mergeCell ref="BW1:BY1"/>
    <mergeCell ref="AY1:BA1"/>
    <mergeCell ref="BB1:BD1"/>
    <mergeCell ref="BE1:BG1"/>
    <mergeCell ref="X1:Z1"/>
    <mergeCell ref="AA1:AC1"/>
    <mergeCell ref="AD1:AF1"/>
    <mergeCell ref="AG1:AI1"/>
    <mergeCell ref="AJ1:AL1"/>
    <mergeCell ref="AM1:AO1"/>
    <mergeCell ref="A1:H1"/>
    <mergeCell ref="I1:K1"/>
    <mergeCell ref="L1:N1"/>
    <mergeCell ref="O1:Q1"/>
    <mergeCell ref="R1:T1"/>
    <mergeCell ref="U1:W1"/>
    <mergeCell ref="AP1:AR1"/>
    <mergeCell ref="AS1:AU1"/>
    <mergeCell ref="AV1:AX1"/>
  </mergeCells>
  <conditionalFormatting sqref="D62:D63">
    <cfRule type="duplicateValues" dxfId="339" priority="59"/>
  </conditionalFormatting>
  <conditionalFormatting sqref="I4:I5">
    <cfRule type="containsText" dxfId="338" priority="682" stopIfTrue="1" operator="containsText" text="COTIZA">
      <formula>NOT(ISERROR(SEARCH("COTIZA",I4)))</formula>
    </cfRule>
  </conditionalFormatting>
  <conditionalFormatting sqref="I4:I6">
    <cfRule type="containsText" dxfId="337" priority="687" operator="containsText" text="NO APLICA">
      <formula>NOT(ISERROR(SEARCH("NO APLICA",I4)))</formula>
    </cfRule>
    <cfRule type="containsText" dxfId="336" priority="688" operator="containsText" text="NO COTIZA">
      <formula>NOT(ISERROR(SEARCH("NO COTIZA",I4)))</formula>
    </cfRule>
    <cfRule type="containsText" dxfId="335" priority="689" operator="containsText" text="VALOR ATÍPICO">
      <formula>NOT(ISERROR(SEARCH("VALOR ATÍPICO",I4)))</formula>
    </cfRule>
  </conditionalFormatting>
  <conditionalFormatting sqref="I7:W8">
    <cfRule type="containsText" dxfId="334" priority="54" operator="containsText" text="NO COTIZA">
      <formula>NOT(ISERROR(SEARCH("NO COTIZA",I7)))</formula>
    </cfRule>
    <cfRule type="containsText" dxfId="333" priority="55" operator="containsText" text="NO APLICA">
      <formula>NOT(ISERROR(SEARCH("NO APLICA",I7)))</formula>
    </cfRule>
    <cfRule type="containsText" dxfId="332" priority="56" operator="containsText" text="VALOR ATÍPICO">
      <formula>NOT(ISERROR(SEARCH("VALOR ATÍPICO",I7)))</formula>
    </cfRule>
  </conditionalFormatting>
  <conditionalFormatting sqref="I20:AC22">
    <cfRule type="containsText" dxfId="331" priority="781" stopIfTrue="1" operator="containsText" text="COTIZA">
      <formula>NOT(ISERROR(SEARCH("COTIZA",I20)))</formula>
    </cfRule>
  </conditionalFormatting>
  <conditionalFormatting sqref="I104:AE104">
    <cfRule type="containsText" dxfId="330" priority="217" stopIfTrue="1" operator="containsText" text="COTIZA">
      <formula>NOT(ISERROR(SEARCH("COTIZA",I104)))</formula>
    </cfRule>
  </conditionalFormatting>
  <conditionalFormatting sqref="I11:AL19">
    <cfRule type="containsText" dxfId="329" priority="751" stopIfTrue="1" operator="containsText" text="COTIZA">
      <formula>NOT(ISERROR(SEARCH("COTIZA",I11)))</formula>
    </cfRule>
  </conditionalFormatting>
  <conditionalFormatting sqref="I38:AR96">
    <cfRule type="containsText" dxfId="328" priority="799" stopIfTrue="1" operator="containsText" text="COTIZA">
      <formula>NOT(ISERROR(SEARCH("COTIZA",I38)))</formula>
    </cfRule>
  </conditionalFormatting>
  <conditionalFormatting sqref="I37:BJ37">
    <cfRule type="containsText" dxfId="327" priority="669" stopIfTrue="1" operator="containsText" text="COTIZA">
      <formula>NOT(ISERROR(SEARCH("COTIZA",I37)))</formula>
    </cfRule>
  </conditionalFormatting>
  <conditionalFormatting sqref="I99:CE100">
    <cfRule type="containsText" dxfId="326" priority="808" stopIfTrue="1" operator="containsText" text="COTIZA">
      <formula>NOT(ISERROR(SEARCH("COTIZA",I99)))</formula>
    </cfRule>
  </conditionalFormatting>
  <conditionalFormatting sqref="I101:CT103">
    <cfRule type="containsText" dxfId="325" priority="45" operator="containsText" text="NO COTIZA">
      <formula>NOT(ISERROR(SEARCH("NO COTIZA",I101)))</formula>
    </cfRule>
    <cfRule type="containsText" dxfId="324" priority="46" operator="containsText" text="NO APLICA">
      <formula>NOT(ISERROR(SEARCH("NO APLICA",I101)))</formula>
    </cfRule>
    <cfRule type="containsText" dxfId="323" priority="47" operator="containsText" text="VALOR ATÍPICO">
      <formula>NOT(ISERROR(SEARCH("VALOR ATÍPICO",I101)))</formula>
    </cfRule>
    <cfRule type="containsText" dxfId="322" priority="48" stopIfTrue="1" operator="containsText" text="COTIZA">
      <formula>NOT(ISERROR(SEARCH("COTIZA",I101)))</formula>
    </cfRule>
  </conditionalFormatting>
  <conditionalFormatting sqref="I4:DL6 I11:DL100 DM4:DO102 FO4:FQ38 AJ8:DL10 I104:BS104 I9:W9 I10:AC10 AD7:CE7 DP7:EA8 EQ7:EV56 EZ80:FE102 EB4:FB4 HN4:IZ4 FL4:FN40 GG4:GO61 HE4:HG100 HN5:IN6 EB5:ED40 CI7:DL7 X7:AC9 HK7:HV9 HW7:IN19 DP9:DX9 AD9:AI10 HB11:HD100 DV20:EA102 EB41:EG98 FL41:FZ100 GG62:GL86 GM62:GO87 EW80:EY98 HH80:HM102 GG87:GI87 GG88:GO100 EQ99:EY102 HN99:IN102 EB99:ED103 CU101:DL102 FI101:FZ102 GD101:GX102 HB101:HG102 CU103:EA103 HB103:JO103">
    <cfRule type="containsText" dxfId="321" priority="684" operator="containsText" text="NO COTIZA">
      <formula>NOT(ISERROR(SEARCH("NO COTIZA",I4)))</formula>
    </cfRule>
  </conditionalFormatting>
  <conditionalFormatting sqref="J4:DL6">
    <cfRule type="containsText" dxfId="320" priority="707" stopIfTrue="1" operator="containsText" text="COTIZA">
      <formula>NOT(ISERROR(SEARCH("COTIZA",J4)))</formula>
    </cfRule>
  </conditionalFormatting>
  <conditionalFormatting sqref="O15:Q15 O17:Q17">
    <cfRule type="containsText" dxfId="319" priority="58" stopIfTrue="1" operator="containsText" text="COTIZA">
      <formula>NOT(ISERROR(SEARCH("COTIZA",O15)))</formula>
    </cfRule>
  </conditionalFormatting>
  <conditionalFormatting sqref="R7:T10">
    <cfRule type="containsText" dxfId="318" priority="57" stopIfTrue="1" operator="containsText" text="COTIZA">
      <formula>NOT(ISERROR(SEARCH("COTIZA",R7)))</formula>
    </cfRule>
  </conditionalFormatting>
  <conditionalFormatting sqref="R9:T10">
    <cfRule type="containsText" dxfId="317" priority="705" stopIfTrue="1" operator="containsText" text="COTIZA">
      <formula>NOT(ISERROR(SEARCH("COTIZA",R9)))</formula>
    </cfRule>
  </conditionalFormatting>
  <conditionalFormatting sqref="U71:W74 U91:W91">
    <cfRule type="containsText" dxfId="316" priority="53" stopIfTrue="1" operator="containsText" text="COTIZA">
      <formula>NOT(ISERROR(SEARCH("COTIZA",U71)))</formula>
    </cfRule>
  </conditionalFormatting>
  <conditionalFormatting sqref="X70:Z74">
    <cfRule type="containsText" dxfId="315" priority="802" stopIfTrue="1" operator="containsText" text="COTIZA">
      <formula>NOT(ISERROR(SEARCH("COTIZA",X70)))</formula>
    </cfRule>
  </conditionalFormatting>
  <conditionalFormatting sqref="X91:Z91">
    <cfRule type="containsText" dxfId="314" priority="831" stopIfTrue="1" operator="containsText" text="COTIZA">
      <formula>NOT(ISERROR(SEARCH("COTIZA",X91)))</formula>
    </cfRule>
  </conditionalFormatting>
  <conditionalFormatting sqref="AD7:AI8">
    <cfRule type="containsText" dxfId="313" priority="52" stopIfTrue="1" operator="containsText" text="COTIZA">
      <formula>NOT(ISERROR(SEARCH("COTIZA",AD7)))</formula>
    </cfRule>
  </conditionalFormatting>
  <conditionalFormatting sqref="AD9:AL10">
    <cfRule type="containsText" dxfId="312" priority="704" stopIfTrue="1" operator="containsText" text="COTIZA">
      <formula>NOT(ISERROR(SEARCH("COTIZA",AD9)))</formula>
    </cfRule>
  </conditionalFormatting>
  <conditionalFormatting sqref="AD20:AL20">
    <cfRule type="containsText" dxfId="311" priority="778" stopIfTrue="1" operator="containsText" text="COTIZA">
      <formula>NOT(ISERROR(SEARCH("COTIZA",AD20)))</formula>
    </cfRule>
  </conditionalFormatting>
  <conditionalFormatting sqref="AJ8:AL9">
    <cfRule type="containsText" dxfId="310" priority="270" stopIfTrue="1" operator="containsText" text="COTIZA">
      <formula>NOT(ISERROR(SEARCH("COTIZA",AJ8)))</formula>
    </cfRule>
  </conditionalFormatting>
  <conditionalFormatting sqref="AM104:AR104">
    <cfRule type="containsText" dxfId="309" priority="156" stopIfTrue="1" operator="containsText" text="COTIZA">
      <formula>NOT(ISERROR(SEARCH("COTIZA",AM104)))</formula>
    </cfRule>
  </conditionalFormatting>
  <conditionalFormatting sqref="AM11:CE20">
    <cfRule type="containsText" dxfId="308" priority="696" stopIfTrue="1" operator="containsText" text="COTIZA">
      <formula>NOT(ISERROR(SEARCH("COTIZA",AM11)))</formula>
    </cfRule>
  </conditionalFormatting>
  <conditionalFormatting sqref="AS96">
    <cfRule type="containsText" dxfId="307" priority="824" stopIfTrue="1" operator="containsText" text="COTIZA">
      <formula>NOT(ISERROR(SEARCH("COTIZA",AS96)))</formula>
    </cfRule>
  </conditionalFormatting>
  <conditionalFormatting sqref="AS46:AU46">
    <cfRule type="containsText" dxfId="306" priority="250" stopIfTrue="1" operator="containsText" text="COTIZA">
      <formula>NOT(ISERROR(SEARCH("COTIZA",AS46)))</formula>
    </cfRule>
  </conditionalFormatting>
  <conditionalFormatting sqref="AS60:AU60">
    <cfRule type="containsText" dxfId="305" priority="662" stopIfTrue="1" operator="containsText" text="COTIZA">
      <formula>NOT(ISERROR(SEARCH("COTIZA",AS60)))</formula>
    </cfRule>
  </conditionalFormatting>
  <conditionalFormatting sqref="AS62:AU62">
    <cfRule type="containsText" dxfId="304" priority="660" stopIfTrue="1" operator="containsText" text="COTIZA">
      <formula>NOT(ISERROR(SEARCH("COTIZA",AS62)))</formula>
    </cfRule>
  </conditionalFormatting>
  <conditionalFormatting sqref="AS64:AU65">
    <cfRule type="containsText" dxfId="303" priority="655" stopIfTrue="1" operator="containsText" text="COTIZA">
      <formula>NOT(ISERROR(SEARCH("COTIZA",AS64)))</formula>
    </cfRule>
  </conditionalFormatting>
  <conditionalFormatting sqref="AS67:AU69">
    <cfRule type="containsText" dxfId="302" priority="647" stopIfTrue="1" operator="containsText" text="COTIZA">
      <formula>NOT(ISERROR(SEARCH("COTIZA",AS67)))</formula>
    </cfRule>
  </conditionalFormatting>
  <conditionalFormatting sqref="AS71:AU79">
    <cfRule type="containsText" dxfId="301" priority="231" stopIfTrue="1" operator="containsText" text="COTIZA">
      <formula>NOT(ISERROR(SEARCH("COTIZA",AS71)))</formula>
    </cfRule>
  </conditionalFormatting>
  <conditionalFormatting sqref="AS80:AU95">
    <cfRule type="containsText" dxfId="300" priority="794" stopIfTrue="1" operator="containsText" text="COTIZA">
      <formula>NOT(ISERROR(SEARCH("COTIZA",AS80)))</formula>
    </cfRule>
  </conditionalFormatting>
  <conditionalFormatting sqref="AS89:AU92">
    <cfRule type="containsText" dxfId="299" priority="548" stopIfTrue="1" operator="containsText" text="COTIZA">
      <formula>NOT(ISERROR(SEARCH("COTIZA",AS89)))</formula>
    </cfRule>
  </conditionalFormatting>
  <conditionalFormatting sqref="AT38:AU88">
    <cfRule type="containsText" dxfId="298" priority="795" stopIfTrue="1" operator="containsText" text="COTIZA">
      <formula>NOT(ISERROR(SEARCH("COTIZA",AT38)))</formula>
    </cfRule>
  </conditionalFormatting>
  <conditionalFormatting sqref="AT70:AU70">
    <cfRule type="containsText" dxfId="297" priority="609" stopIfTrue="1" operator="containsText" text="COTIZA">
      <formula>NOT(ISERROR(SEARCH("COTIZA",AT70)))</formula>
    </cfRule>
  </conditionalFormatting>
  <conditionalFormatting sqref="AT93:AU96">
    <cfRule type="containsText" dxfId="296" priority="793" stopIfTrue="1" operator="containsText" text="COTIZA">
      <formula>NOT(ISERROR(SEARCH("COTIZA",AT93)))</formula>
    </cfRule>
  </conditionalFormatting>
  <conditionalFormatting sqref="AV14:AX17">
    <cfRule type="containsText" dxfId="295" priority="51" stopIfTrue="1" operator="containsText" text="COTIZA">
      <formula>NOT(ISERROR(SEARCH("COTIZA",AV14)))</formula>
    </cfRule>
  </conditionalFormatting>
  <conditionalFormatting sqref="AV38:BG95">
    <cfRule type="containsText" dxfId="294" priority="790" stopIfTrue="1" operator="containsText" text="COTIZA">
      <formula>NOT(ISERROR(SEARCH("COTIZA",AV38)))</formula>
    </cfRule>
  </conditionalFormatting>
  <conditionalFormatting sqref="BB13:BD13 BB17:BD18">
    <cfRule type="containsText" dxfId="293" priority="50" stopIfTrue="1" operator="containsText" text="COTIZA">
      <formula>NOT(ISERROR(SEARCH("COTIZA",BB13)))</formula>
    </cfRule>
  </conditionalFormatting>
  <conditionalFormatting sqref="BB18:BD18">
    <cfRule type="containsText" dxfId="292" priority="695" stopIfTrue="1" operator="containsText" text="COTIZA">
      <formula>NOT(ISERROR(SEARCH("COTIZA",BB18)))</formula>
    </cfRule>
  </conditionalFormatting>
  <conditionalFormatting sqref="BB104:BG104">
    <cfRule type="containsText" dxfId="291" priority="146" stopIfTrue="1" operator="containsText" text="COTIZA">
      <formula>NOT(ISERROR(SEARCH("COTIZA",BB104)))</formula>
    </cfRule>
  </conditionalFormatting>
  <conditionalFormatting sqref="BE90:BE91">
    <cfRule type="containsText" dxfId="290" priority="560" stopIfTrue="1" operator="containsText" text="COTIZA">
      <formula>NOT(ISERROR(SEARCH("COTIZA",BE90)))</formula>
    </cfRule>
  </conditionalFormatting>
  <conditionalFormatting sqref="BE62:BG69">
    <cfRule type="containsText" dxfId="289" priority="648" stopIfTrue="1" operator="containsText" text="COTIZA">
      <formula>NOT(ISERROR(SEARCH("COTIZA",BE62)))</formula>
    </cfRule>
  </conditionalFormatting>
  <conditionalFormatting sqref="BE71:BG79">
    <cfRule type="containsText" dxfId="288" priority="566" stopIfTrue="1" operator="containsText" text="COTIZA">
      <formula>NOT(ISERROR(SEARCH("COTIZA",BE71)))</formula>
    </cfRule>
  </conditionalFormatting>
  <conditionalFormatting sqref="BE90:BG92">
    <cfRule type="containsText" dxfId="287" priority="214" stopIfTrue="1" operator="containsText" text="COTIZA">
      <formula>NOT(ISERROR(SEARCH("COTIZA",BE90)))</formula>
    </cfRule>
  </conditionalFormatting>
  <conditionalFormatting sqref="BE104:BG104">
    <cfRule type="containsText" dxfId="286" priority="145" operator="containsText" text="NO COTIZA">
      <formula>NOT(ISERROR(SEARCH("NO COTIZA",BE104)))</formula>
    </cfRule>
  </conditionalFormatting>
  <conditionalFormatting sqref="BF91:BG91">
    <cfRule type="containsText" dxfId="285" priority="215" stopIfTrue="1" operator="containsText" text="COTIZA">
      <formula>NOT(ISERROR(SEARCH("COTIZA",BF91)))</formula>
    </cfRule>
  </conditionalFormatting>
  <conditionalFormatting sqref="BH38:BJ38">
    <cfRule type="containsText" dxfId="284" priority="789" stopIfTrue="1" operator="containsText" text="COTIZA">
      <formula>NOT(ISERROR(SEARCH("COTIZA",BH38)))</formula>
    </cfRule>
  </conditionalFormatting>
  <conditionalFormatting sqref="BK37:BM38">
    <cfRule type="containsText" dxfId="283" priority="788" stopIfTrue="1" operator="containsText" text="COTIZA">
      <formula>NOT(ISERROR(SEARCH("COTIZA",BK37)))</formula>
    </cfRule>
  </conditionalFormatting>
  <conditionalFormatting sqref="BN38:BY38">
    <cfRule type="containsText" dxfId="282" priority="782" stopIfTrue="1" operator="containsText" text="COTIZA">
      <formula>NOT(ISERROR(SEARCH("COTIZA",BN38)))</formula>
    </cfRule>
  </conditionalFormatting>
  <conditionalFormatting sqref="BN37:CH37">
    <cfRule type="containsText" dxfId="281" priority="666" stopIfTrue="1" operator="containsText" text="COTIZA">
      <formula>NOT(ISERROR(SEARCH("COTIZA",BN37)))</formula>
    </cfRule>
  </conditionalFormatting>
  <conditionalFormatting sqref="BT104:CN104">
    <cfRule type="containsText" dxfId="280" priority="141" operator="containsText" text="NO COTIZA">
      <formula>NOT(ISERROR(SEARCH("NO COTIZA",BT104)))</formula>
    </cfRule>
    <cfRule type="containsText" dxfId="279" priority="142" operator="containsText" text="NO APLICA">
      <formula>NOT(ISERROR(SEARCH("NO APLICA",BT104)))</formula>
    </cfRule>
    <cfRule type="containsText" dxfId="278" priority="143" operator="containsText" text="VALOR ATÍPICO">
      <formula>NOT(ISERROR(SEARCH("VALOR ATÍPICO",BT104)))</formula>
    </cfRule>
    <cfRule type="containsText" dxfId="277" priority="144" stopIfTrue="1" operator="containsText" text="COTIZA">
      <formula>NOT(ISERROR(SEARCH("COTIZA",BT104)))</formula>
    </cfRule>
  </conditionalFormatting>
  <conditionalFormatting sqref="BZ75:CB79">
    <cfRule type="containsText" dxfId="276" priority="389" stopIfTrue="1" operator="containsText" text="COTIZA">
      <formula>NOT(ISERROR(SEARCH("COTIZA",BZ75)))</formula>
    </cfRule>
  </conditionalFormatting>
  <conditionalFormatting sqref="CF7:CH7">
    <cfRule type="containsText" dxfId="275" priority="681" stopIfTrue="1" operator="containsText" text="COTIZA">
      <formula>NOT(ISERROR(SEARCH("COTIZA",CF7)))</formula>
    </cfRule>
  </conditionalFormatting>
  <conditionalFormatting sqref="CF8:CH20">
    <cfRule type="containsText" dxfId="274" priority="703" stopIfTrue="1" operator="containsText" text="COTIZA">
      <formula>NOT(ISERROR(SEARCH("COTIZA",CF8)))</formula>
    </cfRule>
  </conditionalFormatting>
  <conditionalFormatting sqref="CF10:CH10">
    <cfRule type="containsText" dxfId="273" priority="49" stopIfTrue="1" operator="containsText" text="COTIZA">
      <formula>NOT(ISERROR(SEARCH("COTIZA",CF10)))</formula>
    </cfRule>
  </conditionalFormatting>
  <conditionalFormatting sqref="CF104:CH104">
    <cfRule type="containsText" dxfId="272" priority="139" stopIfTrue="1" operator="containsText" text="COTIZA">
      <formula>NOT(ISERROR(SEARCH("COTIZA",CF104)))</formula>
    </cfRule>
  </conditionalFormatting>
  <conditionalFormatting sqref="CF99:DI99">
    <cfRule type="containsText" dxfId="271" priority="804" stopIfTrue="1" operator="containsText" text="COTIZA">
      <formula>NOT(ISERROR(SEARCH("COTIZA",CF99)))</formula>
    </cfRule>
  </conditionalFormatting>
  <conditionalFormatting sqref="CI11:CT20">
    <cfRule type="containsText" dxfId="270" priority="726" stopIfTrue="1" operator="containsText" text="COTIZA">
      <formula>NOT(ISERROR(SEARCH("COTIZA",CI11)))</formula>
    </cfRule>
  </conditionalFormatting>
  <conditionalFormatting sqref="CO104:DR104">
    <cfRule type="containsText" dxfId="269" priority="134" operator="containsText" text="NO COTIZA">
      <formula>NOT(ISERROR(SEARCH("NO COTIZA",CO104)))</formula>
    </cfRule>
    <cfRule type="containsText" dxfId="268" priority="135" operator="containsText" text="NO APLICA">
      <formula>NOT(ISERROR(SEARCH("NO APLICA",CO104)))</formula>
    </cfRule>
    <cfRule type="containsText" dxfId="267" priority="136" operator="containsText" text="VALOR ATÍPICO">
      <formula>NOT(ISERROR(SEARCH("VALOR ATÍPICO",CO104)))</formula>
    </cfRule>
    <cfRule type="containsText" dxfId="266" priority="137" stopIfTrue="1" operator="containsText" text="COTIZA">
      <formula>NOT(ISERROR(SEARCH("COTIZA",CO104)))</formula>
    </cfRule>
  </conditionalFormatting>
  <conditionalFormatting sqref="CU22:CW22 CU24:CW24">
    <cfRule type="containsText" dxfId="265" priority="44" stopIfTrue="1" operator="containsText" text="COTIZA">
      <formula>NOT(ISERROR(SEARCH("COTIZA",CU22)))</formula>
    </cfRule>
  </conditionalFormatting>
  <conditionalFormatting sqref="CU11:CZ22">
    <cfRule type="containsText" dxfId="264" priority="722" stopIfTrue="1" operator="containsText" text="COTIZA">
      <formula>NOT(ISERROR(SEARCH("COTIZA",CU11)))</formula>
    </cfRule>
  </conditionalFormatting>
  <conditionalFormatting sqref="CX21:CZ21 CX23:CZ23 CX25:CZ25">
    <cfRule type="containsText" dxfId="263" priority="43" stopIfTrue="1" operator="containsText" text="COTIZA">
      <formula>NOT(ISERROR(SEARCH("COTIZA",CX21)))</formula>
    </cfRule>
  </conditionalFormatting>
  <conditionalFormatting sqref="CX37:DI37">
    <cfRule type="containsText" dxfId="262" priority="664" stopIfTrue="1" operator="containsText" text="COTIZA">
      <formula>NOT(ISERROR(SEARCH("COTIZA",CX37)))</formula>
    </cfRule>
  </conditionalFormatting>
  <conditionalFormatting sqref="DA11:DC15">
    <cfRule type="containsText" dxfId="261" priority="699" stopIfTrue="1" operator="containsText" text="COTIZA">
      <formula>NOT(ISERROR(SEARCH("COTIZA",DA11)))</formula>
    </cfRule>
  </conditionalFormatting>
  <conditionalFormatting sqref="DA14:DC15">
    <cfRule type="containsText" dxfId="260" priority="184" operator="containsText" text="NO COTIZA">
      <formula>NOT(ISERROR(SEARCH("NO COTIZA",DA14)))</formula>
    </cfRule>
    <cfRule type="containsText" dxfId="259" priority="185" stopIfTrue="1" operator="containsText" text="COTIZA">
      <formula>NOT(ISERROR(SEARCH("COTIZA",DA14)))</formula>
    </cfRule>
  </conditionalFormatting>
  <conditionalFormatting sqref="DA17:DC17">
    <cfRule type="containsText" dxfId="258" priority="179" operator="containsText" text="NO COTIZA">
      <formula>NOT(ISERROR(SEARCH("NO COTIZA",DA17)))</formula>
    </cfRule>
    <cfRule type="containsText" dxfId="257" priority="324" operator="containsText" text="NO COTIZA">
      <formula>NOT(ISERROR(SEARCH("NO COTIZA",DA17)))</formula>
    </cfRule>
    <cfRule type="containsText" dxfId="256" priority="325" stopIfTrue="1" operator="containsText" text="COTIZA">
      <formula>NOT(ISERROR(SEARCH("COTIZA",DA17)))</formula>
    </cfRule>
  </conditionalFormatting>
  <conditionalFormatting sqref="DA19:DC19">
    <cfRule type="containsText" dxfId="255" priority="173" operator="containsText" text="NO COTIZA">
      <formula>NOT(ISERROR(SEARCH("NO COTIZA",DA19)))</formula>
    </cfRule>
    <cfRule type="containsText" dxfId="254" priority="174" stopIfTrue="1" operator="containsText" text="COTIZA">
      <formula>NOT(ISERROR(SEARCH("COTIZA",DA19)))</formula>
    </cfRule>
  </conditionalFormatting>
  <conditionalFormatting sqref="DA20:DC20">
    <cfRule type="containsText" dxfId="253" priority="757" stopIfTrue="1" operator="containsText" text="COTIZA">
      <formula>NOT(ISERROR(SEARCH("COTIZA",DA20)))</formula>
    </cfRule>
  </conditionalFormatting>
  <conditionalFormatting sqref="DA18:DF19">
    <cfRule type="containsText" dxfId="252" priority="691" stopIfTrue="1" operator="containsText" text="COTIZA">
      <formula>NOT(ISERROR(SEARCH("COTIZA",DA18)))</formula>
    </cfRule>
  </conditionalFormatting>
  <conditionalFormatting sqref="DA14:DI17">
    <cfRule type="containsText" dxfId="251" priority="822" stopIfTrue="1" operator="containsText" text="COTIZA">
      <formula>NOT(ISERROR(SEARCH("COTIZA",DA14)))</formula>
    </cfRule>
  </conditionalFormatting>
  <conditionalFormatting sqref="DA17:DI17">
    <cfRule type="containsText" dxfId="250" priority="180" stopIfTrue="1" operator="containsText" text="COTIZA">
      <formula>NOT(ISERROR(SEARCH("COTIZA",DA17)))</formula>
    </cfRule>
  </conditionalFormatting>
  <conditionalFormatting sqref="DD11:DF13">
    <cfRule type="containsText" dxfId="249" priority="710" stopIfTrue="1" operator="containsText" text="COTIZA">
      <formula>NOT(ISERROR(SEARCH("COTIZA",DD11)))</formula>
    </cfRule>
  </conditionalFormatting>
  <conditionalFormatting sqref="DD18:DF20">
    <cfRule type="containsText" dxfId="248" priority="692" stopIfTrue="1" operator="containsText" text="COTIZA">
      <formula>NOT(ISERROR(SEARCH("COTIZA",DD18)))</formula>
    </cfRule>
  </conditionalFormatting>
  <conditionalFormatting sqref="DD17:DI19">
    <cfRule type="containsText" dxfId="247" priority="42" stopIfTrue="1" operator="containsText" text="COTIZA">
      <formula>NOT(ISERROR(SEARCH("COTIZA",DD17)))</formula>
    </cfRule>
  </conditionalFormatting>
  <conditionalFormatting sqref="DD19:DI19">
    <cfRule type="containsText" dxfId="246" priority="690" stopIfTrue="1" operator="containsText" text="COTIZA">
      <formula>NOT(ISERROR(SEARCH("COTIZA",DD19)))</formula>
    </cfRule>
  </conditionalFormatting>
  <conditionalFormatting sqref="DG11:DI14">
    <cfRule type="containsText" dxfId="245" priority="701" stopIfTrue="1" operator="containsText" text="COTIZA">
      <formula>NOT(ISERROR(SEARCH("COTIZA",DG11)))</formula>
    </cfRule>
  </conditionalFormatting>
  <conditionalFormatting sqref="DG14:DI14 DG16:DI16">
    <cfRule type="containsText" dxfId="244" priority="41" stopIfTrue="1" operator="containsText" text="COTIZA">
      <formula>NOT(ISERROR(SEARCH("COTIZA",DG14)))</formula>
    </cfRule>
  </conditionalFormatting>
  <conditionalFormatting sqref="DG16:DI16">
    <cfRule type="containsText" dxfId="243" priority="697" stopIfTrue="1" operator="containsText" text="COTIZA">
      <formula>NOT(ISERROR(SEARCH("COTIZA",DG16)))</formula>
    </cfRule>
  </conditionalFormatting>
  <conditionalFormatting sqref="DG18:DI18">
    <cfRule type="containsText" dxfId="242" priority="694" stopIfTrue="1" operator="containsText" text="COTIZA">
      <formula>NOT(ISERROR(SEARCH("COTIZA",DG18)))</formula>
    </cfRule>
  </conditionalFormatting>
  <conditionalFormatting sqref="DG20:DI20">
    <cfRule type="containsText" dxfId="241" priority="755" stopIfTrue="1" operator="containsText" text="COTIZA">
      <formula>NOT(ISERROR(SEARCH("COTIZA",DG20)))</formula>
    </cfRule>
  </conditionalFormatting>
  <conditionalFormatting sqref="DG104:DI104">
    <cfRule type="containsText" dxfId="240" priority="131" stopIfTrue="1" operator="containsText" text="COTIZA">
      <formula>NOT(ISERROR(SEARCH("COTIZA",DG104)))</formula>
    </cfRule>
  </conditionalFormatting>
  <conditionalFormatting sqref="DJ11:DL102">
    <cfRule type="containsText" dxfId="239" priority="720" stopIfTrue="1" operator="containsText" text="COTIZA">
      <formula>NOT(ISERROR(SEARCH("COTIZA",DJ11)))</formula>
    </cfRule>
  </conditionalFormatting>
  <conditionalFormatting sqref="DM4:DO36">
    <cfRule type="containsText" dxfId="238" priority="823" stopIfTrue="1" operator="containsText" text="COTIZA">
      <formula>NOT(ISERROR(SEARCH("COTIZA",DM4)))</formula>
    </cfRule>
  </conditionalFormatting>
  <conditionalFormatting sqref="DM37:DO37">
    <cfRule type="containsText" dxfId="237" priority="663" stopIfTrue="1" operator="containsText" text="COTIZA">
      <formula>NOT(ISERROR(SEARCH("COTIZA",DM37)))</formula>
    </cfRule>
  </conditionalFormatting>
  <conditionalFormatting sqref="DP4:DR6">
    <cfRule type="containsText" dxfId="236" priority="543" operator="containsText" text="NO COTIZA">
      <formula>NOT(ISERROR(SEARCH("NO COTIZA",DP4)))</formula>
    </cfRule>
    <cfRule type="containsText" dxfId="235" priority="544" operator="containsText" text="NO APLICA">
      <formula>NOT(ISERROR(SEARCH("NO APLICA",DP4)))</formula>
    </cfRule>
    <cfRule type="containsText" dxfId="234" priority="545" operator="containsText" text="VALOR ATÍPICO">
      <formula>NOT(ISERROR(SEARCH("VALOR ATÍPICO",DP4)))</formula>
    </cfRule>
    <cfRule type="containsText" dxfId="233" priority="546" stopIfTrue="1" operator="containsText" text="COTIZA">
      <formula>NOT(ISERROR(SEARCH("COTIZA",DP4)))</formula>
    </cfRule>
  </conditionalFormatting>
  <conditionalFormatting sqref="DP4:DU6">
    <cfRule type="containsText" dxfId="232" priority="534" operator="containsText" text="NO COTIZA">
      <formula>NOT(ISERROR(SEARCH("NO COTIZA",DP4)))</formula>
    </cfRule>
    <cfRule type="containsText" dxfId="231" priority="535" operator="containsText" text="NO APLICA">
      <formula>NOT(ISERROR(SEARCH("NO APLICA",DP4)))</formula>
    </cfRule>
    <cfRule type="containsText" dxfId="230" priority="536" operator="containsText" text="VALOR ATÍPICO">
      <formula>NOT(ISERROR(SEARCH("VALOR ATÍPICO",DP4)))</formula>
    </cfRule>
    <cfRule type="containsText" dxfId="229" priority="537" stopIfTrue="1" operator="containsText" text="COTIZA">
      <formula>NOT(ISERROR(SEARCH("COTIZA",DP4)))</formula>
    </cfRule>
  </conditionalFormatting>
  <conditionalFormatting sqref="DP10:DU102">
    <cfRule type="containsText" dxfId="228" priority="635" operator="containsText" text="NO COTIZA">
      <formula>NOT(ISERROR(SEARCH("NO COTIZA",DP10)))</formula>
    </cfRule>
    <cfRule type="containsText" dxfId="227" priority="636" operator="containsText" text="NO APLICA">
      <formula>NOT(ISERROR(SEARCH("NO APLICA",DP10)))</formula>
    </cfRule>
    <cfRule type="containsText" dxfId="226" priority="637" operator="containsText" text="VALOR ATÍPICO">
      <formula>NOT(ISERROR(SEARCH("VALOR ATÍPICO",DP10)))</formula>
    </cfRule>
    <cfRule type="containsText" dxfId="225" priority="638" stopIfTrue="1" operator="containsText" text="COTIZA">
      <formula>NOT(ISERROR(SEARCH("COTIZA",DP10)))</formula>
    </cfRule>
  </conditionalFormatting>
  <conditionalFormatting sqref="DS4:DX6">
    <cfRule type="containsText" dxfId="224" priority="525" operator="containsText" text="NO COTIZA">
      <formula>NOT(ISERROR(SEARCH("NO COTIZA",DS4)))</formula>
    </cfRule>
    <cfRule type="containsText" dxfId="223" priority="526" operator="containsText" text="NO APLICA">
      <formula>NOT(ISERROR(SEARCH("NO APLICA",DS4)))</formula>
    </cfRule>
    <cfRule type="containsText" dxfId="222" priority="527" operator="containsText" text="VALOR ATÍPICO">
      <formula>NOT(ISERROR(SEARCH("VALOR ATÍPICO",DS4)))</formula>
    </cfRule>
    <cfRule type="containsText" dxfId="221" priority="528" stopIfTrue="1" operator="containsText" text="COTIZA">
      <formula>NOT(ISERROR(SEARCH("COTIZA",DS4)))</formula>
    </cfRule>
  </conditionalFormatting>
  <conditionalFormatting sqref="DS104:DX104">
    <cfRule type="containsText" dxfId="220" priority="122" operator="containsText" text="NO COTIZA">
      <formula>NOT(ISERROR(SEARCH("NO COTIZA",DS104)))</formula>
    </cfRule>
    <cfRule type="containsText" dxfId="219" priority="123" operator="containsText" text="NO APLICA">
      <formula>NOT(ISERROR(SEARCH("NO APLICA",DS104)))</formula>
    </cfRule>
    <cfRule type="containsText" dxfId="218" priority="124" operator="containsText" text="VALOR ATÍPICO">
      <formula>NOT(ISERROR(SEARCH("VALOR ATÍPICO",DS104)))</formula>
    </cfRule>
    <cfRule type="containsText" dxfId="217" priority="125" stopIfTrue="1" operator="containsText" text="COTIZA">
      <formula>NOT(ISERROR(SEARCH("COTIZA",DS104)))</formula>
    </cfRule>
  </conditionalFormatting>
  <conditionalFormatting sqref="DV10:DX19">
    <cfRule type="containsText" dxfId="216" priority="37" operator="containsText" text="NO COTIZA">
      <formula>NOT(ISERROR(SEARCH("NO COTIZA",DV10)))</formula>
    </cfRule>
    <cfRule type="containsText" dxfId="215" priority="38" operator="containsText" text="NO APLICA">
      <formula>NOT(ISERROR(SEARCH("NO APLICA",DV10)))</formula>
    </cfRule>
    <cfRule type="containsText" dxfId="214" priority="39" operator="containsText" text="VALOR ATÍPICO">
      <formula>NOT(ISERROR(SEARCH("VALOR ATÍPICO",DV10)))</formula>
    </cfRule>
    <cfRule type="containsText" dxfId="213" priority="40" stopIfTrue="1" operator="containsText" text="COTIZA">
      <formula>NOT(ISERROR(SEARCH("COTIZA",DV10)))</formula>
    </cfRule>
  </conditionalFormatting>
  <conditionalFormatting sqref="DV4:EA6">
    <cfRule type="containsText" dxfId="212" priority="516" operator="containsText" text="NO COTIZA">
      <formula>NOT(ISERROR(SEARCH("NO COTIZA",DV4)))</formula>
    </cfRule>
    <cfRule type="containsText" dxfId="211" priority="517" operator="containsText" text="NO APLICA">
      <formula>NOT(ISERROR(SEARCH("NO APLICA",DV4)))</formula>
    </cfRule>
    <cfRule type="containsText" dxfId="210" priority="518" operator="containsText" text="VALOR ATÍPICO">
      <formula>NOT(ISERROR(SEARCH("VALOR ATÍPICO",DV4)))</formula>
    </cfRule>
    <cfRule type="containsText" dxfId="209" priority="519" stopIfTrue="1" operator="containsText" text="COTIZA">
      <formula>NOT(ISERROR(SEARCH("COTIZA",DV4)))</formula>
    </cfRule>
  </conditionalFormatting>
  <conditionalFormatting sqref="DV104:FE104">
    <cfRule type="containsText" dxfId="208" priority="113" operator="containsText" text="NO COTIZA">
      <formula>NOT(ISERROR(SEARCH("NO COTIZA",DV104)))</formula>
    </cfRule>
    <cfRule type="containsText" dxfId="207" priority="114" operator="containsText" text="NO APLICA">
      <formula>NOT(ISERROR(SEARCH("NO APLICA",DV104)))</formula>
    </cfRule>
    <cfRule type="containsText" dxfId="206" priority="115" operator="containsText" text="VALOR ATÍPICO">
      <formula>NOT(ISERROR(SEARCH("VALOR ATÍPICO",DV104)))</formula>
    </cfRule>
    <cfRule type="containsText" dxfId="205" priority="116" stopIfTrue="1" operator="containsText" text="COTIZA">
      <formula>NOT(ISERROR(SEARCH("COTIZA",DV104)))</formula>
    </cfRule>
  </conditionalFormatting>
  <conditionalFormatting sqref="DY4:EA6">
    <cfRule type="containsText" dxfId="204" priority="512" operator="containsText" text="NO COTIZA">
      <formula>NOT(ISERROR(SEARCH("NO COTIZA",DY4)))</formula>
    </cfRule>
    <cfRule type="containsText" dxfId="203" priority="513" operator="containsText" text="NO APLICA">
      <formula>NOT(ISERROR(SEARCH("NO APLICA",DY4)))</formula>
    </cfRule>
    <cfRule type="containsText" dxfId="202" priority="514" operator="containsText" text="VALOR ATÍPICO">
      <formula>NOT(ISERROR(SEARCH("VALOR ATÍPICO",DY4)))</formula>
    </cfRule>
    <cfRule type="containsText" dxfId="201" priority="515" stopIfTrue="1" operator="containsText" text="COTIZA">
      <formula>NOT(ISERROR(SEARCH("COTIZA",DY4)))</formula>
    </cfRule>
  </conditionalFormatting>
  <conditionalFormatting sqref="DY7:EA7 DY9:EA10">
    <cfRule type="containsText" dxfId="200" priority="36" stopIfTrue="1" operator="containsText" text="COTIZA">
      <formula>NOT(ISERROR(SEARCH("COTIZA",DY7)))</formula>
    </cfRule>
  </conditionalFormatting>
  <conditionalFormatting sqref="DY9:EA19">
    <cfRule type="containsText" dxfId="199" priority="319" operator="containsText" text="NO COTIZA">
      <formula>NOT(ISERROR(SEARCH("NO COTIZA",DY9)))</formula>
    </cfRule>
    <cfRule type="containsText" dxfId="198" priority="320" operator="containsText" text="NO APLICA">
      <formula>NOT(ISERROR(SEARCH("NO APLICA",DY9)))</formula>
    </cfRule>
    <cfRule type="containsText" dxfId="197" priority="321" operator="containsText" text="VALOR ATÍPICO">
      <formula>NOT(ISERROR(SEARCH("VALOR ATÍPICO",DY9)))</formula>
    </cfRule>
  </conditionalFormatting>
  <conditionalFormatting sqref="DY11:EA19">
    <cfRule type="containsText" dxfId="196" priority="315" operator="containsText" text="NO COTIZA">
      <formula>NOT(ISERROR(SEARCH("NO COTIZA",DY11)))</formula>
    </cfRule>
    <cfRule type="containsText" dxfId="195" priority="316" operator="containsText" text="NO APLICA">
      <formula>NOT(ISERROR(SEARCH("NO APLICA",DY11)))</formula>
    </cfRule>
    <cfRule type="containsText" dxfId="194" priority="317" operator="containsText" text="VALOR ATÍPICO">
      <formula>NOT(ISERROR(SEARCH("VALOR ATÍPICO",DY11)))</formula>
    </cfRule>
    <cfRule type="containsText" dxfId="193" priority="318" stopIfTrue="1" operator="containsText" text="COTIZA">
      <formula>NOT(ISERROR(SEARCH("COTIZA",DY11)))</formula>
    </cfRule>
    <cfRule type="containsText" dxfId="192" priority="322" stopIfTrue="1" operator="containsText" text="COTIZA">
      <formula>NOT(ISERROR(SEARCH("COTIZA",DY11)))</formula>
    </cfRule>
  </conditionalFormatting>
  <conditionalFormatting sqref="DY104:EA104">
    <cfRule type="containsText" dxfId="191" priority="109" operator="containsText" text="NO COTIZA">
      <formula>NOT(ISERROR(SEARCH("NO COTIZA",DY104)))</formula>
    </cfRule>
    <cfRule type="containsText" dxfId="190" priority="110" operator="containsText" text="NO APLICA">
      <formula>NOT(ISERROR(SEARCH("NO APLICA",DY104)))</formula>
    </cfRule>
    <cfRule type="containsText" dxfId="189" priority="111" operator="containsText" text="VALOR ATÍPICO">
      <formula>NOT(ISERROR(SEARCH("VALOR ATÍPICO",DY104)))</formula>
    </cfRule>
    <cfRule type="containsText" dxfId="188" priority="112" stopIfTrue="1" operator="containsText" text="COTIZA">
      <formula>NOT(ISERROR(SEARCH("COTIZA",DY104)))</formula>
    </cfRule>
  </conditionalFormatting>
  <conditionalFormatting sqref="EB4:FB4 HN4:IZ4 I4:DL6 FO4:FQ38 FL4:FN40 GG4:GO61 HE4:HG100 DM4:DO102 HN5:IN6 EB5:ED40 AD7:CE7 CI7:DL7 DP7:EA8 X7:AC9 HK7:HV9 HW7:IN19 EQ7:EV56 AJ8:DL10 I9:W9 DP9:DX9 AD9:AI10 I10:AC10 I11:DL100 HB11:HD100 DV20:EA102 EB41:EG98 FL41:FZ100 GG62:GL86 GM62:GO87 EW80:EY98 EZ80:FE102 HH80:HM102 GG87:GI87 GG88:GO100 EQ99:EY102 HN99:IN102 EB99:ED103 CU101:DL102 FI101:FZ102 GD101:GX102 HB101:HG102 CU103:EA103 HB103:JO103 I104:BS104 EN101:EP102 HQ20:IN37 HW38:IB43 HQ38:HV96 HZ44:IB95 HZ96:IN96 HQ97:IN98">
    <cfRule type="containsText" dxfId="187" priority="685" operator="containsText" text="NO APLICA">
      <formula>NOT(ISERROR(SEARCH("NO APLICA",I4)))</formula>
    </cfRule>
  </conditionalFormatting>
  <conditionalFormatting sqref="EB4:FB4 HN4:IZ4 I4:DL6 FO4:FQ38 FL4:FN40 GG4:GO61 HE4:HG100 DM4:DO102 HN5:IN6 EB5:ED40 AD7:CE7 CI7:DL7 DP7:EA8 X7:AC9 HK7:HV9 HW7:IN19 EQ7:EV56 AJ8:DL10 I9:W9 DP9:DX9 AD9:AI10 I10:AC10 I11:DL100 HB11:HD100 HQ20:IN37 DV20:EA102 HW38:IB43 HQ38:HV96 EB41:EG98 FL41:FZ100 HZ44:IB95 GG62:GL86 GM62:GO87 EW80:EY98 EZ80:FE102 HH80:HM102 GG87:GI87 GG88:GO100 HZ96:IN96 HQ97:IN98 EQ99:EY102 HN99:IN102 EB99:ED103 CU101:DL102 EN101:EP102 FI101:FZ102 GD101:GX102 HB101:HG102 CU103:EA103 HB103:JO103 I104:BS104">
    <cfRule type="containsText" dxfId="186" priority="686" operator="containsText" text="VALOR ATÍPICO">
      <formula>NOT(ISERROR(SEARCH("VALOR ATÍPICO",I4)))</formula>
    </cfRule>
  </conditionalFormatting>
  <conditionalFormatting sqref="EB4:FB4 HN4:IZ4 FO4:FQ38 FL4:FN40 GG4:GO61 HE4:HG100 HN5:IN6 EB5:ED40 DP7:EA8 HK7:HV9 I7:Q10 U7:AC10 AJ7:CE10 CI7:DL10 HW7:IN19 EQ7:EV56 DP9:DX9 HB11:HD100 HQ20:IN37 DV20:EA102 AD21:CT22 DA21:DI22 I23:BS36 BZ23:DI36 BT23:BY37 CI37:CW37 HW38:IB43 AS38:AS79 BZ38:DI96 HQ38:HV96 DM38:DO102 BH39:BY95 EB41:EG98 FL41:FZ100 HZ44:IB95 GG62:GL86 GM62:GO87 EW80:EY98 EZ80:FE102 HH80:HM102 GG87:GI87 GG88:GO100 AV96:BY96 HZ96:IN96 I97:DI98 HQ97:IN98 CR99:CT100 EQ99:EY102 HN99:IN102 EB99:ED103 CF100:CQ100 CU100:DI102 EN101:EP102 FI101:FZ102 GD101:GX102 HB101:HG102 CU103:EA103 HB103:JO103 I104:BS104 FC75:FE77 EW78:FE78 FC79:FE79">
    <cfRule type="containsText" dxfId="185" priority="829" stopIfTrue="1" operator="containsText" text="COTIZA">
      <formula>NOT(ISERROR(SEARCH("COTIZA",I4)))</formula>
    </cfRule>
  </conditionalFormatting>
  <conditionalFormatting sqref="EE102:EE103">
    <cfRule type="containsText" dxfId="184" priority="72" stopIfTrue="1" operator="containsText" text="COTIZA">
      <formula>NOT(ISERROR(SEARCH("COTIZA",EE102)))</formula>
    </cfRule>
  </conditionalFormatting>
  <conditionalFormatting sqref="EE99:EG101">
    <cfRule type="containsText" dxfId="183" priority="32" operator="containsText" text="NO COTIZA">
      <formula>NOT(ISERROR(SEARCH("NO COTIZA",EE99)))</formula>
    </cfRule>
    <cfRule type="containsText" dxfId="182" priority="33" operator="containsText" text="NO APLICA">
      <formula>NOT(ISERROR(SEARCH("NO APLICA",EE99)))</formula>
    </cfRule>
    <cfRule type="containsText" dxfId="181" priority="34" operator="containsText" text="VALOR ATÍPICO">
      <formula>NOT(ISERROR(SEARCH("VALOR ATÍPICO",EE99)))</formula>
    </cfRule>
    <cfRule type="containsText" dxfId="180" priority="35" stopIfTrue="1" operator="containsText" text="COTIZA">
      <formula>NOT(ISERROR(SEARCH("COTIZA",EE99)))</formula>
    </cfRule>
  </conditionalFormatting>
  <conditionalFormatting sqref="EE5:EJ5 EE6:EG6">
    <cfRule type="containsText" dxfId="179" priority="503" operator="containsText" text="NO COTIZA">
      <formula>NOT(ISERROR(SEARCH("NO COTIZA",EE5)))</formula>
    </cfRule>
    <cfRule type="containsText" dxfId="178" priority="504" operator="containsText" text="NO APLICA">
      <formula>NOT(ISERROR(SEARCH("NO APLICA",EE5)))</formula>
    </cfRule>
    <cfRule type="containsText" dxfId="177" priority="505" operator="containsText" text="VALOR ATÍPICO">
      <formula>NOT(ISERROR(SEARCH("VALOR ATÍPICO",EE5)))</formula>
    </cfRule>
    <cfRule type="containsText" dxfId="176" priority="506" stopIfTrue="1" operator="containsText" text="COTIZA">
      <formula>NOT(ISERROR(SEARCH("COTIZA",EE5)))</formula>
    </cfRule>
  </conditionalFormatting>
  <conditionalFormatting sqref="EE5:EJ5 EE6:EG40">
    <cfRule type="containsText" dxfId="175" priority="507" operator="containsText" text="NO COTIZA">
      <formula>NOT(ISERROR(SEARCH("NO COTIZA",EE5)))</formula>
    </cfRule>
    <cfRule type="containsText" dxfId="174" priority="508" operator="containsText" text="NO APLICA">
      <formula>NOT(ISERROR(SEARCH("NO APLICA",EE5)))</formula>
    </cfRule>
    <cfRule type="containsText" dxfId="173" priority="509" operator="containsText" text="VALOR ATÍPICO">
      <formula>NOT(ISERROR(SEARCH("VALOR ATÍPICO",EE5)))</formula>
    </cfRule>
    <cfRule type="containsText" dxfId="172" priority="510" stopIfTrue="1" operator="containsText" text="COTIZA">
      <formula>NOT(ISERROR(SEARCH("COTIZA",EE5)))</formula>
    </cfRule>
  </conditionalFormatting>
  <conditionalFormatting sqref="EF102:EG103">
    <cfRule type="containsText" dxfId="171" priority="73" operator="containsText" text="NO COTIZA">
      <formula>NOT(ISERROR(SEARCH("NO COTIZA",EF102)))</formula>
    </cfRule>
    <cfRule type="containsText" dxfId="170" priority="74" operator="containsText" text="NO APLICA">
      <formula>NOT(ISERROR(SEARCH("NO APLICA",EF102)))</formula>
    </cfRule>
    <cfRule type="containsText" dxfId="169" priority="75" operator="containsText" text="VALOR ATÍPICO">
      <formula>NOT(ISERROR(SEARCH("VALOR ATÍPICO",EF102)))</formula>
    </cfRule>
    <cfRule type="containsText" dxfId="168" priority="76" stopIfTrue="1" operator="containsText" text="COTIZA">
      <formula>NOT(ISERROR(SEARCH("COTIZA",EF102)))</formula>
    </cfRule>
  </conditionalFormatting>
  <conditionalFormatting sqref="EH6:EJ103">
    <cfRule type="containsText" dxfId="167" priority="77" operator="containsText" text="NO COTIZA">
      <formula>NOT(ISERROR(SEARCH("NO COTIZA",EH6)))</formula>
    </cfRule>
    <cfRule type="containsText" dxfId="166" priority="78" operator="containsText" text="NO APLICA">
      <formula>NOT(ISERROR(SEARCH("NO APLICA",EH6)))</formula>
    </cfRule>
    <cfRule type="containsText" dxfId="165" priority="79" operator="containsText" text="VALOR ATÍPICO">
      <formula>NOT(ISERROR(SEARCH("VALOR ATÍPICO",EH6)))</formula>
    </cfRule>
    <cfRule type="containsText" dxfId="164" priority="80" stopIfTrue="1" operator="containsText" text="COTIZA">
      <formula>NOT(ISERROR(SEARCH("COTIZA",EH6)))</formula>
    </cfRule>
  </conditionalFormatting>
  <conditionalFormatting sqref="EK101:EM103">
    <cfRule type="containsText" dxfId="163" priority="69" operator="containsText" text="NO APLICA">
      <formula>NOT(ISERROR(SEARCH("NO APLICA",EK101)))</formula>
    </cfRule>
    <cfRule type="containsText" dxfId="162" priority="70" operator="containsText" text="VALOR ATÍPICO">
      <formula>NOT(ISERROR(SEARCH("VALOR ATÍPICO",EK101)))</formula>
    </cfRule>
    <cfRule type="containsText" dxfId="161" priority="71" stopIfTrue="1" operator="containsText" text="COTIZA">
      <formula>NOT(ISERROR(SEARCH("COTIZA",EK101)))</formula>
    </cfRule>
  </conditionalFormatting>
  <conditionalFormatting sqref="EK5:EP100">
    <cfRule type="containsText" dxfId="160" priority="29" operator="containsText" text="NO APLICA">
      <formula>NOT(ISERROR(SEARCH("NO APLICA",EK5)))</formula>
    </cfRule>
    <cfRule type="containsText" dxfId="159" priority="30" operator="containsText" text="VALOR ATÍPICO">
      <formula>NOT(ISERROR(SEARCH("VALOR ATÍPICO",EK5)))</formula>
    </cfRule>
    <cfRule type="containsText" dxfId="158" priority="31" stopIfTrue="1" operator="containsText" text="COTIZA">
      <formula>NOT(ISERROR(SEARCH("COTIZA",EK5)))</formula>
    </cfRule>
  </conditionalFormatting>
  <conditionalFormatting sqref="EK5:EP102">
    <cfRule type="containsText" dxfId="157" priority="28" operator="containsText" text="NO COTIZA">
      <formula>NOT(ISERROR(SEARCH("NO COTIZA",EK5)))</formula>
    </cfRule>
  </conditionalFormatting>
  <conditionalFormatting sqref="EK103:GX103">
    <cfRule type="containsText" dxfId="156" priority="60" operator="containsText" text="NO COTIZA">
      <formula>NOT(ISERROR(SEARCH("NO COTIZA",EK103)))</formula>
    </cfRule>
  </conditionalFormatting>
  <conditionalFormatting sqref="EN103:GX103">
    <cfRule type="containsText" dxfId="155" priority="61" operator="containsText" text="NO APLICA">
      <formula>NOT(ISERROR(SEARCH("NO APLICA",EN103)))</formula>
    </cfRule>
    <cfRule type="containsText" dxfId="154" priority="62" operator="containsText" text="VALOR ATÍPICO">
      <formula>NOT(ISERROR(SEARCH("VALOR ATÍPICO",EN103)))</formula>
    </cfRule>
    <cfRule type="containsText" dxfId="153" priority="63" stopIfTrue="1" operator="containsText" text="COTIZA">
      <formula>NOT(ISERROR(SEARCH("COTIZA",EN103)))</formula>
    </cfRule>
  </conditionalFormatting>
  <conditionalFormatting sqref="EQ46:ES46">
    <cfRule type="containsText" dxfId="152" priority="27" stopIfTrue="1" operator="containsText" text="COTIZA">
      <formula>NOT(ISERROR(SEARCH("COTIZA",EQ46)))</formula>
    </cfRule>
  </conditionalFormatting>
  <conditionalFormatting sqref="EQ57:EV98">
    <cfRule type="containsText" dxfId="151" priority="23" operator="containsText" text="NO COTIZA">
      <formula>NOT(ISERROR(SEARCH("NO COTIZA",EQ57)))</formula>
    </cfRule>
    <cfRule type="containsText" dxfId="150" priority="24" operator="containsText" text="NO APLICA">
      <formula>NOT(ISERROR(SEARCH("NO APLICA",EQ57)))</formula>
    </cfRule>
    <cfRule type="containsText" dxfId="149" priority="25" operator="containsText" text="VALOR ATÍPICO">
      <formula>NOT(ISERROR(SEARCH("VALOR ATÍPICO",EQ57)))</formula>
    </cfRule>
    <cfRule type="containsText" dxfId="148" priority="26" stopIfTrue="1" operator="containsText" text="COTIZA">
      <formula>NOT(ISERROR(SEARCH("COTIZA",EQ57)))</formula>
    </cfRule>
  </conditionalFormatting>
  <conditionalFormatting sqref="EQ5:FB6">
    <cfRule type="containsText" dxfId="147" priority="494" operator="containsText" text="NO COTIZA">
      <formula>NOT(ISERROR(SEARCH("NO COTIZA",EQ5)))</formula>
    </cfRule>
    <cfRule type="containsText" dxfId="146" priority="495" operator="containsText" text="NO APLICA">
      <formula>NOT(ISERROR(SEARCH("NO APLICA",EQ5)))</formula>
    </cfRule>
    <cfRule type="containsText" dxfId="145" priority="496" operator="containsText" text="VALOR ATÍPICO">
      <formula>NOT(ISERROR(SEARCH("VALOR ATÍPICO",EQ5)))</formula>
    </cfRule>
    <cfRule type="containsText" dxfId="144" priority="497" stopIfTrue="1" operator="containsText" text="COTIZA">
      <formula>NOT(ISERROR(SEARCH("COTIZA",EQ5)))</formula>
    </cfRule>
    <cfRule type="containsText" dxfId="143" priority="498" operator="containsText" text="NO COTIZA">
      <formula>NOT(ISERROR(SEARCH("NO COTIZA",EQ5)))</formula>
    </cfRule>
    <cfRule type="containsText" dxfId="142" priority="499" operator="containsText" text="NO APLICA">
      <formula>NOT(ISERROR(SEARCH("NO APLICA",EQ5)))</formula>
    </cfRule>
    <cfRule type="containsText" dxfId="141" priority="500" operator="containsText" text="VALOR ATÍPICO">
      <formula>NOT(ISERROR(SEARCH("VALOR ATÍPICO",EQ5)))</formula>
    </cfRule>
    <cfRule type="containsText" dxfId="140" priority="501" stopIfTrue="1" operator="containsText" text="COTIZA">
      <formula>NOT(ISERROR(SEARCH("COTIZA",EQ5)))</formula>
    </cfRule>
  </conditionalFormatting>
  <conditionalFormatting sqref="EW75:FB77 EW79:FB79">
    <cfRule type="containsText" dxfId="139" priority="22" stopIfTrue="1" operator="containsText" text="COTIZA">
      <formula>NOT(ISERROR(SEARCH("COTIZA",EW75)))</formula>
    </cfRule>
  </conditionalFormatting>
  <conditionalFormatting sqref="EW7:FE74">
    <cfRule type="containsText" dxfId="138" priority="313" stopIfTrue="1" operator="containsText" text="COTIZA">
      <formula>NOT(ISERROR(SEARCH("COTIZA",EW7)))</formula>
    </cfRule>
  </conditionalFormatting>
  <conditionalFormatting sqref="EW7:FE79">
    <cfRule type="containsText" dxfId="137" priority="310" operator="containsText" text="NO COTIZA">
      <formula>NOT(ISERROR(SEARCH("NO COTIZA",EW7)))</formula>
    </cfRule>
    <cfRule type="containsText" dxfId="136" priority="311" operator="containsText" text="NO APLICA">
      <formula>NOT(ISERROR(SEARCH("NO APLICA",EW7)))</formula>
    </cfRule>
    <cfRule type="containsText" dxfId="135" priority="312" operator="containsText" text="VALOR ATÍPICO">
      <formula>NOT(ISERROR(SEARCH("VALOR ATÍPICO",EW7)))</formula>
    </cfRule>
  </conditionalFormatting>
  <conditionalFormatting sqref="EZ48:FB49 EZ58:FB58 EZ65:FB65 EZ78:FB78 EZ96:FB96">
    <cfRule type="containsText" dxfId="134" priority="21" stopIfTrue="1" operator="containsText" text="COTIZA">
      <formula>NOT(ISERROR(SEARCH("COTIZA",EZ48)))</formula>
    </cfRule>
  </conditionalFormatting>
  <conditionalFormatting sqref="EZ11:FE19">
    <cfRule type="containsText" dxfId="133" priority="306" operator="containsText" text="NO COTIZA">
      <formula>NOT(ISERROR(SEARCH("NO COTIZA",EZ11)))</formula>
    </cfRule>
    <cfRule type="containsText" dxfId="132" priority="307" operator="containsText" text="NO APLICA">
      <formula>NOT(ISERROR(SEARCH("NO APLICA",EZ11)))</formula>
    </cfRule>
    <cfRule type="containsText" dxfId="131" priority="308" operator="containsText" text="VALOR ATÍPICO">
      <formula>NOT(ISERROR(SEARCH("VALOR ATÍPICO",EZ11)))</formula>
    </cfRule>
    <cfRule type="containsText" dxfId="130" priority="309" stopIfTrue="1" operator="containsText" text="COTIZA">
      <formula>NOT(ISERROR(SEARCH("COTIZA",EZ11)))</formula>
    </cfRule>
  </conditionalFormatting>
  <conditionalFormatting sqref="FC4:FE6">
    <cfRule type="containsText" dxfId="129" priority="363" operator="containsText" text="NO COTIZA">
      <formula>NOT(ISERROR(SEARCH("NO COTIZA",FC4)))</formula>
    </cfRule>
    <cfRule type="containsText" dxfId="128" priority="364" operator="containsText" text="NO APLICA">
      <formula>NOT(ISERROR(SEARCH("NO APLICA",FC4)))</formula>
    </cfRule>
    <cfRule type="containsText" dxfId="127" priority="365" operator="containsText" text="VALOR ATÍPICO">
      <formula>NOT(ISERROR(SEARCH("VALOR ATÍPICO",FC4)))</formula>
    </cfRule>
    <cfRule type="containsText" dxfId="126" priority="366" stopIfTrue="1" operator="containsText" text="COTIZA">
      <formula>NOT(ISERROR(SEARCH("COTIZA",FC4)))</formula>
    </cfRule>
  </conditionalFormatting>
  <conditionalFormatting sqref="FF4:FH102">
    <cfRule type="containsText" dxfId="125" priority="464" operator="containsText" text="NO COTIZA">
      <formula>NOT(ISERROR(SEARCH("NO COTIZA",FF4)))</formula>
    </cfRule>
    <cfRule type="containsText" dxfId="124" priority="465" operator="containsText" text="NO APLICA">
      <formula>NOT(ISERROR(SEARCH("NO APLICA",FF4)))</formula>
    </cfRule>
    <cfRule type="containsText" dxfId="123" priority="466" operator="containsText" text="VALOR ATÍPICO">
      <formula>NOT(ISERROR(SEARCH("VALOR ATÍPICO",FF4)))</formula>
    </cfRule>
    <cfRule type="containsText" dxfId="122" priority="467" stopIfTrue="1" operator="containsText" text="COTIZA">
      <formula>NOT(ISERROR(SEARCH("COTIZA",FF4)))</formula>
    </cfRule>
  </conditionalFormatting>
  <conditionalFormatting sqref="FF104:HY104">
    <cfRule type="containsText" dxfId="121" priority="84" stopIfTrue="1" operator="containsText" text="COTIZA">
      <formula>NOT(ISERROR(SEARCH("COTIZA",FF104)))</formula>
    </cfRule>
  </conditionalFormatting>
  <conditionalFormatting sqref="FF104:IE104">
    <cfRule type="containsText" dxfId="120" priority="81" operator="containsText" text="NO COTIZA">
      <formula>NOT(ISERROR(SEARCH("NO COTIZA",FF104)))</formula>
    </cfRule>
    <cfRule type="containsText" dxfId="119" priority="82" operator="containsText" text="NO APLICA">
      <formula>NOT(ISERROR(SEARCH("NO APLICA",FF104)))</formula>
    </cfRule>
    <cfRule type="containsText" dxfId="118" priority="83" operator="containsText" text="VALOR ATÍPICO">
      <formula>NOT(ISERROR(SEARCH("VALOR ATÍPICO",FF104)))</formula>
    </cfRule>
  </conditionalFormatting>
  <conditionalFormatting sqref="FI4:FK100">
    <cfRule type="containsText" dxfId="117" priority="468" operator="containsText" text="NO COTIZA">
      <formula>NOT(ISERROR(SEARCH("NO COTIZA",FI4)))</formula>
    </cfRule>
    <cfRule type="containsText" dxfId="116" priority="469" operator="containsText" text="NO APLICA">
      <formula>NOT(ISERROR(SEARCH("NO APLICA",FI4)))</formula>
    </cfRule>
    <cfRule type="containsText" dxfId="115" priority="470" operator="containsText" text="VALOR ATÍPICO">
      <formula>NOT(ISERROR(SEARCH("VALOR ATÍPICO",FI4)))</formula>
    </cfRule>
    <cfRule type="containsText" dxfId="114" priority="471" stopIfTrue="1" operator="containsText" text="COTIZA">
      <formula>NOT(ISERROR(SEARCH("COTIZA",FI4)))</formula>
    </cfRule>
  </conditionalFormatting>
  <conditionalFormatting sqref="FO38:FZ40">
    <cfRule type="containsText" dxfId="113" priority="452" operator="containsText" text="NO COTIZA">
      <formula>NOT(ISERROR(SEARCH("NO COTIZA",FO38)))</formula>
    </cfRule>
    <cfRule type="containsText" dxfId="112" priority="453" operator="containsText" text="NO APLICA">
      <formula>NOT(ISERROR(SEARCH("NO APLICA",FO38)))</formula>
    </cfRule>
    <cfRule type="containsText" dxfId="111" priority="454" operator="containsText" text="VALOR ATÍPICO">
      <formula>NOT(ISERROR(SEARCH("VALOR ATÍPICO",FO38)))</formula>
    </cfRule>
    <cfRule type="containsText" dxfId="110" priority="455" stopIfTrue="1" operator="containsText" text="COTIZA">
      <formula>NOT(ISERROR(SEARCH("COTIZA",FO38)))</formula>
    </cfRule>
  </conditionalFormatting>
  <conditionalFormatting sqref="FR4:FZ37">
    <cfRule type="containsText" dxfId="109" priority="335" operator="containsText" text="NO COTIZA">
      <formula>NOT(ISERROR(SEARCH("NO COTIZA",FR4)))</formula>
    </cfRule>
    <cfRule type="containsText" dxfId="108" priority="336" operator="containsText" text="NO APLICA">
      <formula>NOT(ISERROR(SEARCH("NO APLICA",FR4)))</formula>
    </cfRule>
    <cfRule type="containsText" dxfId="107" priority="337" operator="containsText" text="VALOR ATÍPICO">
      <formula>NOT(ISERROR(SEARCH("VALOR ATÍPICO",FR4)))</formula>
    </cfRule>
    <cfRule type="containsText" dxfId="106" priority="338" stopIfTrue="1" operator="containsText" text="COTIZA">
      <formula>NOT(ISERROR(SEARCH("COTIZA",FR4)))</formula>
    </cfRule>
  </conditionalFormatting>
  <conditionalFormatting sqref="GA4:GC102">
    <cfRule type="containsText" dxfId="105" priority="331" operator="containsText" text="NO COTIZA">
      <formula>NOT(ISERROR(SEARCH("NO COTIZA",GA4)))</formula>
    </cfRule>
    <cfRule type="containsText" dxfId="104" priority="332" operator="containsText" text="NO APLICA">
      <formula>NOT(ISERROR(SEARCH("NO APLICA",GA4)))</formula>
    </cfRule>
    <cfRule type="containsText" dxfId="103" priority="333" operator="containsText" text="VALOR ATÍPICO">
      <formula>NOT(ISERROR(SEARCH("VALOR ATÍPICO",GA4)))</formula>
    </cfRule>
    <cfRule type="containsText" dxfId="102" priority="334" stopIfTrue="1" operator="containsText" text="COTIZA">
      <formula>NOT(ISERROR(SEARCH("COTIZA",GA4)))</formula>
    </cfRule>
  </conditionalFormatting>
  <conditionalFormatting sqref="GD4:GF100">
    <cfRule type="containsText" dxfId="101" priority="327" operator="containsText" text="NO COTIZA">
      <formula>NOT(ISERROR(SEARCH("NO COTIZA",GD4)))</formula>
    </cfRule>
    <cfRule type="containsText" dxfId="100" priority="328" operator="containsText" text="NO APLICA">
      <formula>NOT(ISERROR(SEARCH("NO APLICA",GD4)))</formula>
    </cfRule>
    <cfRule type="containsText" dxfId="99" priority="329" operator="containsText" text="VALOR ATÍPICO">
      <formula>NOT(ISERROR(SEARCH("VALOR ATÍPICO",GD4)))</formula>
    </cfRule>
    <cfRule type="containsText" dxfId="98" priority="330" stopIfTrue="1" operator="containsText" text="COTIZA">
      <formula>NOT(ISERROR(SEARCH("COTIZA",GD4)))</formula>
    </cfRule>
  </conditionalFormatting>
  <conditionalFormatting sqref="GP4:GX100">
    <cfRule type="containsText" dxfId="97" priority="97" operator="containsText" text="NO COTIZA">
      <formula>NOT(ISERROR(SEARCH("NO COTIZA",GP4)))</formula>
    </cfRule>
    <cfRule type="containsText" dxfId="96" priority="98" operator="containsText" text="NO APLICA">
      <formula>NOT(ISERROR(SEARCH("NO APLICA",GP4)))</formula>
    </cfRule>
    <cfRule type="containsText" dxfId="95" priority="99" operator="containsText" text="VALOR ATÍPICO">
      <formula>NOT(ISERROR(SEARCH("VALOR ATÍPICO",GP4)))</formula>
    </cfRule>
    <cfRule type="containsText" dxfId="94" priority="100" stopIfTrue="1" operator="containsText" text="COTIZA">
      <formula>NOT(ISERROR(SEARCH("COTIZA",GP4)))</formula>
    </cfRule>
  </conditionalFormatting>
  <conditionalFormatting sqref="GY11:HA26 GY30:HA31 GY34:HA103">
    <cfRule type="containsText" dxfId="93" priority="17" operator="containsText" text="NO COTIZA">
      <formula>NOT(ISERROR(SEARCH("NO COTIZA",GY11)))</formula>
    </cfRule>
    <cfRule type="containsText" dxfId="92" priority="18" operator="containsText" text="NO APLICA">
      <formula>NOT(ISERROR(SEARCH("NO APLICA",GY11)))</formula>
    </cfRule>
    <cfRule type="containsText" dxfId="91" priority="19" operator="containsText" text="VALOR ATÍPICO">
      <formula>NOT(ISERROR(SEARCH("VALOR ATÍPICO",GY11)))</formula>
    </cfRule>
    <cfRule type="containsText" dxfId="90" priority="20" stopIfTrue="1" operator="containsText" text="COTIZA">
      <formula>NOT(ISERROR(SEARCH("COTIZA",GY11)))</formula>
    </cfRule>
  </conditionalFormatting>
  <conditionalFormatting sqref="GY27:HA30">
    <cfRule type="containsText" dxfId="89" priority="416" operator="containsText" text="NO COTIZA">
      <formula>NOT(ISERROR(SEARCH("NO COTIZA",GY27)))</formula>
    </cfRule>
    <cfRule type="containsText" dxfId="88" priority="417" operator="containsText" text="NO APLICA">
      <formula>NOT(ISERROR(SEARCH("NO APLICA",GY27)))</formula>
    </cfRule>
    <cfRule type="containsText" dxfId="87" priority="418" operator="containsText" text="VALOR ATÍPICO">
      <formula>NOT(ISERROR(SEARCH("VALOR ATÍPICO",GY27)))</formula>
    </cfRule>
    <cfRule type="containsText" dxfId="86" priority="419" stopIfTrue="1" operator="containsText" text="COTIZA">
      <formula>NOT(ISERROR(SEARCH("COTIZA",GY27)))</formula>
    </cfRule>
  </conditionalFormatting>
  <conditionalFormatting sqref="GY32:HA34">
    <cfRule type="containsText" dxfId="85" priority="448" operator="containsText" text="NO COTIZA">
      <formula>NOT(ISERROR(SEARCH("NO COTIZA",GY32)))</formula>
    </cfRule>
    <cfRule type="containsText" dxfId="84" priority="449" operator="containsText" text="NO APLICA">
      <formula>NOT(ISERROR(SEARCH("NO APLICA",GY32)))</formula>
    </cfRule>
    <cfRule type="containsText" dxfId="83" priority="450" operator="containsText" text="VALOR ATÍPICO">
      <formula>NOT(ISERROR(SEARCH("VALOR ATÍPICO",GY32)))</formula>
    </cfRule>
    <cfRule type="containsText" dxfId="82" priority="451" stopIfTrue="1" operator="containsText" text="COTIZA">
      <formula>NOT(ISERROR(SEARCH("COTIZA",GY32)))</formula>
    </cfRule>
  </conditionalFormatting>
  <conditionalFormatting sqref="GY4:HD10">
    <cfRule type="containsText" dxfId="81" priority="347" operator="containsText" text="NO COTIZA">
      <formula>NOT(ISERROR(SEARCH("NO COTIZA",GY4)))</formula>
    </cfRule>
    <cfRule type="containsText" dxfId="80" priority="348" operator="containsText" text="NO APLICA">
      <formula>NOT(ISERROR(SEARCH("NO APLICA",GY4)))</formula>
    </cfRule>
    <cfRule type="containsText" dxfId="79" priority="349" operator="containsText" text="VALOR ATÍPICO">
      <formula>NOT(ISERROR(SEARCH("VALOR ATÍPICO",GY4)))</formula>
    </cfRule>
    <cfRule type="containsText" dxfId="78" priority="350" stopIfTrue="1" operator="containsText" text="COTIZA">
      <formula>NOT(ISERROR(SEARCH("COTIZA",GY4)))</formula>
    </cfRule>
  </conditionalFormatting>
  <conditionalFormatting sqref="HH4:HJ79">
    <cfRule type="containsText" dxfId="77" priority="13" operator="containsText" text="NO COTIZA">
      <formula>NOT(ISERROR(SEARCH("NO COTIZA",HH4)))</formula>
    </cfRule>
    <cfRule type="containsText" dxfId="76" priority="14" operator="containsText" text="NO APLICA">
      <formula>NOT(ISERROR(SEARCH("NO APLICA",HH4)))</formula>
    </cfRule>
    <cfRule type="containsText" dxfId="75" priority="15" operator="containsText" text="VALOR ATÍPICO">
      <formula>NOT(ISERROR(SEARCH("VALOR ATÍPICO",HH4)))</formula>
    </cfRule>
    <cfRule type="containsText" dxfId="74" priority="16" stopIfTrue="1" operator="containsText" text="COTIZA">
      <formula>NOT(ISERROR(SEARCH("COTIZA",HH4)))</formula>
    </cfRule>
  </conditionalFormatting>
  <conditionalFormatting sqref="HK4:HM6">
    <cfRule type="containsText" dxfId="73" priority="355" operator="containsText" text="NO COTIZA">
      <formula>NOT(ISERROR(SEARCH("NO COTIZA",HK4)))</formula>
    </cfRule>
    <cfRule type="containsText" dxfId="72" priority="356" operator="containsText" text="NO APLICA">
      <formula>NOT(ISERROR(SEARCH("NO APLICA",HK4)))</formula>
    </cfRule>
    <cfRule type="containsText" dxfId="71" priority="357" operator="containsText" text="VALOR ATÍPICO">
      <formula>NOT(ISERROR(SEARCH("VALOR ATÍPICO",HK4)))</formula>
    </cfRule>
    <cfRule type="containsText" dxfId="70" priority="358" stopIfTrue="1" operator="containsText" text="COTIZA">
      <formula>NOT(ISERROR(SEARCH("COTIZA",HK4)))</formula>
    </cfRule>
  </conditionalFormatting>
  <conditionalFormatting sqref="HK10:HM79">
    <cfRule type="containsText" dxfId="69" priority="9" operator="containsText" text="NO COTIZA">
      <formula>NOT(ISERROR(SEARCH("NO COTIZA",HK10)))</formula>
    </cfRule>
    <cfRule type="containsText" dxfId="68" priority="10" operator="containsText" text="NO APLICA">
      <formula>NOT(ISERROR(SEARCH("NO APLICA",HK10)))</formula>
    </cfRule>
    <cfRule type="containsText" dxfId="67" priority="11" operator="containsText" text="VALOR ATÍPICO">
      <formula>NOT(ISERROR(SEARCH("VALOR ATÍPICO",HK10)))</formula>
    </cfRule>
    <cfRule type="containsText" dxfId="66" priority="12" stopIfTrue="1" operator="containsText" text="COTIZA">
      <formula>NOT(ISERROR(SEARCH("COTIZA",HK10)))</formula>
    </cfRule>
  </conditionalFormatting>
  <conditionalFormatting sqref="HN10:HP98">
    <cfRule type="containsText" dxfId="65" priority="85" operator="containsText" text="NO COTIZA">
      <formula>NOT(ISERROR(SEARCH("NO COTIZA",HN10)))</formula>
    </cfRule>
    <cfRule type="containsText" dxfId="64" priority="86" operator="containsText" text="NO APLICA">
      <formula>NOT(ISERROR(SEARCH("NO APLICA",HN10)))</formula>
    </cfRule>
    <cfRule type="containsText" dxfId="63" priority="87" operator="containsText" text="VALOR ATÍPICO">
      <formula>NOT(ISERROR(SEARCH("VALOR ATÍPICO",HN10)))</formula>
    </cfRule>
    <cfRule type="containsText" dxfId="62" priority="88" stopIfTrue="1" operator="containsText" text="COTIZA">
      <formula>NOT(ISERROR(SEARCH("COTIZA",HN10)))</formula>
    </cfRule>
  </conditionalFormatting>
  <conditionalFormatting sqref="HQ10:HV19">
    <cfRule type="containsText" dxfId="61" priority="5" operator="containsText" text="NO COTIZA">
      <formula>NOT(ISERROR(SEARCH("NO COTIZA",HQ10)))</formula>
    </cfRule>
    <cfRule type="containsText" dxfId="60" priority="6" operator="containsText" text="NO APLICA">
      <formula>NOT(ISERROR(SEARCH("NO APLICA",HQ10)))</formula>
    </cfRule>
    <cfRule type="containsText" dxfId="59" priority="7" operator="containsText" text="VALOR ATÍPICO">
      <formula>NOT(ISERROR(SEARCH("VALOR ATÍPICO",HQ10)))</formula>
    </cfRule>
    <cfRule type="containsText" dxfId="58" priority="8" stopIfTrue="1" operator="containsText" text="COTIZA">
      <formula>NOT(ISERROR(SEARCH("COTIZA",HQ10)))</formula>
    </cfRule>
  </conditionalFormatting>
  <conditionalFormatting sqref="HQ20:IN98">
    <cfRule type="containsText" dxfId="57" priority="1" operator="containsText" text="NO COTIZA">
      <formula>NOT(ISERROR(SEARCH("NO COTIZA",HQ20)))</formula>
    </cfRule>
  </conditionalFormatting>
  <conditionalFormatting sqref="HW44:HY96">
    <cfRule type="containsText" dxfId="56" priority="2" operator="containsText" text="NO APLICA">
      <formula>NOT(ISERROR(SEARCH("NO APLICA",HW44)))</formula>
    </cfRule>
    <cfRule type="containsText" dxfId="55" priority="3" operator="containsText" text="VALOR ATÍPICO">
      <formula>NOT(ISERROR(SEARCH("VALOR ATÍPICO",HW44)))</formula>
    </cfRule>
    <cfRule type="containsText" dxfId="54" priority="4" stopIfTrue="1" operator="containsText" text="COTIZA">
      <formula>NOT(ISERROR(SEARCH("COTIZA",HW44)))</formula>
    </cfRule>
  </conditionalFormatting>
  <conditionalFormatting sqref="HZ104:JO104">
    <cfRule type="containsText" dxfId="53" priority="261" stopIfTrue="1" operator="containsText" text="COTIZA">
      <formula>NOT(ISERROR(SEARCH("COTIZA",HZ104)))</formula>
    </cfRule>
  </conditionalFormatting>
  <conditionalFormatting sqref="IC38:IN95">
    <cfRule type="containsText" dxfId="52" priority="287" operator="containsText" text="NO APLICA">
      <formula>NOT(ISERROR(SEARCH("NO APLICA",IC38)))</formula>
    </cfRule>
    <cfRule type="containsText" dxfId="51" priority="288" operator="containsText" text="VALOR ATÍPICO">
      <formula>NOT(ISERROR(SEARCH("VALOR ATÍPICO",IC38)))</formula>
    </cfRule>
    <cfRule type="containsText" dxfId="50" priority="289" stopIfTrue="1" operator="containsText" text="COTIZA">
      <formula>NOT(ISERROR(SEARCH("COTIZA",IC38)))</formula>
    </cfRule>
  </conditionalFormatting>
  <conditionalFormatting sqref="IO5:IZ102">
    <cfRule type="containsText" dxfId="49" priority="169" operator="containsText" text="NO COTIZA">
      <formula>NOT(ISERROR(SEARCH("NO COTIZA",IO5)))</formula>
    </cfRule>
    <cfRule type="containsText" dxfId="48" priority="170" operator="containsText" text="NO APLICA">
      <formula>NOT(ISERROR(SEARCH("NO APLICA",IO5)))</formula>
    </cfRule>
    <cfRule type="containsText" dxfId="47" priority="171" operator="containsText" text="VALOR ATÍPICO">
      <formula>NOT(ISERROR(SEARCH("VALOR ATÍPICO",IO5)))</formula>
    </cfRule>
    <cfRule type="containsText" dxfId="46" priority="172" stopIfTrue="1" operator="containsText" text="COTIZA">
      <formula>NOT(ISERROR(SEARCH("COTIZA",IO5)))</formula>
    </cfRule>
  </conditionalFormatting>
  <conditionalFormatting sqref="IO104:JO104">
    <cfRule type="containsText" dxfId="45" priority="160" operator="containsText" text="NO COTIZA">
      <formula>NOT(ISERROR(SEARCH("NO COTIZA",IO104)))</formula>
    </cfRule>
    <cfRule type="containsText" dxfId="44" priority="161" operator="containsText" text="NO APLICA">
      <formula>NOT(ISERROR(SEARCH("NO APLICA",IO104)))</formula>
    </cfRule>
    <cfRule type="containsText" dxfId="43" priority="162" operator="containsText" text="VALOR ATÍPICO">
      <formula>NOT(ISERROR(SEARCH("VALOR ATÍPICO",IO104)))</formula>
    </cfRule>
  </conditionalFormatting>
  <conditionalFormatting sqref="JA4:JO102">
    <cfRule type="containsText" dxfId="42" priority="234" operator="containsText" text="NO COTIZA">
      <formula>NOT(ISERROR(SEARCH("NO COTIZA",JA4)))</formula>
    </cfRule>
    <cfRule type="containsText" dxfId="41" priority="235" operator="containsText" text="NO APLICA">
      <formula>NOT(ISERROR(SEARCH("NO APLICA",JA4)))</formula>
    </cfRule>
    <cfRule type="containsText" dxfId="40" priority="236" operator="containsText" text="VALOR ATÍPICO">
      <formula>NOT(ISERROR(SEARCH("VALOR ATÍPICO",JA4)))</formula>
    </cfRule>
    <cfRule type="containsText" dxfId="39" priority="237" stopIfTrue="1" operator="containsText" text="COTIZA">
      <formula>NOT(ISERROR(SEARCH("COTIZA",JA4)))</formula>
    </cfRule>
  </conditionalFormatting>
  <printOptions horizontalCentered="1"/>
  <pageMargins left="0.23622047244094491" right="0.23622047244094491" top="0.74803149606299213" bottom="0.74803149606299213" header="0.31496062992125984" footer="0.31496062992125984"/>
  <pageSetup paperSize="5" scale="10" firstPageNumber="0" orientation="landscape" verticalDpi="300"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BL19"/>
  <sheetViews>
    <sheetView zoomScale="80" zoomScaleNormal="80" workbookViewId="0">
      <pane xSplit="7" ySplit="3" topLeftCell="BI4" activePane="bottomRight" state="frozen"/>
      <selection activeCell="C4" sqref="C4:L7"/>
      <selection pane="topRight" activeCell="C4" sqref="C4:L7"/>
      <selection pane="bottomLeft" activeCell="C4" sqref="C4:L7"/>
      <selection pane="bottomRight" activeCell="C4" sqref="C4:L7"/>
    </sheetView>
  </sheetViews>
  <sheetFormatPr baseColWidth="10" defaultColWidth="11.42578125" defaultRowHeight="12.75" x14ac:dyDescent="0.2"/>
  <cols>
    <col min="1" max="1" width="4" style="24" customWidth="1"/>
    <col min="2" max="2" width="18.42578125" style="81" customWidth="1"/>
    <col min="3" max="3" width="24.42578125" style="24" customWidth="1"/>
    <col min="4" max="4" width="21.42578125" style="24" customWidth="1"/>
    <col min="5" max="5" width="41.42578125" style="24" customWidth="1"/>
    <col min="6" max="6" width="8.42578125" style="24" customWidth="1"/>
    <col min="7" max="7" width="33.7109375" style="24" customWidth="1"/>
    <col min="8" max="9" width="15.42578125" style="24" customWidth="1"/>
    <col min="10" max="10" width="15.42578125" style="82" customWidth="1"/>
    <col min="11" max="12" width="15.7109375" style="24" customWidth="1"/>
    <col min="13" max="13" width="15.7109375" style="82" customWidth="1"/>
    <col min="14" max="14" width="16.42578125" style="24" customWidth="1"/>
    <col min="15" max="15" width="18.42578125" style="24" customWidth="1"/>
    <col min="16" max="16" width="15.85546875" style="82" customWidth="1"/>
    <col min="17" max="18" width="15.85546875" style="24" customWidth="1"/>
    <col min="19" max="19" width="15.85546875" style="82" customWidth="1"/>
    <col min="20" max="21" width="15.85546875" style="24" customWidth="1"/>
    <col min="22" max="22" width="15.85546875" style="82" customWidth="1"/>
    <col min="23" max="24" width="15.85546875" style="24" customWidth="1"/>
    <col min="25" max="25" width="15.85546875" style="82" customWidth="1"/>
    <col min="26" max="27" width="15.85546875" style="24" customWidth="1"/>
    <col min="28" max="28" width="15.85546875" style="82" customWidth="1"/>
    <col min="29" max="30" width="15.85546875" style="24" customWidth="1"/>
    <col min="31" max="31" width="15.85546875" style="82" customWidth="1"/>
    <col min="32" max="33" width="15.85546875" style="24" customWidth="1"/>
    <col min="34" max="34" width="15.85546875" style="82" customWidth="1"/>
    <col min="35" max="36" width="15.85546875" style="24" customWidth="1"/>
    <col min="37" max="37" width="15.85546875" style="82" customWidth="1"/>
    <col min="38" max="39" width="15.85546875" style="24" customWidth="1"/>
    <col min="40" max="61" width="15.85546875" style="82" customWidth="1"/>
    <col min="62" max="62" width="18.140625" style="24" customWidth="1"/>
    <col min="63" max="63" width="24.42578125" style="82" customWidth="1"/>
    <col min="64" max="64" width="25.7109375" style="24" customWidth="1"/>
    <col min="65" max="16384" width="11.42578125" style="24"/>
  </cols>
  <sheetData>
    <row r="1" spans="1:64" ht="17.850000000000001" customHeight="1" thickBot="1" x14ac:dyDescent="0.25">
      <c r="A1" s="270" t="s">
        <v>375</v>
      </c>
      <c r="B1" s="271"/>
      <c r="C1" s="271"/>
      <c r="D1" s="271"/>
      <c r="E1" s="271"/>
      <c r="F1" s="271"/>
      <c r="G1" s="272"/>
      <c r="H1" s="260" t="s">
        <v>376</v>
      </c>
      <c r="I1" s="261"/>
      <c r="J1" s="262"/>
      <c r="K1" s="263" t="s">
        <v>377</v>
      </c>
      <c r="L1" s="264"/>
      <c r="M1" s="265"/>
      <c r="N1" s="260" t="s">
        <v>378</v>
      </c>
      <c r="O1" s="261"/>
      <c r="P1" s="262"/>
      <c r="Q1" s="260" t="s">
        <v>379</v>
      </c>
      <c r="R1" s="261"/>
      <c r="S1" s="262"/>
      <c r="T1" s="260" t="s">
        <v>380</v>
      </c>
      <c r="U1" s="261"/>
      <c r="V1" s="262"/>
      <c r="W1" s="260" t="s">
        <v>381</v>
      </c>
      <c r="X1" s="261"/>
      <c r="Y1" s="262"/>
      <c r="Z1" s="260" t="s">
        <v>382</v>
      </c>
      <c r="AA1" s="261"/>
      <c r="AB1" s="262"/>
      <c r="AC1" s="260" t="s">
        <v>383</v>
      </c>
      <c r="AD1" s="261"/>
      <c r="AE1" s="262"/>
      <c r="AF1" s="260" t="s">
        <v>384</v>
      </c>
      <c r="AG1" s="261"/>
      <c r="AH1" s="262"/>
      <c r="AI1" s="260" t="s">
        <v>385</v>
      </c>
      <c r="AJ1" s="261"/>
      <c r="AK1" s="262"/>
      <c r="AL1" s="260" t="s">
        <v>386</v>
      </c>
      <c r="AM1" s="261"/>
      <c r="AN1" s="262"/>
      <c r="AO1" s="263" t="s">
        <v>387</v>
      </c>
      <c r="AP1" s="264"/>
      <c r="AQ1" s="265"/>
      <c r="AR1" s="260" t="s">
        <v>388</v>
      </c>
      <c r="AS1" s="261"/>
      <c r="AT1" s="262"/>
      <c r="AU1" s="263" t="s">
        <v>389</v>
      </c>
      <c r="AV1" s="264"/>
      <c r="AW1" s="265"/>
      <c r="AX1" s="263" t="s">
        <v>390</v>
      </c>
      <c r="AY1" s="264"/>
      <c r="AZ1" s="265"/>
      <c r="BA1" s="263" t="s">
        <v>391</v>
      </c>
      <c r="BB1" s="264"/>
      <c r="BC1" s="265"/>
      <c r="BD1" s="263" t="s">
        <v>392</v>
      </c>
      <c r="BE1" s="264"/>
      <c r="BF1" s="265"/>
      <c r="BG1" s="263" t="s">
        <v>393</v>
      </c>
      <c r="BH1" s="264"/>
      <c r="BI1" s="265"/>
      <c r="BJ1" s="266" t="s">
        <v>433</v>
      </c>
      <c r="BK1" s="268" t="s">
        <v>434</v>
      </c>
      <c r="BL1" s="268" t="s">
        <v>435</v>
      </c>
    </row>
    <row r="2" spans="1:64" ht="57.75" customHeight="1" thickBot="1" x14ac:dyDescent="0.25">
      <c r="A2" s="257" t="s">
        <v>728</v>
      </c>
      <c r="B2" s="258"/>
      <c r="C2" s="258"/>
      <c r="D2" s="258"/>
      <c r="E2" s="258"/>
      <c r="F2" s="258"/>
      <c r="G2" s="259"/>
      <c r="H2" s="243" t="s">
        <v>727</v>
      </c>
      <c r="I2" s="244"/>
      <c r="J2" s="245"/>
      <c r="K2" s="243" t="s">
        <v>726</v>
      </c>
      <c r="L2" s="244"/>
      <c r="M2" s="245"/>
      <c r="N2" s="243" t="s">
        <v>725</v>
      </c>
      <c r="O2" s="244"/>
      <c r="P2" s="245"/>
      <c r="Q2" s="243" t="s">
        <v>628</v>
      </c>
      <c r="R2" s="244"/>
      <c r="S2" s="245"/>
      <c r="T2" s="243" t="s">
        <v>724</v>
      </c>
      <c r="U2" s="244"/>
      <c r="V2" s="245"/>
      <c r="W2" s="243" t="s">
        <v>723</v>
      </c>
      <c r="X2" s="244"/>
      <c r="Y2" s="245"/>
      <c r="Z2" s="243" t="s">
        <v>627</v>
      </c>
      <c r="AA2" s="244"/>
      <c r="AB2" s="245"/>
      <c r="AC2" s="243" t="s">
        <v>722</v>
      </c>
      <c r="AD2" s="244"/>
      <c r="AE2" s="245"/>
      <c r="AF2" s="243" t="s">
        <v>721</v>
      </c>
      <c r="AG2" s="244"/>
      <c r="AH2" s="245"/>
      <c r="AI2" s="243" t="s">
        <v>720</v>
      </c>
      <c r="AJ2" s="244"/>
      <c r="AK2" s="245"/>
      <c r="AL2" s="243" t="s">
        <v>719</v>
      </c>
      <c r="AM2" s="244"/>
      <c r="AN2" s="244"/>
      <c r="AO2" s="243" t="s">
        <v>718</v>
      </c>
      <c r="AP2" s="244"/>
      <c r="AQ2" s="245"/>
      <c r="AR2" s="243" t="s">
        <v>451</v>
      </c>
      <c r="AS2" s="244"/>
      <c r="AT2" s="245"/>
      <c r="AU2" s="243" t="s">
        <v>458</v>
      </c>
      <c r="AV2" s="244"/>
      <c r="AW2" s="245"/>
      <c r="AX2" s="243" t="s">
        <v>462</v>
      </c>
      <c r="AY2" s="244"/>
      <c r="AZ2" s="245"/>
      <c r="BA2" s="243" t="s">
        <v>468</v>
      </c>
      <c r="BB2" s="244"/>
      <c r="BC2" s="245"/>
      <c r="BD2" s="243" t="s">
        <v>475</v>
      </c>
      <c r="BE2" s="244"/>
      <c r="BF2" s="245"/>
      <c r="BG2" s="243" t="s">
        <v>479</v>
      </c>
      <c r="BH2" s="244"/>
      <c r="BI2" s="245"/>
      <c r="BJ2" s="285"/>
      <c r="BK2" s="269"/>
      <c r="BL2" s="269"/>
    </row>
    <row r="3" spans="1:64" s="38" customFormat="1" ht="36.75" customHeight="1" thickBot="1" x14ac:dyDescent="0.25">
      <c r="A3" s="23" t="s">
        <v>0</v>
      </c>
      <c r="B3" s="22" t="s">
        <v>10</v>
      </c>
      <c r="C3" s="22" t="s">
        <v>494</v>
      </c>
      <c r="D3" s="22" t="s">
        <v>495</v>
      </c>
      <c r="E3" s="22" t="s">
        <v>496</v>
      </c>
      <c r="F3" s="22" t="s">
        <v>86</v>
      </c>
      <c r="G3" s="23" t="s">
        <v>497</v>
      </c>
      <c r="H3" s="26" t="s">
        <v>498</v>
      </c>
      <c r="I3" s="27" t="s">
        <v>499</v>
      </c>
      <c r="J3" s="26" t="s">
        <v>500</v>
      </c>
      <c r="K3" s="28" t="s">
        <v>498</v>
      </c>
      <c r="L3" s="29" t="s">
        <v>499</v>
      </c>
      <c r="M3" s="28" t="s">
        <v>500</v>
      </c>
      <c r="N3" s="28" t="s">
        <v>498</v>
      </c>
      <c r="O3" s="29" t="s">
        <v>499</v>
      </c>
      <c r="P3" s="28" t="s">
        <v>500</v>
      </c>
      <c r="Q3" s="28" t="s">
        <v>498</v>
      </c>
      <c r="R3" s="29" t="s">
        <v>499</v>
      </c>
      <c r="S3" s="28" t="s">
        <v>500</v>
      </c>
      <c r="T3" s="28" t="s">
        <v>498</v>
      </c>
      <c r="U3" s="29" t="s">
        <v>499</v>
      </c>
      <c r="V3" s="28" t="s">
        <v>500</v>
      </c>
      <c r="W3" s="28" t="s">
        <v>498</v>
      </c>
      <c r="X3" s="29" t="s">
        <v>499</v>
      </c>
      <c r="Y3" s="28" t="s">
        <v>500</v>
      </c>
      <c r="Z3" s="26" t="s">
        <v>498</v>
      </c>
      <c r="AA3" s="27" t="s">
        <v>499</v>
      </c>
      <c r="AB3" s="26" t="s">
        <v>500</v>
      </c>
      <c r="AC3" s="28" t="s">
        <v>498</v>
      </c>
      <c r="AD3" s="29" t="s">
        <v>499</v>
      </c>
      <c r="AE3" s="28" t="s">
        <v>500</v>
      </c>
      <c r="AF3" s="28" t="s">
        <v>498</v>
      </c>
      <c r="AG3" s="29" t="s">
        <v>499</v>
      </c>
      <c r="AH3" s="28" t="s">
        <v>500</v>
      </c>
      <c r="AI3" s="28" t="s">
        <v>498</v>
      </c>
      <c r="AJ3" s="29" t="s">
        <v>499</v>
      </c>
      <c r="AK3" s="28" t="s">
        <v>500</v>
      </c>
      <c r="AL3" s="28" t="s">
        <v>498</v>
      </c>
      <c r="AM3" s="29" t="s">
        <v>499</v>
      </c>
      <c r="AN3" s="30" t="s">
        <v>500</v>
      </c>
      <c r="AO3" s="28" t="s">
        <v>498</v>
      </c>
      <c r="AP3" s="29" t="s">
        <v>499</v>
      </c>
      <c r="AQ3" s="28" t="s">
        <v>500</v>
      </c>
      <c r="AR3" s="28" t="s">
        <v>498</v>
      </c>
      <c r="AS3" s="29" t="s">
        <v>499</v>
      </c>
      <c r="AT3" s="28" t="s">
        <v>500</v>
      </c>
      <c r="AU3" s="28" t="s">
        <v>498</v>
      </c>
      <c r="AV3" s="29" t="s">
        <v>499</v>
      </c>
      <c r="AW3" s="28" t="s">
        <v>500</v>
      </c>
      <c r="AX3" s="28" t="s">
        <v>498</v>
      </c>
      <c r="AY3" s="29" t="s">
        <v>499</v>
      </c>
      <c r="AZ3" s="28" t="s">
        <v>500</v>
      </c>
      <c r="BA3" s="28" t="s">
        <v>498</v>
      </c>
      <c r="BB3" s="29" t="s">
        <v>499</v>
      </c>
      <c r="BC3" s="28" t="s">
        <v>500</v>
      </c>
      <c r="BD3" s="28" t="s">
        <v>498</v>
      </c>
      <c r="BE3" s="29" t="s">
        <v>499</v>
      </c>
      <c r="BF3" s="28" t="s">
        <v>500</v>
      </c>
      <c r="BG3" s="28" t="s">
        <v>498</v>
      </c>
      <c r="BH3" s="29" t="s">
        <v>499</v>
      </c>
      <c r="BI3" s="28" t="s">
        <v>500</v>
      </c>
      <c r="BJ3" s="34"/>
      <c r="BK3" s="36"/>
      <c r="BL3" s="200"/>
    </row>
    <row r="4" spans="1:64" ht="159.75" customHeight="1" x14ac:dyDescent="0.2">
      <c r="A4" s="42">
        <v>1</v>
      </c>
      <c r="B4" s="210" t="s">
        <v>692</v>
      </c>
      <c r="C4" s="230" t="s">
        <v>717</v>
      </c>
      <c r="D4" s="229">
        <v>44121706</v>
      </c>
      <c r="E4" s="228" t="s">
        <v>716</v>
      </c>
      <c r="F4" s="207" t="s">
        <v>701</v>
      </c>
      <c r="G4" s="206"/>
      <c r="H4" s="42" t="s">
        <v>502</v>
      </c>
      <c r="I4" s="42" t="s">
        <v>502</v>
      </c>
      <c r="J4" s="42" t="s">
        <v>502</v>
      </c>
      <c r="K4" s="232">
        <f>9600/1.19</f>
        <v>8067.226890756303</v>
      </c>
      <c r="L4" s="232">
        <f>+K4*19%</f>
        <v>1532.7731092436975</v>
      </c>
      <c r="M4" s="231">
        <f>+K4+L4</f>
        <v>9600</v>
      </c>
      <c r="N4" s="232">
        <f>SUM(10500)/1.19</f>
        <v>8823.5294117647063</v>
      </c>
      <c r="O4" s="232">
        <f>+N4*19%</f>
        <v>1676.4705882352941</v>
      </c>
      <c r="P4" s="231">
        <f>+N4+O4</f>
        <v>10500</v>
      </c>
      <c r="Q4" s="42" t="s">
        <v>502</v>
      </c>
      <c r="R4" s="42" t="s">
        <v>502</v>
      </c>
      <c r="S4" s="42" t="s">
        <v>502</v>
      </c>
      <c r="T4" s="232" t="s">
        <v>511</v>
      </c>
      <c r="U4" s="232" t="s">
        <v>511</v>
      </c>
      <c r="V4" s="232" t="s">
        <v>511</v>
      </c>
      <c r="W4" s="232">
        <f>SUM(11900)/1.19</f>
        <v>10000</v>
      </c>
      <c r="X4" s="232">
        <f>+W4*19%</f>
        <v>1900</v>
      </c>
      <c r="Y4" s="231">
        <f>+W4+X4</f>
        <v>11900</v>
      </c>
      <c r="Z4" s="42" t="s">
        <v>502</v>
      </c>
      <c r="AA4" s="42" t="s">
        <v>502</v>
      </c>
      <c r="AB4" s="42" t="s">
        <v>502</v>
      </c>
      <c r="AC4" s="42" t="s">
        <v>502</v>
      </c>
      <c r="AD4" s="42" t="s">
        <v>502</v>
      </c>
      <c r="AE4" s="42" t="s">
        <v>502</v>
      </c>
      <c r="AF4" s="42" t="s">
        <v>502</v>
      </c>
      <c r="AG4" s="42" t="s">
        <v>502</v>
      </c>
      <c r="AH4" s="42" t="s">
        <v>502</v>
      </c>
      <c r="AI4" s="42" t="s">
        <v>502</v>
      </c>
      <c r="AJ4" s="42" t="s">
        <v>502</v>
      </c>
      <c r="AK4" s="42" t="s">
        <v>502</v>
      </c>
      <c r="AL4" s="42" t="s">
        <v>502</v>
      </c>
      <c r="AM4" s="42" t="s">
        <v>502</v>
      </c>
      <c r="AN4" s="42" t="s">
        <v>502</v>
      </c>
      <c r="AO4" s="42" t="s">
        <v>502</v>
      </c>
      <c r="AP4" s="42" t="s">
        <v>502</v>
      </c>
      <c r="AQ4" s="42" t="s">
        <v>502</v>
      </c>
      <c r="AR4" s="42" t="s">
        <v>502</v>
      </c>
      <c r="AS4" s="42" t="s">
        <v>502</v>
      </c>
      <c r="AT4" s="42" t="s">
        <v>502</v>
      </c>
      <c r="AU4" s="42" t="s">
        <v>502</v>
      </c>
      <c r="AV4" s="42" t="s">
        <v>502</v>
      </c>
      <c r="AW4" s="42" t="s">
        <v>502</v>
      </c>
      <c r="AX4" s="42" t="s">
        <v>502</v>
      </c>
      <c r="AY4" s="42" t="s">
        <v>502</v>
      </c>
      <c r="AZ4" s="42" t="s">
        <v>502</v>
      </c>
      <c r="BA4" s="42" t="s">
        <v>502</v>
      </c>
      <c r="BB4" s="42" t="s">
        <v>502</v>
      </c>
      <c r="BC4" s="42" t="s">
        <v>502</v>
      </c>
      <c r="BD4" s="42" t="s">
        <v>502</v>
      </c>
      <c r="BE4" s="42" t="s">
        <v>502</v>
      </c>
      <c r="BF4" s="42" t="s">
        <v>502</v>
      </c>
      <c r="BG4" s="42" t="s">
        <v>502</v>
      </c>
      <c r="BH4" s="42" t="s">
        <v>502</v>
      </c>
      <c r="BI4" s="42" t="s">
        <v>502</v>
      </c>
      <c r="BJ4" s="203">
        <f t="shared" ref="BJ4:BJ17" si="0">COUNT(J4,M4,P4,S4,V4,Y4,AB4,AE4,AH4,AK4,AN4,AQ4,AT4,AW4,AZ4,BC4,BF4,BI4)</f>
        <v>3</v>
      </c>
      <c r="BK4" s="202">
        <f t="shared" ref="BK4:BK17" si="1">AVERAGE(J4,M4,P4,S4,V4,Y4,AB4,AE4,AH4,AK4,AN4,AQ4,AT4,AW4,AZ4,BC4,BF4,BI4)</f>
        <v>10666.666666666666</v>
      </c>
      <c r="BL4" s="201">
        <f t="shared" ref="BL4:BL17" si="2">_xlfn.CEILING.MATH(BK4,50)</f>
        <v>10700</v>
      </c>
    </row>
    <row r="5" spans="1:64" ht="131.25" customHeight="1" x14ac:dyDescent="0.2">
      <c r="A5" s="42">
        <v>2</v>
      </c>
      <c r="B5" s="210" t="s">
        <v>692</v>
      </c>
      <c r="C5" s="233" t="s">
        <v>715</v>
      </c>
      <c r="D5" s="229">
        <v>44121619</v>
      </c>
      <c r="E5" s="234" t="s">
        <v>714</v>
      </c>
      <c r="F5" s="207" t="s">
        <v>701</v>
      </c>
      <c r="G5" s="206"/>
      <c r="H5" s="42" t="s">
        <v>502</v>
      </c>
      <c r="I5" s="42" t="s">
        <v>502</v>
      </c>
      <c r="J5" s="42" t="s">
        <v>502</v>
      </c>
      <c r="K5" s="232">
        <f>SUM(13200/2)/1.19</f>
        <v>5546.2184873949582</v>
      </c>
      <c r="L5" s="232">
        <f>+K5*19%</f>
        <v>1053.7815126050421</v>
      </c>
      <c r="M5" s="231">
        <f>+K5+L5</f>
        <v>6600</v>
      </c>
      <c r="N5" s="42" t="s">
        <v>502</v>
      </c>
      <c r="O5" s="42" t="s">
        <v>502</v>
      </c>
      <c r="P5" s="42" t="s">
        <v>502</v>
      </c>
      <c r="Q5" s="42" t="s">
        <v>502</v>
      </c>
      <c r="R5" s="42" t="s">
        <v>502</v>
      </c>
      <c r="S5" s="42" t="s">
        <v>502</v>
      </c>
      <c r="T5" s="232">
        <f>SUM(7614/2)/1.19</f>
        <v>3199.1596638655465</v>
      </c>
      <c r="U5" s="232">
        <f>+T5*19%</f>
        <v>607.84033613445388</v>
      </c>
      <c r="V5" s="231">
        <f>+T5+U5</f>
        <v>3807.0000000000005</v>
      </c>
      <c r="W5" s="42" t="s">
        <v>502</v>
      </c>
      <c r="X5" s="42" t="s">
        <v>502</v>
      </c>
      <c r="Y5" s="42" t="s">
        <v>502</v>
      </c>
      <c r="Z5" s="42" t="s">
        <v>502</v>
      </c>
      <c r="AA5" s="42" t="s">
        <v>502</v>
      </c>
      <c r="AB5" s="42" t="s">
        <v>502</v>
      </c>
      <c r="AC5" s="232">
        <f>SUM(6240/2)/1.19</f>
        <v>2621.8487394957983</v>
      </c>
      <c r="AD5" s="232">
        <f>+AC5*19%</f>
        <v>498.15126050420167</v>
      </c>
      <c r="AE5" s="231">
        <f>+AC5+AD5</f>
        <v>3120</v>
      </c>
      <c r="AF5" s="42" t="s">
        <v>502</v>
      </c>
      <c r="AG5" s="42" t="s">
        <v>502</v>
      </c>
      <c r="AH5" s="42" t="s">
        <v>502</v>
      </c>
      <c r="AI5" s="42" t="s">
        <v>502</v>
      </c>
      <c r="AJ5" s="42" t="s">
        <v>502</v>
      </c>
      <c r="AK5" s="42" t="s">
        <v>502</v>
      </c>
      <c r="AL5" s="42" t="s">
        <v>502</v>
      </c>
      <c r="AM5" s="42" t="s">
        <v>502</v>
      </c>
      <c r="AN5" s="42" t="s">
        <v>502</v>
      </c>
      <c r="AO5" s="42" t="s">
        <v>502</v>
      </c>
      <c r="AP5" s="42" t="s">
        <v>502</v>
      </c>
      <c r="AQ5" s="42" t="s">
        <v>502</v>
      </c>
      <c r="AR5" s="42" t="s">
        <v>502</v>
      </c>
      <c r="AS5" s="42" t="s">
        <v>502</v>
      </c>
      <c r="AT5" s="42" t="s">
        <v>502</v>
      </c>
      <c r="AU5" s="42" t="s">
        <v>502</v>
      </c>
      <c r="AV5" s="42" t="s">
        <v>502</v>
      </c>
      <c r="AW5" s="42" t="s">
        <v>502</v>
      </c>
      <c r="AX5" s="42" t="s">
        <v>502</v>
      </c>
      <c r="AY5" s="42" t="s">
        <v>502</v>
      </c>
      <c r="AZ5" s="42" t="s">
        <v>502</v>
      </c>
      <c r="BA5" s="42" t="s">
        <v>502</v>
      </c>
      <c r="BB5" s="42" t="s">
        <v>502</v>
      </c>
      <c r="BC5" s="42" t="s">
        <v>502</v>
      </c>
      <c r="BD5" s="42" t="s">
        <v>502</v>
      </c>
      <c r="BE5" s="42" t="s">
        <v>502</v>
      </c>
      <c r="BF5" s="42" t="s">
        <v>502</v>
      </c>
      <c r="BG5" s="42" t="s">
        <v>502</v>
      </c>
      <c r="BH5" s="42" t="s">
        <v>502</v>
      </c>
      <c r="BI5" s="42" t="s">
        <v>502</v>
      </c>
      <c r="BJ5" s="203">
        <f t="shared" si="0"/>
        <v>3</v>
      </c>
      <c r="BK5" s="202">
        <f t="shared" si="1"/>
        <v>4509</v>
      </c>
      <c r="BL5" s="201">
        <f t="shared" si="2"/>
        <v>4550</v>
      </c>
    </row>
    <row r="6" spans="1:64" ht="111.75" customHeight="1" x14ac:dyDescent="0.2">
      <c r="A6" s="42">
        <v>3</v>
      </c>
      <c r="B6" s="210" t="s">
        <v>692</v>
      </c>
      <c r="C6" s="230" t="s">
        <v>713</v>
      </c>
      <c r="D6" s="229">
        <v>44121804</v>
      </c>
      <c r="E6" s="228" t="s">
        <v>712</v>
      </c>
      <c r="F6" s="207" t="s">
        <v>701</v>
      </c>
      <c r="G6" s="206"/>
      <c r="H6" s="42" t="s">
        <v>502</v>
      </c>
      <c r="I6" s="42" t="s">
        <v>502</v>
      </c>
      <c r="J6" s="42" t="s">
        <v>502</v>
      </c>
      <c r="K6" s="232">
        <f>SUM(36000)/1.19</f>
        <v>30252.100840336137</v>
      </c>
      <c r="L6" s="232">
        <f>+K6*19%</f>
        <v>5747.8991596638662</v>
      </c>
      <c r="M6" s="231">
        <f>+K6+L6</f>
        <v>36000</v>
      </c>
      <c r="N6" s="42" t="s">
        <v>502</v>
      </c>
      <c r="O6" s="42" t="s">
        <v>502</v>
      </c>
      <c r="P6" s="42" t="s">
        <v>502</v>
      </c>
      <c r="Q6" s="42" t="s">
        <v>502</v>
      </c>
      <c r="R6" s="42" t="s">
        <v>502</v>
      </c>
      <c r="S6" s="42" t="s">
        <v>502</v>
      </c>
      <c r="T6" s="42" t="s">
        <v>502</v>
      </c>
      <c r="U6" s="42" t="s">
        <v>502</v>
      </c>
      <c r="V6" s="42" t="s">
        <v>502</v>
      </c>
      <c r="W6" s="42" t="s">
        <v>502</v>
      </c>
      <c r="X6" s="42" t="s">
        <v>502</v>
      </c>
      <c r="Y6" s="42" t="s">
        <v>502</v>
      </c>
      <c r="Z6" s="42" t="s">
        <v>502</v>
      </c>
      <c r="AA6" s="42" t="s">
        <v>502</v>
      </c>
      <c r="AB6" s="42" t="s">
        <v>502</v>
      </c>
      <c r="AC6" s="42" t="s">
        <v>502</v>
      </c>
      <c r="AD6" s="42" t="s">
        <v>502</v>
      </c>
      <c r="AE6" s="42" t="s">
        <v>502</v>
      </c>
      <c r="AF6" s="232">
        <f>SUM(18500)/1.19</f>
        <v>15546.218487394959</v>
      </c>
      <c r="AG6" s="232">
        <f>+AF6*19%</f>
        <v>2953.7815126050423</v>
      </c>
      <c r="AH6" s="231">
        <f>+AF6+AG6</f>
        <v>18500</v>
      </c>
      <c r="AI6" s="232">
        <f>SUM(22700)/1.19</f>
        <v>19075.63025210084</v>
      </c>
      <c r="AJ6" s="232">
        <f>+AI6*19%</f>
        <v>3624.3697478991598</v>
      </c>
      <c r="AK6" s="231">
        <f>+AI6+AJ6</f>
        <v>22700</v>
      </c>
      <c r="AL6" s="42" t="s">
        <v>502</v>
      </c>
      <c r="AM6" s="42" t="s">
        <v>502</v>
      </c>
      <c r="AN6" s="42" t="s">
        <v>502</v>
      </c>
      <c r="AO6" s="42" t="s">
        <v>502</v>
      </c>
      <c r="AP6" s="42" t="s">
        <v>502</v>
      </c>
      <c r="AQ6" s="42" t="s">
        <v>502</v>
      </c>
      <c r="AR6" s="42" t="s">
        <v>502</v>
      </c>
      <c r="AS6" s="42" t="s">
        <v>502</v>
      </c>
      <c r="AT6" s="42" t="s">
        <v>502</v>
      </c>
      <c r="AU6" s="42" t="s">
        <v>502</v>
      </c>
      <c r="AV6" s="42" t="s">
        <v>502</v>
      </c>
      <c r="AW6" s="42" t="s">
        <v>502</v>
      </c>
      <c r="AX6" s="42" t="s">
        <v>502</v>
      </c>
      <c r="AY6" s="42" t="s">
        <v>502</v>
      </c>
      <c r="AZ6" s="42" t="s">
        <v>502</v>
      </c>
      <c r="BA6" s="42" t="s">
        <v>502</v>
      </c>
      <c r="BB6" s="42" t="s">
        <v>502</v>
      </c>
      <c r="BC6" s="42" t="s">
        <v>502</v>
      </c>
      <c r="BD6" s="42" t="s">
        <v>502</v>
      </c>
      <c r="BE6" s="42" t="s">
        <v>502</v>
      </c>
      <c r="BF6" s="42" t="s">
        <v>502</v>
      </c>
      <c r="BG6" s="42" t="s">
        <v>502</v>
      </c>
      <c r="BH6" s="42" t="s">
        <v>502</v>
      </c>
      <c r="BI6" s="42" t="s">
        <v>502</v>
      </c>
      <c r="BJ6" s="203">
        <f t="shared" si="0"/>
        <v>3</v>
      </c>
      <c r="BK6" s="202">
        <f t="shared" si="1"/>
        <v>25733.333333333332</v>
      </c>
      <c r="BL6" s="201">
        <f t="shared" si="2"/>
        <v>25750</v>
      </c>
    </row>
    <row r="7" spans="1:64" ht="162" customHeight="1" x14ac:dyDescent="0.2">
      <c r="A7" s="42">
        <v>4</v>
      </c>
      <c r="B7" s="210" t="s">
        <v>692</v>
      </c>
      <c r="C7" s="230" t="s">
        <v>711</v>
      </c>
      <c r="D7" s="229">
        <v>14111514</v>
      </c>
      <c r="E7" s="228" t="s">
        <v>710</v>
      </c>
      <c r="F7" s="207" t="s">
        <v>120</v>
      </c>
      <c r="G7" s="206"/>
      <c r="H7" s="42" t="s">
        <v>502</v>
      </c>
      <c r="I7" s="42" t="s">
        <v>502</v>
      </c>
      <c r="J7" s="42" t="s">
        <v>502</v>
      </c>
      <c r="K7" s="42" t="s">
        <v>502</v>
      </c>
      <c r="L7" s="42" t="s">
        <v>502</v>
      </c>
      <c r="M7" s="42" t="s">
        <v>502</v>
      </c>
      <c r="N7" s="232">
        <f>SUM(5500)/1.19</f>
        <v>4621.8487394957983</v>
      </c>
      <c r="O7" s="232">
        <f>+N7*19%</f>
        <v>878.15126050420167</v>
      </c>
      <c r="P7" s="231">
        <f>+N7+O7</f>
        <v>5500</v>
      </c>
      <c r="Q7" s="42" t="s">
        <v>502</v>
      </c>
      <c r="R7" s="42" t="s">
        <v>502</v>
      </c>
      <c r="S7" s="42" t="s">
        <v>502</v>
      </c>
      <c r="T7" s="42" t="s">
        <v>502</v>
      </c>
      <c r="U7" s="42" t="s">
        <v>502</v>
      </c>
      <c r="V7" s="42" t="s">
        <v>502</v>
      </c>
      <c r="W7" s="232">
        <f>SUM(5250)/1.19</f>
        <v>4411.7647058823532</v>
      </c>
      <c r="X7" s="232">
        <f>+W7*19%</f>
        <v>838.23529411764707</v>
      </c>
      <c r="Y7" s="231">
        <f>+W7+X7</f>
        <v>5250</v>
      </c>
      <c r="Z7" s="42" t="s">
        <v>502</v>
      </c>
      <c r="AA7" s="42" t="s">
        <v>502</v>
      </c>
      <c r="AB7" s="42" t="s">
        <v>502</v>
      </c>
      <c r="AC7" s="42" t="s">
        <v>502</v>
      </c>
      <c r="AD7" s="42" t="s">
        <v>502</v>
      </c>
      <c r="AE7" s="42" t="s">
        <v>502</v>
      </c>
      <c r="AF7" s="42" t="s">
        <v>502</v>
      </c>
      <c r="AG7" s="42" t="s">
        <v>502</v>
      </c>
      <c r="AH7" s="42" t="s">
        <v>502</v>
      </c>
      <c r="AI7" s="42" t="s">
        <v>502</v>
      </c>
      <c r="AJ7" s="42" t="s">
        <v>502</v>
      </c>
      <c r="AK7" s="42" t="s">
        <v>502</v>
      </c>
      <c r="AL7" s="232">
        <f>SUM(5900)/1.19</f>
        <v>4957.9831932773113</v>
      </c>
      <c r="AM7" s="232">
        <f>+AL7*19%</f>
        <v>942.01680672268913</v>
      </c>
      <c r="AN7" s="231">
        <f>+AL7+AM7</f>
        <v>5900</v>
      </c>
      <c r="AO7" s="42" t="s">
        <v>502</v>
      </c>
      <c r="AP7" s="42" t="s">
        <v>502</v>
      </c>
      <c r="AQ7" s="42" t="s">
        <v>502</v>
      </c>
      <c r="AR7" s="42" t="s">
        <v>502</v>
      </c>
      <c r="AS7" s="42" t="s">
        <v>502</v>
      </c>
      <c r="AT7" s="42" t="s">
        <v>502</v>
      </c>
      <c r="AU7" s="42" t="s">
        <v>502</v>
      </c>
      <c r="AV7" s="42" t="s">
        <v>502</v>
      </c>
      <c r="AW7" s="42" t="s">
        <v>502</v>
      </c>
      <c r="AX7" s="42" t="s">
        <v>502</v>
      </c>
      <c r="AY7" s="42" t="s">
        <v>502</v>
      </c>
      <c r="AZ7" s="42" t="s">
        <v>502</v>
      </c>
      <c r="BA7" s="42" t="s">
        <v>502</v>
      </c>
      <c r="BB7" s="42" t="s">
        <v>502</v>
      </c>
      <c r="BC7" s="42" t="s">
        <v>502</v>
      </c>
      <c r="BD7" s="42" t="s">
        <v>502</v>
      </c>
      <c r="BE7" s="42" t="s">
        <v>502</v>
      </c>
      <c r="BF7" s="42" t="s">
        <v>502</v>
      </c>
      <c r="BG7" s="42" t="s">
        <v>502</v>
      </c>
      <c r="BH7" s="42" t="s">
        <v>502</v>
      </c>
      <c r="BI7" s="42" t="s">
        <v>502</v>
      </c>
      <c r="BJ7" s="203">
        <f t="shared" si="0"/>
        <v>3</v>
      </c>
      <c r="BK7" s="202">
        <f t="shared" si="1"/>
        <v>5550</v>
      </c>
      <c r="BL7" s="201">
        <f t="shared" si="2"/>
        <v>5550</v>
      </c>
    </row>
    <row r="8" spans="1:64" ht="146.25" customHeight="1" x14ac:dyDescent="0.2">
      <c r="A8" s="42">
        <v>5</v>
      </c>
      <c r="B8" s="210" t="s">
        <v>692</v>
      </c>
      <c r="C8" s="233" t="s">
        <v>709</v>
      </c>
      <c r="D8" s="229">
        <v>14111500</v>
      </c>
      <c r="E8" s="228" t="s">
        <v>708</v>
      </c>
      <c r="F8" s="207" t="s">
        <v>120</v>
      </c>
      <c r="G8" s="206"/>
      <c r="H8" s="42" t="s">
        <v>502</v>
      </c>
      <c r="I8" s="42" t="s">
        <v>502</v>
      </c>
      <c r="J8" s="42" t="s">
        <v>502</v>
      </c>
      <c r="K8" s="232">
        <f>SUM(26600)/1.19</f>
        <v>22352.941176470591</v>
      </c>
      <c r="L8" s="232">
        <f>+K8*19%</f>
        <v>4247.0588235294126</v>
      </c>
      <c r="M8" s="231">
        <f>+K8+L8</f>
        <v>26600.000000000004</v>
      </c>
      <c r="N8" s="232">
        <f>SUM(27000)/1.19</f>
        <v>22689.0756302521</v>
      </c>
      <c r="O8" s="232">
        <f>+N8*19%</f>
        <v>4310.9243697478987</v>
      </c>
      <c r="P8" s="231">
        <f>+N8+O8</f>
        <v>27000</v>
      </c>
      <c r="Q8" s="42" t="s">
        <v>502</v>
      </c>
      <c r="R8" s="42" t="s">
        <v>502</v>
      </c>
      <c r="S8" s="42" t="s">
        <v>502</v>
      </c>
      <c r="T8" s="232">
        <f>SUM(23500)/1.19</f>
        <v>19747.899159663866</v>
      </c>
      <c r="U8" s="232">
        <f>+T8*19%</f>
        <v>3752.1008403361348</v>
      </c>
      <c r="V8" s="231">
        <f>+T8+U8</f>
        <v>23500</v>
      </c>
      <c r="W8" s="232">
        <f>SUM(25000)/1.19</f>
        <v>21008.403361344539</v>
      </c>
      <c r="X8" s="232">
        <f>+W8*19%</f>
        <v>3991.5966386554624</v>
      </c>
      <c r="Y8" s="231">
        <f>+W8+X8</f>
        <v>25000</v>
      </c>
      <c r="Z8" s="42" t="s">
        <v>502</v>
      </c>
      <c r="AA8" s="42" t="s">
        <v>502</v>
      </c>
      <c r="AB8" s="42" t="s">
        <v>502</v>
      </c>
      <c r="AC8" s="42" t="s">
        <v>502</v>
      </c>
      <c r="AD8" s="42" t="s">
        <v>502</v>
      </c>
      <c r="AE8" s="42" t="s">
        <v>502</v>
      </c>
      <c r="AF8" s="42" t="s">
        <v>502</v>
      </c>
      <c r="AG8" s="42" t="s">
        <v>502</v>
      </c>
      <c r="AH8" s="42" t="s">
        <v>502</v>
      </c>
      <c r="AI8" s="42" t="s">
        <v>502</v>
      </c>
      <c r="AJ8" s="42" t="s">
        <v>502</v>
      </c>
      <c r="AK8" s="42" t="s">
        <v>502</v>
      </c>
      <c r="AL8" s="42" t="s">
        <v>502</v>
      </c>
      <c r="AM8" s="42" t="s">
        <v>502</v>
      </c>
      <c r="AN8" s="42" t="s">
        <v>502</v>
      </c>
      <c r="AO8" s="42" t="s">
        <v>502</v>
      </c>
      <c r="AP8" s="42" t="s">
        <v>502</v>
      </c>
      <c r="AQ8" s="42" t="s">
        <v>502</v>
      </c>
      <c r="AR8" s="42" t="s">
        <v>502</v>
      </c>
      <c r="AS8" s="42" t="s">
        <v>502</v>
      </c>
      <c r="AT8" s="42" t="s">
        <v>502</v>
      </c>
      <c r="AU8" s="42" t="s">
        <v>502</v>
      </c>
      <c r="AV8" s="42" t="s">
        <v>502</v>
      </c>
      <c r="AW8" s="42" t="s">
        <v>502</v>
      </c>
      <c r="AX8" s="42" t="s">
        <v>502</v>
      </c>
      <c r="AY8" s="42" t="s">
        <v>502</v>
      </c>
      <c r="AZ8" s="42" t="s">
        <v>502</v>
      </c>
      <c r="BA8" s="42" t="s">
        <v>502</v>
      </c>
      <c r="BB8" s="42" t="s">
        <v>502</v>
      </c>
      <c r="BC8" s="42" t="s">
        <v>502</v>
      </c>
      <c r="BD8" s="42" t="s">
        <v>502</v>
      </c>
      <c r="BE8" s="42" t="s">
        <v>502</v>
      </c>
      <c r="BF8" s="42" t="s">
        <v>502</v>
      </c>
      <c r="BG8" s="42" t="s">
        <v>502</v>
      </c>
      <c r="BH8" s="42" t="s">
        <v>502</v>
      </c>
      <c r="BI8" s="42" t="s">
        <v>502</v>
      </c>
      <c r="BJ8" s="203">
        <f t="shared" si="0"/>
        <v>4</v>
      </c>
      <c r="BK8" s="202">
        <f t="shared" si="1"/>
        <v>25525</v>
      </c>
      <c r="BL8" s="201">
        <f t="shared" si="2"/>
        <v>25550</v>
      </c>
    </row>
    <row r="9" spans="1:64" ht="143.25" customHeight="1" x14ac:dyDescent="0.2">
      <c r="A9" s="42">
        <v>6</v>
      </c>
      <c r="B9" s="210" t="s">
        <v>692</v>
      </c>
      <c r="C9" s="233" t="s">
        <v>707</v>
      </c>
      <c r="D9" s="229">
        <v>14111500</v>
      </c>
      <c r="E9" s="228" t="s">
        <v>706</v>
      </c>
      <c r="F9" s="207" t="s">
        <v>120</v>
      </c>
      <c r="G9" s="206"/>
      <c r="H9" s="42" t="s">
        <v>502</v>
      </c>
      <c r="I9" s="42" t="s">
        <v>502</v>
      </c>
      <c r="J9" s="42" t="s">
        <v>502</v>
      </c>
      <c r="K9" s="42" t="s">
        <v>502</v>
      </c>
      <c r="L9" s="42" t="s">
        <v>502</v>
      </c>
      <c r="M9" s="42" t="s">
        <v>502</v>
      </c>
      <c r="N9" s="232">
        <f>SUM(22000)/1.19</f>
        <v>18487.394957983193</v>
      </c>
      <c r="O9" s="232">
        <f>+N9*19%</f>
        <v>3512.6050420168067</v>
      </c>
      <c r="P9" s="231">
        <f>+N9+O9</f>
        <v>22000</v>
      </c>
      <c r="Q9" s="42" t="s">
        <v>502</v>
      </c>
      <c r="R9" s="42" t="s">
        <v>502</v>
      </c>
      <c r="S9" s="42" t="s">
        <v>502</v>
      </c>
      <c r="T9" s="232">
        <f>SUM(19000)/1.19</f>
        <v>15966.386554621849</v>
      </c>
      <c r="U9" s="232">
        <f>+T9*19%</f>
        <v>3033.6134453781515</v>
      </c>
      <c r="V9" s="231">
        <f>+T9+U9</f>
        <v>19000</v>
      </c>
      <c r="W9" s="232">
        <f>SUM(19300)/1.19</f>
        <v>16218.487394957983</v>
      </c>
      <c r="X9" s="232">
        <f>+W9*19%</f>
        <v>3081.5126050420167</v>
      </c>
      <c r="Y9" s="231">
        <f>+W9+X9</f>
        <v>19300</v>
      </c>
      <c r="Z9" s="42" t="s">
        <v>502</v>
      </c>
      <c r="AA9" s="42" t="s">
        <v>502</v>
      </c>
      <c r="AB9" s="42" t="s">
        <v>502</v>
      </c>
      <c r="AC9" s="42" t="s">
        <v>502</v>
      </c>
      <c r="AD9" s="42" t="s">
        <v>502</v>
      </c>
      <c r="AE9" s="42" t="s">
        <v>502</v>
      </c>
      <c r="AF9" s="42" t="s">
        <v>502</v>
      </c>
      <c r="AG9" s="42" t="s">
        <v>502</v>
      </c>
      <c r="AH9" s="42" t="s">
        <v>502</v>
      </c>
      <c r="AI9" s="42" t="s">
        <v>502</v>
      </c>
      <c r="AJ9" s="42" t="s">
        <v>502</v>
      </c>
      <c r="AK9" s="42" t="s">
        <v>502</v>
      </c>
      <c r="AL9" s="42" t="s">
        <v>502</v>
      </c>
      <c r="AM9" s="42" t="s">
        <v>502</v>
      </c>
      <c r="AN9" s="42" t="s">
        <v>502</v>
      </c>
      <c r="AO9" s="42" t="s">
        <v>502</v>
      </c>
      <c r="AP9" s="42" t="s">
        <v>502</v>
      </c>
      <c r="AQ9" s="42" t="s">
        <v>502</v>
      </c>
      <c r="AR9" s="42" t="s">
        <v>502</v>
      </c>
      <c r="AS9" s="42" t="s">
        <v>502</v>
      </c>
      <c r="AT9" s="42" t="s">
        <v>502</v>
      </c>
      <c r="AU9" s="42" t="s">
        <v>502</v>
      </c>
      <c r="AV9" s="42" t="s">
        <v>502</v>
      </c>
      <c r="AW9" s="42" t="s">
        <v>502</v>
      </c>
      <c r="AX9" s="42" t="s">
        <v>502</v>
      </c>
      <c r="AY9" s="42" t="s">
        <v>502</v>
      </c>
      <c r="AZ9" s="42" t="s">
        <v>502</v>
      </c>
      <c r="BA9" s="42" t="s">
        <v>502</v>
      </c>
      <c r="BB9" s="42" t="s">
        <v>502</v>
      </c>
      <c r="BC9" s="42" t="s">
        <v>502</v>
      </c>
      <c r="BD9" s="42" t="s">
        <v>502</v>
      </c>
      <c r="BE9" s="42" t="s">
        <v>502</v>
      </c>
      <c r="BF9" s="42" t="s">
        <v>502</v>
      </c>
      <c r="BG9" s="42" t="s">
        <v>502</v>
      </c>
      <c r="BH9" s="42" t="s">
        <v>502</v>
      </c>
      <c r="BI9" s="42" t="s">
        <v>502</v>
      </c>
      <c r="BJ9" s="203">
        <f t="shared" si="0"/>
        <v>3</v>
      </c>
      <c r="BK9" s="202">
        <f t="shared" si="1"/>
        <v>20100</v>
      </c>
      <c r="BL9" s="201">
        <f t="shared" si="2"/>
        <v>20100</v>
      </c>
    </row>
    <row r="10" spans="1:64" ht="130.5" customHeight="1" x14ac:dyDescent="0.2">
      <c r="A10" s="42">
        <v>7</v>
      </c>
      <c r="B10" s="210" t="s">
        <v>692</v>
      </c>
      <c r="C10" s="233" t="s">
        <v>705</v>
      </c>
      <c r="D10" s="229">
        <v>44101602</v>
      </c>
      <c r="E10" s="228" t="s">
        <v>704</v>
      </c>
      <c r="F10" s="207" t="s">
        <v>120</v>
      </c>
      <c r="G10" s="206"/>
      <c r="H10" s="42" t="s">
        <v>502</v>
      </c>
      <c r="I10" s="42" t="s">
        <v>502</v>
      </c>
      <c r="J10" s="42" t="s">
        <v>502</v>
      </c>
      <c r="K10" s="232">
        <f>SUM(27900)/1.19</f>
        <v>23445.378151260506</v>
      </c>
      <c r="L10" s="232">
        <f>+K10*19%</f>
        <v>4454.6218487394963</v>
      </c>
      <c r="M10" s="231">
        <f>+K10+L10</f>
        <v>27900</v>
      </c>
      <c r="N10" s="232">
        <f>SUM(15000)/1.19</f>
        <v>12605.042016806723</v>
      </c>
      <c r="O10" s="232">
        <f>+N10*19%</f>
        <v>2394.9579831932774</v>
      </c>
      <c r="P10" s="231">
        <f>+N10+O10</f>
        <v>15000</v>
      </c>
      <c r="Q10" s="42" t="s">
        <v>502</v>
      </c>
      <c r="R10" s="42" t="s">
        <v>502</v>
      </c>
      <c r="S10" s="42" t="s">
        <v>502</v>
      </c>
      <c r="T10" s="232">
        <f>SUM(12500)/1.19</f>
        <v>10504.20168067227</v>
      </c>
      <c r="U10" s="232">
        <f>+T10*19%</f>
        <v>1995.7983193277312</v>
      </c>
      <c r="V10" s="231">
        <f>+T10+U10</f>
        <v>12500</v>
      </c>
      <c r="W10" s="232">
        <f>SUM(10750)/1.19</f>
        <v>9033.6134453781524</v>
      </c>
      <c r="X10" s="232">
        <f>+W10*19%</f>
        <v>1716.386554621849</v>
      </c>
      <c r="Y10" s="231">
        <f>+W10+X10</f>
        <v>10750.000000000002</v>
      </c>
      <c r="Z10" s="42" t="s">
        <v>502</v>
      </c>
      <c r="AA10" s="42" t="s">
        <v>502</v>
      </c>
      <c r="AB10" s="42" t="s">
        <v>502</v>
      </c>
      <c r="AC10" s="42" t="s">
        <v>502</v>
      </c>
      <c r="AD10" s="42" t="s">
        <v>502</v>
      </c>
      <c r="AE10" s="42" t="s">
        <v>502</v>
      </c>
      <c r="AF10" s="42" t="s">
        <v>502</v>
      </c>
      <c r="AG10" s="42" t="s">
        <v>502</v>
      </c>
      <c r="AH10" s="42" t="s">
        <v>502</v>
      </c>
      <c r="AI10" s="42" t="s">
        <v>502</v>
      </c>
      <c r="AJ10" s="42" t="s">
        <v>502</v>
      </c>
      <c r="AK10" s="42" t="s">
        <v>502</v>
      </c>
      <c r="AL10" s="42" t="s">
        <v>502</v>
      </c>
      <c r="AM10" s="42" t="s">
        <v>502</v>
      </c>
      <c r="AN10" s="42" t="s">
        <v>502</v>
      </c>
      <c r="AO10" s="42" t="s">
        <v>502</v>
      </c>
      <c r="AP10" s="42" t="s">
        <v>502</v>
      </c>
      <c r="AQ10" s="42" t="s">
        <v>502</v>
      </c>
      <c r="AR10" s="42" t="s">
        <v>502</v>
      </c>
      <c r="AS10" s="42" t="s">
        <v>502</v>
      </c>
      <c r="AT10" s="42" t="s">
        <v>502</v>
      </c>
      <c r="AU10" s="42" t="s">
        <v>502</v>
      </c>
      <c r="AV10" s="42" t="s">
        <v>502</v>
      </c>
      <c r="AW10" s="42" t="s">
        <v>502</v>
      </c>
      <c r="AX10" s="42" t="s">
        <v>502</v>
      </c>
      <c r="AY10" s="42" t="s">
        <v>502</v>
      </c>
      <c r="AZ10" s="42" t="s">
        <v>502</v>
      </c>
      <c r="BA10" s="42" t="s">
        <v>502</v>
      </c>
      <c r="BB10" s="42" t="s">
        <v>502</v>
      </c>
      <c r="BC10" s="42" t="s">
        <v>502</v>
      </c>
      <c r="BD10" s="42" t="s">
        <v>502</v>
      </c>
      <c r="BE10" s="42" t="s">
        <v>502</v>
      </c>
      <c r="BF10" s="42" t="s">
        <v>502</v>
      </c>
      <c r="BG10" s="42" t="s">
        <v>502</v>
      </c>
      <c r="BH10" s="42" t="s">
        <v>502</v>
      </c>
      <c r="BI10" s="42" t="s">
        <v>502</v>
      </c>
      <c r="BJ10" s="203">
        <f t="shared" si="0"/>
        <v>4</v>
      </c>
      <c r="BK10" s="202">
        <f t="shared" si="1"/>
        <v>16537.5</v>
      </c>
      <c r="BL10" s="201">
        <f t="shared" si="2"/>
        <v>16550</v>
      </c>
    </row>
    <row r="11" spans="1:64" ht="153" customHeight="1" x14ac:dyDescent="0.2">
      <c r="A11" s="42">
        <v>8</v>
      </c>
      <c r="B11" s="210" t="s">
        <v>692</v>
      </c>
      <c r="C11" s="233" t="s">
        <v>703</v>
      </c>
      <c r="D11" s="229">
        <v>44121707</v>
      </c>
      <c r="E11" s="228" t="s">
        <v>702</v>
      </c>
      <c r="F11" s="207" t="s">
        <v>701</v>
      </c>
      <c r="G11" s="206"/>
      <c r="H11" s="42" t="s">
        <v>502</v>
      </c>
      <c r="I11" s="42" t="s">
        <v>502</v>
      </c>
      <c r="J11" s="42" t="s">
        <v>502</v>
      </c>
      <c r="K11" s="42" t="s">
        <v>502</v>
      </c>
      <c r="L11" s="42" t="s">
        <v>502</v>
      </c>
      <c r="M11" s="42" t="s">
        <v>502</v>
      </c>
      <c r="N11" s="232">
        <f>SUM(15000)/1.19</f>
        <v>12605.042016806723</v>
      </c>
      <c r="O11" s="232">
        <f>+N11*19%</f>
        <v>2394.9579831932774</v>
      </c>
      <c r="P11" s="231">
        <f>+N11+O11</f>
        <v>15000</v>
      </c>
      <c r="Q11" s="42" t="s">
        <v>502</v>
      </c>
      <c r="R11" s="42" t="s">
        <v>502</v>
      </c>
      <c r="S11" s="42" t="s">
        <v>502</v>
      </c>
      <c r="T11" s="232">
        <f>SUM(17093)/1.19</f>
        <v>14363.865546218489</v>
      </c>
      <c r="U11" s="232">
        <f>+T11*19%</f>
        <v>2729.134453781513</v>
      </c>
      <c r="V11" s="231">
        <f>+T11+U11</f>
        <v>17093</v>
      </c>
      <c r="W11" s="232" t="s">
        <v>511</v>
      </c>
      <c r="X11" s="232" t="s">
        <v>511</v>
      </c>
      <c r="Y11" s="232" t="s">
        <v>511</v>
      </c>
      <c r="Z11" s="42" t="s">
        <v>502</v>
      </c>
      <c r="AA11" s="42" t="s">
        <v>502</v>
      </c>
      <c r="AB11" s="42" t="s">
        <v>502</v>
      </c>
      <c r="AC11" s="42" t="s">
        <v>502</v>
      </c>
      <c r="AD11" s="42" t="s">
        <v>502</v>
      </c>
      <c r="AE11" s="42" t="s">
        <v>502</v>
      </c>
      <c r="AF11" s="42" t="s">
        <v>502</v>
      </c>
      <c r="AG11" s="42" t="s">
        <v>502</v>
      </c>
      <c r="AH11" s="42" t="s">
        <v>502</v>
      </c>
      <c r="AI11" s="42" t="s">
        <v>502</v>
      </c>
      <c r="AJ11" s="42" t="s">
        <v>502</v>
      </c>
      <c r="AK11" s="42" t="s">
        <v>502</v>
      </c>
      <c r="AL11" s="42" t="s">
        <v>502</v>
      </c>
      <c r="AM11" s="42" t="s">
        <v>502</v>
      </c>
      <c r="AN11" s="42" t="s">
        <v>502</v>
      </c>
      <c r="AO11" s="42" t="s">
        <v>502</v>
      </c>
      <c r="AP11" s="42" t="s">
        <v>502</v>
      </c>
      <c r="AQ11" s="42" t="s">
        <v>502</v>
      </c>
      <c r="AR11" s="42" t="s">
        <v>502</v>
      </c>
      <c r="AS11" s="42" t="s">
        <v>502</v>
      </c>
      <c r="AT11" s="42" t="s">
        <v>502</v>
      </c>
      <c r="AU11" s="42" t="s">
        <v>502</v>
      </c>
      <c r="AV11" s="42" t="s">
        <v>502</v>
      </c>
      <c r="AW11" s="42" t="s">
        <v>502</v>
      </c>
      <c r="AX11" s="42" t="s">
        <v>502</v>
      </c>
      <c r="AY11" s="42" t="s">
        <v>502</v>
      </c>
      <c r="AZ11" s="42" t="s">
        <v>502</v>
      </c>
      <c r="BA11" s="42" t="s">
        <v>502</v>
      </c>
      <c r="BB11" s="42" t="s">
        <v>502</v>
      </c>
      <c r="BC11" s="42" t="s">
        <v>502</v>
      </c>
      <c r="BD11" s="42" t="s">
        <v>502</v>
      </c>
      <c r="BE11" s="42" t="s">
        <v>502</v>
      </c>
      <c r="BF11" s="42" t="s">
        <v>502</v>
      </c>
      <c r="BG11" s="42" t="s">
        <v>502</v>
      </c>
      <c r="BH11" s="42" t="s">
        <v>502</v>
      </c>
      <c r="BI11" s="42" t="s">
        <v>502</v>
      </c>
      <c r="BJ11" s="203">
        <f t="shared" si="0"/>
        <v>2</v>
      </c>
      <c r="BK11" s="202">
        <f t="shared" si="1"/>
        <v>16046.5</v>
      </c>
      <c r="BL11" s="201">
        <f t="shared" si="2"/>
        <v>16050</v>
      </c>
    </row>
    <row r="12" spans="1:64" ht="141" customHeight="1" x14ac:dyDescent="0.2">
      <c r="A12" s="42">
        <v>9</v>
      </c>
      <c r="B12" s="210" t="s">
        <v>692</v>
      </c>
      <c r="C12" s="233" t="s">
        <v>700</v>
      </c>
      <c r="D12" s="229">
        <v>44121636</v>
      </c>
      <c r="E12" s="228" t="s">
        <v>699</v>
      </c>
      <c r="F12" s="207" t="s">
        <v>120</v>
      </c>
      <c r="G12" s="206"/>
      <c r="H12" s="42" t="s">
        <v>502</v>
      </c>
      <c r="I12" s="42" t="s">
        <v>502</v>
      </c>
      <c r="J12" s="42" t="s">
        <v>502</v>
      </c>
      <c r="K12" s="232">
        <f>SUM(160400)/1.19</f>
        <v>134789.91596638656</v>
      </c>
      <c r="L12" s="232">
        <f>+K12*19%</f>
        <v>25610.084033613446</v>
      </c>
      <c r="M12" s="231">
        <f>+K12+L12</f>
        <v>160400</v>
      </c>
      <c r="N12" s="42" t="s">
        <v>502</v>
      </c>
      <c r="O12" s="42" t="s">
        <v>502</v>
      </c>
      <c r="P12" s="42" t="s">
        <v>502</v>
      </c>
      <c r="Q12" s="42" t="s">
        <v>502</v>
      </c>
      <c r="R12" s="42" t="s">
        <v>502</v>
      </c>
      <c r="S12" s="42" t="s">
        <v>502</v>
      </c>
      <c r="T12" s="42" t="s">
        <v>502</v>
      </c>
      <c r="U12" s="42" t="s">
        <v>502</v>
      </c>
      <c r="V12" s="42" t="s">
        <v>502</v>
      </c>
      <c r="W12" s="232">
        <f>SUM(170999)/1.19</f>
        <v>143696.63865546219</v>
      </c>
      <c r="X12" s="232">
        <f>+W12*19%</f>
        <v>27302.361344537814</v>
      </c>
      <c r="Y12" s="231">
        <f>+W12+X12</f>
        <v>170999</v>
      </c>
      <c r="Z12" s="42" t="s">
        <v>502</v>
      </c>
      <c r="AA12" s="42" t="s">
        <v>502</v>
      </c>
      <c r="AB12" s="42" t="s">
        <v>502</v>
      </c>
      <c r="AC12" s="42" t="s">
        <v>502</v>
      </c>
      <c r="AD12" s="42" t="s">
        <v>502</v>
      </c>
      <c r="AE12" s="42" t="s">
        <v>502</v>
      </c>
      <c r="AF12" s="42" t="s">
        <v>502</v>
      </c>
      <c r="AG12" s="42" t="s">
        <v>502</v>
      </c>
      <c r="AH12" s="42" t="s">
        <v>502</v>
      </c>
      <c r="AI12" s="42" t="s">
        <v>502</v>
      </c>
      <c r="AJ12" s="42" t="s">
        <v>502</v>
      </c>
      <c r="AK12" s="42" t="s">
        <v>502</v>
      </c>
      <c r="AL12" s="42" t="s">
        <v>502</v>
      </c>
      <c r="AM12" s="42" t="s">
        <v>502</v>
      </c>
      <c r="AN12" s="42" t="s">
        <v>502</v>
      </c>
      <c r="AO12" s="42" t="s">
        <v>502</v>
      </c>
      <c r="AP12" s="42" t="s">
        <v>502</v>
      </c>
      <c r="AQ12" s="42" t="s">
        <v>502</v>
      </c>
      <c r="AR12" s="42" t="s">
        <v>502</v>
      </c>
      <c r="AS12" s="42" t="s">
        <v>502</v>
      </c>
      <c r="AT12" s="42" t="s">
        <v>502</v>
      </c>
      <c r="AU12" s="42" t="s">
        <v>502</v>
      </c>
      <c r="AV12" s="42" t="s">
        <v>502</v>
      </c>
      <c r="AW12" s="42" t="s">
        <v>502</v>
      </c>
      <c r="AX12" s="42" t="s">
        <v>502</v>
      </c>
      <c r="AY12" s="42" t="s">
        <v>502</v>
      </c>
      <c r="AZ12" s="42" t="s">
        <v>502</v>
      </c>
      <c r="BA12" s="42" t="s">
        <v>502</v>
      </c>
      <c r="BB12" s="42" t="s">
        <v>502</v>
      </c>
      <c r="BC12" s="42" t="s">
        <v>502</v>
      </c>
      <c r="BD12" s="42" t="s">
        <v>502</v>
      </c>
      <c r="BE12" s="42" t="s">
        <v>502</v>
      </c>
      <c r="BF12" s="42" t="s">
        <v>502</v>
      </c>
      <c r="BG12" s="42" t="s">
        <v>502</v>
      </c>
      <c r="BH12" s="42" t="s">
        <v>502</v>
      </c>
      <c r="BI12" s="42" t="s">
        <v>502</v>
      </c>
      <c r="BJ12" s="203">
        <f t="shared" si="0"/>
        <v>2</v>
      </c>
      <c r="BK12" s="202">
        <f t="shared" si="1"/>
        <v>165699.5</v>
      </c>
      <c r="BL12" s="201">
        <f t="shared" si="2"/>
        <v>165700</v>
      </c>
    </row>
    <row r="13" spans="1:64" ht="135" customHeight="1" x14ac:dyDescent="0.2">
      <c r="A13" s="42">
        <v>10</v>
      </c>
      <c r="B13" s="210" t="s">
        <v>692</v>
      </c>
      <c r="C13" s="230" t="s">
        <v>698</v>
      </c>
      <c r="D13" s="229">
        <v>83111500</v>
      </c>
      <c r="E13" s="228" t="s">
        <v>697</v>
      </c>
      <c r="F13" s="207" t="s">
        <v>55</v>
      </c>
      <c r="G13" s="206"/>
      <c r="H13" s="180">
        <f>99900/1.19</f>
        <v>83949.579831932773</v>
      </c>
      <c r="I13" s="180">
        <f>+H13*19%</f>
        <v>15950.420168067227</v>
      </c>
      <c r="J13" s="227">
        <f>+H13+I13</f>
        <v>99900</v>
      </c>
      <c r="K13" s="42" t="s">
        <v>502</v>
      </c>
      <c r="L13" s="42" t="s">
        <v>502</v>
      </c>
      <c r="M13" s="42" t="s">
        <v>502</v>
      </c>
      <c r="N13" s="42" t="s">
        <v>502</v>
      </c>
      <c r="O13" s="42" t="s">
        <v>502</v>
      </c>
      <c r="P13" s="42" t="s">
        <v>502</v>
      </c>
      <c r="Q13" s="180">
        <f>105990/1.19</f>
        <v>89067.226890756312</v>
      </c>
      <c r="R13" s="180">
        <f>+Q13*19%</f>
        <v>16922.773109243699</v>
      </c>
      <c r="S13" s="227">
        <f>+Q13+R13</f>
        <v>105990.00000000001</v>
      </c>
      <c r="T13" s="42" t="s">
        <v>502</v>
      </c>
      <c r="U13" s="42" t="s">
        <v>502</v>
      </c>
      <c r="V13" s="42" t="s">
        <v>502</v>
      </c>
      <c r="W13" s="42" t="s">
        <v>502</v>
      </c>
      <c r="X13" s="42" t="s">
        <v>502</v>
      </c>
      <c r="Y13" s="42" t="s">
        <v>502</v>
      </c>
      <c r="Z13" s="42" t="s">
        <v>502</v>
      </c>
      <c r="AA13" s="42" t="s">
        <v>502</v>
      </c>
      <c r="AB13" s="42" t="s">
        <v>502</v>
      </c>
      <c r="AC13" s="42" t="s">
        <v>502</v>
      </c>
      <c r="AD13" s="42" t="s">
        <v>502</v>
      </c>
      <c r="AE13" s="42" t="s">
        <v>502</v>
      </c>
      <c r="AF13" s="42" t="s">
        <v>502</v>
      </c>
      <c r="AG13" s="42" t="s">
        <v>502</v>
      </c>
      <c r="AH13" s="42" t="s">
        <v>502</v>
      </c>
      <c r="AI13" s="42" t="s">
        <v>502</v>
      </c>
      <c r="AJ13" s="42" t="s">
        <v>502</v>
      </c>
      <c r="AK13" s="42" t="s">
        <v>502</v>
      </c>
      <c r="AL13" s="42" t="s">
        <v>502</v>
      </c>
      <c r="AM13" s="42" t="s">
        <v>502</v>
      </c>
      <c r="AN13" s="42" t="s">
        <v>502</v>
      </c>
      <c r="AO13" s="42" t="s">
        <v>502</v>
      </c>
      <c r="AP13" s="42" t="s">
        <v>502</v>
      </c>
      <c r="AQ13" s="42" t="s">
        <v>502</v>
      </c>
      <c r="AR13" s="42" t="s">
        <v>502</v>
      </c>
      <c r="AS13" s="42" t="s">
        <v>502</v>
      </c>
      <c r="AT13" s="42" t="s">
        <v>502</v>
      </c>
      <c r="AU13" s="42" t="s">
        <v>502</v>
      </c>
      <c r="AV13" s="42" t="s">
        <v>502</v>
      </c>
      <c r="AW13" s="42" t="s">
        <v>502</v>
      </c>
      <c r="AX13" s="42" t="s">
        <v>502</v>
      </c>
      <c r="AY13" s="42" t="s">
        <v>502</v>
      </c>
      <c r="AZ13" s="42" t="s">
        <v>502</v>
      </c>
      <c r="BA13" s="42" t="s">
        <v>502</v>
      </c>
      <c r="BB13" s="42" t="s">
        <v>502</v>
      </c>
      <c r="BC13" s="42" t="s">
        <v>502</v>
      </c>
      <c r="BD13" s="42" t="s">
        <v>502</v>
      </c>
      <c r="BE13" s="42" t="s">
        <v>502</v>
      </c>
      <c r="BF13" s="42" t="s">
        <v>502</v>
      </c>
      <c r="BG13" s="42" t="s">
        <v>502</v>
      </c>
      <c r="BH13" s="42" t="s">
        <v>502</v>
      </c>
      <c r="BI13" s="42" t="s">
        <v>502</v>
      </c>
      <c r="BJ13" s="203">
        <f t="shared" si="0"/>
        <v>2</v>
      </c>
      <c r="BK13" s="202">
        <f t="shared" si="1"/>
        <v>102945</v>
      </c>
      <c r="BL13" s="201">
        <f t="shared" si="2"/>
        <v>102950</v>
      </c>
    </row>
    <row r="14" spans="1:64" ht="135" customHeight="1" x14ac:dyDescent="0.2">
      <c r="A14" s="205">
        <v>11</v>
      </c>
      <c r="B14" s="210" t="s">
        <v>692</v>
      </c>
      <c r="C14" s="226" t="s">
        <v>696</v>
      </c>
      <c r="D14" s="213">
        <v>83121703</v>
      </c>
      <c r="E14" s="225" t="s">
        <v>695</v>
      </c>
      <c r="F14" s="224" t="s">
        <v>55</v>
      </c>
      <c r="G14" s="223"/>
      <c r="H14" s="222">
        <f>119900/1.19</f>
        <v>100756.3025210084</v>
      </c>
      <c r="I14" s="222">
        <f>+H14*19%</f>
        <v>19143.697478991595</v>
      </c>
      <c r="J14" s="221">
        <f>+H14+I14</f>
        <v>119900</v>
      </c>
      <c r="K14" s="205" t="s">
        <v>502</v>
      </c>
      <c r="L14" s="205" t="s">
        <v>502</v>
      </c>
      <c r="M14" s="205" t="s">
        <v>502</v>
      </c>
      <c r="N14" s="205" t="s">
        <v>502</v>
      </c>
      <c r="O14" s="205" t="s">
        <v>502</v>
      </c>
      <c r="P14" s="205" t="s">
        <v>502</v>
      </c>
      <c r="Q14" s="205" t="s">
        <v>502</v>
      </c>
      <c r="R14" s="205" t="s">
        <v>502</v>
      </c>
      <c r="S14" s="205" t="s">
        <v>502</v>
      </c>
      <c r="T14" s="205" t="s">
        <v>502</v>
      </c>
      <c r="U14" s="205" t="s">
        <v>502</v>
      </c>
      <c r="V14" s="205" t="s">
        <v>502</v>
      </c>
      <c r="W14" s="205" t="s">
        <v>502</v>
      </c>
      <c r="X14" s="205" t="s">
        <v>502</v>
      </c>
      <c r="Y14" s="205" t="s">
        <v>502</v>
      </c>
      <c r="Z14" s="222">
        <f>80900/1.19</f>
        <v>67983.193277310929</v>
      </c>
      <c r="AA14" s="222">
        <f>+Z14*19%</f>
        <v>12916.806722689076</v>
      </c>
      <c r="AB14" s="221">
        <f>+Z14+AA14</f>
        <v>80900</v>
      </c>
      <c r="AC14" s="205" t="s">
        <v>502</v>
      </c>
      <c r="AD14" s="205" t="s">
        <v>502</v>
      </c>
      <c r="AE14" s="205" t="s">
        <v>502</v>
      </c>
      <c r="AF14" s="205" t="s">
        <v>502</v>
      </c>
      <c r="AG14" s="205" t="s">
        <v>502</v>
      </c>
      <c r="AH14" s="205" t="s">
        <v>502</v>
      </c>
      <c r="AI14" s="205" t="s">
        <v>502</v>
      </c>
      <c r="AJ14" s="205" t="s">
        <v>502</v>
      </c>
      <c r="AK14" s="205" t="s">
        <v>502</v>
      </c>
      <c r="AL14" s="205" t="s">
        <v>502</v>
      </c>
      <c r="AM14" s="205" t="s">
        <v>502</v>
      </c>
      <c r="AN14" s="205" t="s">
        <v>502</v>
      </c>
      <c r="AO14" s="222">
        <f>75900/1.19</f>
        <v>63781.512605042022</v>
      </c>
      <c r="AP14" s="222">
        <f>+AO14*19%</f>
        <v>12118.487394957985</v>
      </c>
      <c r="AQ14" s="221">
        <f>+AO14+AP14</f>
        <v>75900</v>
      </c>
      <c r="AR14" s="42" t="s">
        <v>502</v>
      </c>
      <c r="AS14" s="42" t="s">
        <v>502</v>
      </c>
      <c r="AT14" s="42" t="s">
        <v>502</v>
      </c>
      <c r="AU14" s="42" t="s">
        <v>502</v>
      </c>
      <c r="AV14" s="42" t="s">
        <v>502</v>
      </c>
      <c r="AW14" s="42" t="s">
        <v>502</v>
      </c>
      <c r="AX14" s="42" t="s">
        <v>502</v>
      </c>
      <c r="AY14" s="42" t="s">
        <v>502</v>
      </c>
      <c r="AZ14" s="42" t="s">
        <v>502</v>
      </c>
      <c r="BA14" s="42" t="s">
        <v>502</v>
      </c>
      <c r="BB14" s="42" t="s">
        <v>502</v>
      </c>
      <c r="BC14" s="42" t="s">
        <v>502</v>
      </c>
      <c r="BD14" s="42" t="s">
        <v>502</v>
      </c>
      <c r="BE14" s="42" t="s">
        <v>502</v>
      </c>
      <c r="BF14" s="42" t="s">
        <v>502</v>
      </c>
      <c r="BG14" s="42" t="s">
        <v>502</v>
      </c>
      <c r="BH14" s="42" t="s">
        <v>502</v>
      </c>
      <c r="BI14" s="42" t="s">
        <v>502</v>
      </c>
      <c r="BJ14" s="203">
        <f t="shared" si="0"/>
        <v>3</v>
      </c>
      <c r="BK14" s="202">
        <f t="shared" si="1"/>
        <v>92233.333333333328</v>
      </c>
      <c r="BL14" s="201">
        <f t="shared" si="2"/>
        <v>92250</v>
      </c>
    </row>
    <row r="15" spans="1:64" ht="119.25" customHeight="1" x14ac:dyDescent="0.2">
      <c r="A15" s="42">
        <v>12</v>
      </c>
      <c r="B15" s="210" t="s">
        <v>692</v>
      </c>
      <c r="C15" s="220" t="s">
        <v>127</v>
      </c>
      <c r="D15" s="213">
        <v>95131700</v>
      </c>
      <c r="E15" s="219" t="s">
        <v>694</v>
      </c>
      <c r="F15" s="207" t="s">
        <v>120</v>
      </c>
      <c r="G15" s="206"/>
      <c r="H15" s="205" t="s">
        <v>502</v>
      </c>
      <c r="I15" s="205" t="s">
        <v>502</v>
      </c>
      <c r="J15" s="205" t="s">
        <v>502</v>
      </c>
      <c r="K15" s="205" t="s">
        <v>502</v>
      </c>
      <c r="L15" s="205" t="s">
        <v>502</v>
      </c>
      <c r="M15" s="205" t="s">
        <v>502</v>
      </c>
      <c r="N15" s="205" t="s">
        <v>502</v>
      </c>
      <c r="O15" s="205" t="s">
        <v>502</v>
      </c>
      <c r="P15" s="205" t="s">
        <v>502</v>
      </c>
      <c r="Q15" s="205" t="s">
        <v>502</v>
      </c>
      <c r="R15" s="205" t="s">
        <v>502</v>
      </c>
      <c r="S15" s="205" t="s">
        <v>502</v>
      </c>
      <c r="T15" s="205" t="s">
        <v>502</v>
      </c>
      <c r="U15" s="205" t="s">
        <v>502</v>
      </c>
      <c r="V15" s="205" t="s">
        <v>502</v>
      </c>
      <c r="W15" s="205" t="s">
        <v>502</v>
      </c>
      <c r="X15" s="205" t="s">
        <v>502</v>
      </c>
      <c r="Y15" s="205" t="s">
        <v>502</v>
      </c>
      <c r="Z15" s="205" t="s">
        <v>502</v>
      </c>
      <c r="AA15" s="205" t="s">
        <v>502</v>
      </c>
      <c r="AB15" s="205" t="s">
        <v>502</v>
      </c>
      <c r="AC15" s="205" t="s">
        <v>502</v>
      </c>
      <c r="AD15" s="205" t="s">
        <v>502</v>
      </c>
      <c r="AE15" s="205" t="s">
        <v>502</v>
      </c>
      <c r="AF15" s="205" t="s">
        <v>502</v>
      </c>
      <c r="AG15" s="205" t="s">
        <v>502</v>
      </c>
      <c r="AH15" s="205" t="s">
        <v>502</v>
      </c>
      <c r="AI15" s="205" t="s">
        <v>502</v>
      </c>
      <c r="AJ15" s="205" t="s">
        <v>502</v>
      </c>
      <c r="AK15" s="205" t="s">
        <v>502</v>
      </c>
      <c r="AL15" s="205" t="s">
        <v>502</v>
      </c>
      <c r="AM15" s="205" t="s">
        <v>502</v>
      </c>
      <c r="AN15" s="205" t="s">
        <v>502</v>
      </c>
      <c r="AO15" s="205" t="s">
        <v>502</v>
      </c>
      <c r="AP15" s="205" t="s">
        <v>502</v>
      </c>
      <c r="AQ15" s="205" t="s">
        <v>502</v>
      </c>
      <c r="AR15" s="42" t="s">
        <v>502</v>
      </c>
      <c r="AS15" s="42" t="s">
        <v>502</v>
      </c>
      <c r="AT15" s="42" t="s">
        <v>502</v>
      </c>
      <c r="AU15" s="42" t="s">
        <v>502</v>
      </c>
      <c r="AV15" s="42" t="s">
        <v>502</v>
      </c>
      <c r="AW15" s="42" t="s">
        <v>502</v>
      </c>
      <c r="AX15" s="42" t="s">
        <v>502</v>
      </c>
      <c r="AY15" s="42" t="s">
        <v>502</v>
      </c>
      <c r="AZ15" s="42" t="s">
        <v>502</v>
      </c>
      <c r="BA15" s="218">
        <v>160000</v>
      </c>
      <c r="BB15" s="218">
        <f>+BA15*19%</f>
        <v>30400</v>
      </c>
      <c r="BC15" s="217">
        <f>+BA15+BB15</f>
        <v>190400</v>
      </c>
      <c r="BD15" s="48">
        <v>140000</v>
      </c>
      <c r="BE15" s="48">
        <f>+BD15*19%</f>
        <v>26600</v>
      </c>
      <c r="BF15" s="216">
        <f>+BD15+BE15</f>
        <v>166600</v>
      </c>
      <c r="BG15" s="204">
        <f>170000/1.19</f>
        <v>142857.14285714287</v>
      </c>
      <c r="BH15" s="204">
        <f>+BG15*19%</f>
        <v>27142.857142857145</v>
      </c>
      <c r="BI15" s="201">
        <f>+BG15+BH15</f>
        <v>170000</v>
      </c>
      <c r="BJ15" s="203">
        <f t="shared" si="0"/>
        <v>3</v>
      </c>
      <c r="BK15" s="202">
        <f t="shared" si="1"/>
        <v>175666.66666666666</v>
      </c>
      <c r="BL15" s="201">
        <f t="shared" si="2"/>
        <v>175700</v>
      </c>
    </row>
    <row r="16" spans="1:64" ht="119.25" customHeight="1" x14ac:dyDescent="0.2">
      <c r="A16" s="205">
        <v>13</v>
      </c>
      <c r="B16" s="215" t="s">
        <v>692</v>
      </c>
      <c r="C16" s="214" t="s">
        <v>693</v>
      </c>
      <c r="D16" s="213">
        <v>44122003</v>
      </c>
      <c r="E16" s="212" t="s">
        <v>352</v>
      </c>
      <c r="F16" s="207" t="s">
        <v>120</v>
      </c>
      <c r="G16" s="206"/>
      <c r="H16" s="205" t="s">
        <v>502</v>
      </c>
      <c r="I16" s="205" t="s">
        <v>502</v>
      </c>
      <c r="J16" s="205" t="s">
        <v>502</v>
      </c>
      <c r="K16" s="205" t="s">
        <v>502</v>
      </c>
      <c r="L16" s="205" t="s">
        <v>502</v>
      </c>
      <c r="M16" s="205" t="s">
        <v>502</v>
      </c>
      <c r="N16" s="205" t="s">
        <v>502</v>
      </c>
      <c r="O16" s="205" t="s">
        <v>502</v>
      </c>
      <c r="P16" s="205" t="s">
        <v>502</v>
      </c>
      <c r="Q16" s="205" t="s">
        <v>502</v>
      </c>
      <c r="R16" s="205" t="s">
        <v>502</v>
      </c>
      <c r="S16" s="205" t="s">
        <v>502</v>
      </c>
      <c r="T16" s="205" t="s">
        <v>502</v>
      </c>
      <c r="U16" s="205" t="s">
        <v>502</v>
      </c>
      <c r="V16" s="205" t="s">
        <v>502</v>
      </c>
      <c r="W16" s="204">
        <f>850/1.19</f>
        <v>714.28571428571433</v>
      </c>
      <c r="X16" s="204">
        <f>+W16*19%</f>
        <v>135.71428571428572</v>
      </c>
      <c r="Y16" s="211">
        <f>+W16+X16</f>
        <v>850</v>
      </c>
      <c r="Z16" s="205" t="s">
        <v>502</v>
      </c>
      <c r="AA16" s="205" t="s">
        <v>502</v>
      </c>
      <c r="AB16" s="205" t="s">
        <v>502</v>
      </c>
      <c r="AC16" s="205" t="s">
        <v>502</v>
      </c>
      <c r="AD16" s="205" t="s">
        <v>502</v>
      </c>
      <c r="AE16" s="205" t="s">
        <v>502</v>
      </c>
      <c r="AF16" s="205" t="s">
        <v>502</v>
      </c>
      <c r="AG16" s="205" t="s">
        <v>502</v>
      </c>
      <c r="AH16" s="205" t="s">
        <v>502</v>
      </c>
      <c r="AI16" s="205" t="s">
        <v>502</v>
      </c>
      <c r="AJ16" s="205" t="s">
        <v>502</v>
      </c>
      <c r="AK16" s="205" t="s">
        <v>502</v>
      </c>
      <c r="AL16" s="205" t="s">
        <v>502</v>
      </c>
      <c r="AM16" s="205" t="s">
        <v>502</v>
      </c>
      <c r="AN16" s="205" t="s">
        <v>502</v>
      </c>
      <c r="AO16" s="205" t="s">
        <v>502</v>
      </c>
      <c r="AP16" s="205" t="s">
        <v>502</v>
      </c>
      <c r="AQ16" s="205" t="s">
        <v>502</v>
      </c>
      <c r="AR16" s="42" t="s">
        <v>502</v>
      </c>
      <c r="AS16" s="42" t="s">
        <v>502</v>
      </c>
      <c r="AT16" s="42" t="s">
        <v>502</v>
      </c>
      <c r="AU16" s="42" t="s">
        <v>502</v>
      </c>
      <c r="AV16" s="42" t="s">
        <v>502</v>
      </c>
      <c r="AW16" s="42" t="s">
        <v>502</v>
      </c>
      <c r="AX16" s="204">
        <f>800/1.19</f>
        <v>672.26890756302521</v>
      </c>
      <c r="AY16" s="204">
        <f>+AX16*19%</f>
        <v>127.73109243697479</v>
      </c>
      <c r="AZ16" s="211">
        <f>+AX16+AY16</f>
        <v>800</v>
      </c>
      <c r="BA16" s="42" t="s">
        <v>502</v>
      </c>
      <c r="BB16" s="42" t="s">
        <v>502</v>
      </c>
      <c r="BC16" s="42" t="s">
        <v>502</v>
      </c>
      <c r="BD16" s="42" t="s">
        <v>502</v>
      </c>
      <c r="BE16" s="42" t="s">
        <v>502</v>
      </c>
      <c r="BF16" s="42" t="s">
        <v>502</v>
      </c>
      <c r="BG16" s="42" t="s">
        <v>502</v>
      </c>
      <c r="BH16" s="42" t="s">
        <v>502</v>
      </c>
      <c r="BI16" s="42" t="s">
        <v>502</v>
      </c>
      <c r="BJ16" s="203">
        <f t="shared" si="0"/>
        <v>2</v>
      </c>
      <c r="BK16" s="202">
        <f t="shared" si="1"/>
        <v>825</v>
      </c>
      <c r="BL16" s="201">
        <f t="shared" si="2"/>
        <v>850</v>
      </c>
    </row>
    <row r="17" spans="1:64" ht="119.25" customHeight="1" x14ac:dyDescent="0.2">
      <c r="A17" s="42">
        <v>14</v>
      </c>
      <c r="B17" s="210" t="s">
        <v>692</v>
      </c>
      <c r="C17" s="209" t="s">
        <v>691</v>
      </c>
      <c r="D17" s="52">
        <v>93141701</v>
      </c>
      <c r="E17" s="208" t="s">
        <v>690</v>
      </c>
      <c r="F17" s="207" t="s">
        <v>120</v>
      </c>
      <c r="G17" s="206"/>
      <c r="H17" s="205" t="s">
        <v>502</v>
      </c>
      <c r="I17" s="205" t="s">
        <v>502</v>
      </c>
      <c r="J17" s="205" t="s">
        <v>502</v>
      </c>
      <c r="K17" s="205" t="s">
        <v>502</v>
      </c>
      <c r="L17" s="205" t="s">
        <v>502</v>
      </c>
      <c r="M17" s="205" t="s">
        <v>502</v>
      </c>
      <c r="N17" s="205" t="s">
        <v>502</v>
      </c>
      <c r="O17" s="205" t="s">
        <v>502</v>
      </c>
      <c r="P17" s="205" t="s">
        <v>502</v>
      </c>
      <c r="Q17" s="205" t="s">
        <v>502</v>
      </c>
      <c r="R17" s="205" t="s">
        <v>502</v>
      </c>
      <c r="S17" s="205" t="s">
        <v>502</v>
      </c>
      <c r="T17" s="205" t="s">
        <v>502</v>
      </c>
      <c r="U17" s="205" t="s">
        <v>502</v>
      </c>
      <c r="V17" s="205" t="s">
        <v>502</v>
      </c>
      <c r="W17" s="205" t="s">
        <v>502</v>
      </c>
      <c r="X17" s="205" t="s">
        <v>502</v>
      </c>
      <c r="Y17" s="205" t="s">
        <v>502</v>
      </c>
      <c r="Z17" s="205" t="s">
        <v>502</v>
      </c>
      <c r="AA17" s="205" t="s">
        <v>502</v>
      </c>
      <c r="AB17" s="205" t="s">
        <v>502</v>
      </c>
      <c r="AC17" s="205" t="s">
        <v>502</v>
      </c>
      <c r="AD17" s="205" t="s">
        <v>502</v>
      </c>
      <c r="AE17" s="205" t="s">
        <v>502</v>
      </c>
      <c r="AF17" s="205" t="s">
        <v>502</v>
      </c>
      <c r="AG17" s="205" t="s">
        <v>502</v>
      </c>
      <c r="AH17" s="205" t="s">
        <v>502</v>
      </c>
      <c r="AI17" s="205" t="s">
        <v>502</v>
      </c>
      <c r="AJ17" s="205" t="s">
        <v>502</v>
      </c>
      <c r="AK17" s="205" t="s">
        <v>502</v>
      </c>
      <c r="AL17" s="205" t="s">
        <v>502</v>
      </c>
      <c r="AM17" s="205" t="s">
        <v>502</v>
      </c>
      <c r="AN17" s="205" t="s">
        <v>502</v>
      </c>
      <c r="AO17" s="205" t="s">
        <v>502</v>
      </c>
      <c r="AP17" s="205" t="s">
        <v>502</v>
      </c>
      <c r="AQ17" s="205" t="s">
        <v>502</v>
      </c>
      <c r="AR17" s="204">
        <f>235000+199000+389000+320000</f>
        <v>1143000</v>
      </c>
      <c r="AS17" s="204">
        <f>+AR17*19%</f>
        <v>217170</v>
      </c>
      <c r="AT17" s="201">
        <f>+AR17+AS17</f>
        <v>1360170</v>
      </c>
      <c r="AU17" s="204">
        <v>2400000</v>
      </c>
      <c r="AV17" s="204">
        <f>+AU17*19%</f>
        <v>456000</v>
      </c>
      <c r="AW17" s="201">
        <f>+AU17+AV17</f>
        <v>2856000</v>
      </c>
      <c r="AX17" s="42" t="s">
        <v>502</v>
      </c>
      <c r="AY17" s="42" t="s">
        <v>502</v>
      </c>
      <c r="AZ17" s="42" t="s">
        <v>502</v>
      </c>
      <c r="BA17" s="42" t="s">
        <v>502</v>
      </c>
      <c r="BB17" s="42" t="s">
        <v>502</v>
      </c>
      <c r="BC17" s="42" t="s">
        <v>502</v>
      </c>
      <c r="BD17" s="42" t="s">
        <v>502</v>
      </c>
      <c r="BE17" s="42" t="s">
        <v>502</v>
      </c>
      <c r="BF17" s="42" t="s">
        <v>502</v>
      </c>
      <c r="BG17" s="42" t="s">
        <v>502</v>
      </c>
      <c r="BH17" s="42" t="s">
        <v>502</v>
      </c>
      <c r="BI17" s="42" t="s">
        <v>502</v>
      </c>
      <c r="BJ17" s="203">
        <f t="shared" si="0"/>
        <v>2</v>
      </c>
      <c r="BK17" s="202">
        <f t="shared" si="1"/>
        <v>2108085</v>
      </c>
      <c r="BL17" s="201">
        <f t="shared" si="2"/>
        <v>2108100</v>
      </c>
    </row>
    <row r="18" spans="1:64" ht="21" customHeight="1" x14ac:dyDescent="0.2">
      <c r="BL18" s="83">
        <f>SUM(BL4:BL17)</f>
        <v>2770350</v>
      </c>
    </row>
    <row r="19" spans="1:64" ht="21" customHeight="1" x14ac:dyDescent="0.2">
      <c r="E19" s="85"/>
    </row>
  </sheetData>
  <sheetProtection selectLockedCells="1" selectUnlockedCells="1"/>
  <autoFilter ref="A3:BL14"/>
  <mergeCells count="41">
    <mergeCell ref="T1:V1"/>
    <mergeCell ref="A1:G1"/>
    <mergeCell ref="H1:J1"/>
    <mergeCell ref="K1:M1"/>
    <mergeCell ref="N1:P1"/>
    <mergeCell ref="Q1:S1"/>
    <mergeCell ref="A2:G2"/>
    <mergeCell ref="H2:J2"/>
    <mergeCell ref="K2:M2"/>
    <mergeCell ref="N2:P2"/>
    <mergeCell ref="Q2:S2"/>
    <mergeCell ref="W1:Y1"/>
    <mergeCell ref="Z1:AB1"/>
    <mergeCell ref="AC1:AE1"/>
    <mergeCell ref="AF1:AH1"/>
    <mergeCell ref="AI1:AK1"/>
    <mergeCell ref="AL1:AN1"/>
    <mergeCell ref="BD2:BF2"/>
    <mergeCell ref="BG2:BI2"/>
    <mergeCell ref="AL2:AN2"/>
    <mergeCell ref="AO2:AQ2"/>
    <mergeCell ref="BG1:BI1"/>
    <mergeCell ref="AU2:AW2"/>
    <mergeCell ref="AX2:AZ2"/>
    <mergeCell ref="BA2:BC2"/>
    <mergeCell ref="BJ1:BJ2"/>
    <mergeCell ref="BK1:BK2"/>
    <mergeCell ref="BL1:BL2"/>
    <mergeCell ref="AO1:AQ1"/>
    <mergeCell ref="AR1:AT1"/>
    <mergeCell ref="AU1:AW1"/>
    <mergeCell ref="AX1:AZ1"/>
    <mergeCell ref="BA1:BC1"/>
    <mergeCell ref="BD1:BF1"/>
    <mergeCell ref="AR2:AT2"/>
    <mergeCell ref="AI2:AK2"/>
    <mergeCell ref="T2:V2"/>
    <mergeCell ref="W2:Y2"/>
    <mergeCell ref="Z2:AB2"/>
    <mergeCell ref="AC2:AE2"/>
    <mergeCell ref="AF2:AH2"/>
  </mergeCells>
  <conditionalFormatting sqref="H4:J12">
    <cfRule type="containsText" dxfId="38" priority="39" operator="containsText" text="NO COTIZA">
      <formula>NOT(ISERROR(SEARCH("NO COTIZA",H4)))</formula>
    </cfRule>
  </conditionalFormatting>
  <conditionalFormatting sqref="H15:AQ15 H16:V16 Z16:AQ16 H17:AQ17">
    <cfRule type="containsText" dxfId="37" priority="18" operator="containsText" text="NO COTIZA">
      <formula>NOT(ISERROR(SEARCH("NO COTIZA",H15)))</formula>
    </cfRule>
  </conditionalFormatting>
  <conditionalFormatting sqref="K7:M7 K9:M9 K11:M11 K13:M14">
    <cfRule type="containsText" dxfId="36" priority="38" operator="containsText" text="NO COTIZA">
      <formula>NOT(ISERROR(SEARCH("NO COTIZA",K7)))</formula>
    </cfRule>
  </conditionalFormatting>
  <conditionalFormatting sqref="N5:P6 N12:P14">
    <cfRule type="containsText" dxfId="35" priority="37" operator="containsText" text="NO COTIZA">
      <formula>NOT(ISERROR(SEARCH("NO COTIZA",N5)))</formula>
    </cfRule>
  </conditionalFormatting>
  <conditionalFormatting sqref="Q4:S12">
    <cfRule type="containsText" dxfId="34" priority="36" operator="containsText" text="NO COTIZA">
      <formula>NOT(ISERROR(SEARCH("NO COTIZA",Q4)))</formula>
    </cfRule>
  </conditionalFormatting>
  <conditionalFormatting sqref="Q14:S14">
    <cfRule type="containsText" dxfId="33" priority="35" operator="containsText" text="NO COTIZA">
      <formula>NOT(ISERROR(SEARCH("NO COTIZA",Q14)))</formula>
    </cfRule>
  </conditionalFormatting>
  <conditionalFormatting sqref="T4:V4">
    <cfRule type="containsText" dxfId="32" priority="32" operator="containsText" text="VALOR ATÍPICO">
      <formula>NOT(ISERROR(SEARCH("VALOR ATÍPICO",T4)))</formula>
    </cfRule>
  </conditionalFormatting>
  <conditionalFormatting sqref="T6:V7 T12:V14">
    <cfRule type="containsText" dxfId="31" priority="34" operator="containsText" text="NO COTIZA">
      <formula>NOT(ISERROR(SEARCH("NO COTIZA",T6)))</formula>
    </cfRule>
  </conditionalFormatting>
  <conditionalFormatting sqref="W5:Y6 W13:Y14">
    <cfRule type="containsText" dxfId="30" priority="33" operator="containsText" text="NO COTIZA">
      <formula>NOT(ISERROR(SEARCH("NO COTIZA",W5)))</formula>
    </cfRule>
  </conditionalFormatting>
  <conditionalFormatting sqref="W11:Y11">
    <cfRule type="containsText" dxfId="29" priority="27" operator="containsText" text="VALOR ATÍPICO">
      <formula>NOT(ISERROR(SEARCH("VALOR ATÍPICO",W11)))</formula>
    </cfRule>
  </conditionalFormatting>
  <conditionalFormatting sqref="W16:Y16">
    <cfRule type="containsText" dxfId="28" priority="15" operator="containsText" text="NO COTIZA">
      <formula>NOT(ISERROR(SEARCH("NO COTIZA",W16)))</formula>
    </cfRule>
    <cfRule type="cellIs" dxfId="27" priority="16" operator="equal">
      <formula>"NO COTIZA"</formula>
    </cfRule>
    <cfRule type="containsText" dxfId="26" priority="17" stopIfTrue="1" operator="containsText" text="COTIZA">
      <formula>NOT(ISERROR(SEARCH("COTIZA",W16)))</formula>
    </cfRule>
  </conditionalFormatting>
  <conditionalFormatting sqref="Z4:AB13">
    <cfRule type="containsText" dxfId="25" priority="24" operator="containsText" text="NO COTIZA">
      <formula>NOT(ISERROR(SEARCH("NO COTIZA",Z4)))</formula>
    </cfRule>
  </conditionalFormatting>
  <conditionalFormatting sqref="AC4:AE4">
    <cfRule type="containsText" dxfId="24" priority="31" operator="containsText" text="NO COTIZA">
      <formula>NOT(ISERROR(SEARCH("NO COTIZA",AC4)))</formula>
    </cfRule>
  </conditionalFormatting>
  <conditionalFormatting sqref="AC6:AE14">
    <cfRule type="containsText" dxfId="23" priority="30" operator="containsText" text="NO COTIZA">
      <formula>NOT(ISERROR(SEARCH("NO COTIZA",AC6)))</formula>
    </cfRule>
  </conditionalFormatting>
  <conditionalFormatting sqref="AF4:AK5">
    <cfRule type="containsText" dxfId="22" priority="29" operator="containsText" text="NO COTIZA">
      <formula>NOT(ISERROR(SEARCH("NO COTIZA",AF4)))</formula>
    </cfRule>
  </conditionalFormatting>
  <conditionalFormatting sqref="AF7:AK14">
    <cfRule type="containsText" dxfId="21" priority="28" operator="containsText" text="NO COTIZA">
      <formula>NOT(ISERROR(SEARCH("NO COTIZA",AF7)))</formula>
    </cfRule>
  </conditionalFormatting>
  <conditionalFormatting sqref="AL4:AN6">
    <cfRule type="containsText" dxfId="20" priority="26" operator="containsText" text="NO COTIZA">
      <formula>NOT(ISERROR(SEARCH("NO COTIZA",AL4)))</formula>
    </cfRule>
  </conditionalFormatting>
  <conditionalFormatting sqref="AL8:AN14">
    <cfRule type="containsText" dxfId="19" priority="25" operator="containsText" text="NO COTIZA">
      <formula>NOT(ISERROR(SEARCH("NO COTIZA",AL8)))</formula>
    </cfRule>
  </conditionalFormatting>
  <conditionalFormatting sqref="AO4:AQ13">
    <cfRule type="containsText" dxfId="18" priority="23" operator="containsText" text="NO COTIZA">
      <formula>NOT(ISERROR(SEARCH("NO COTIZA",AO4)))</formula>
    </cfRule>
  </conditionalFormatting>
  <conditionalFormatting sqref="AR4:AW16">
    <cfRule type="containsText" dxfId="17" priority="19" operator="containsText" text="NO COTIZA">
      <formula>NOT(ISERROR(SEARCH("NO COTIZA",AR4)))</formula>
    </cfRule>
  </conditionalFormatting>
  <conditionalFormatting sqref="AR17:AW17">
    <cfRule type="containsText" dxfId="16" priority="20" operator="containsText" text="NO COTIZA">
      <formula>NOT(ISERROR(SEARCH("NO COTIZA",AR17)))</formula>
    </cfRule>
    <cfRule type="cellIs" dxfId="15" priority="21" operator="equal">
      <formula>"NO COTIZA"</formula>
    </cfRule>
    <cfRule type="containsText" dxfId="14" priority="22" stopIfTrue="1" operator="containsText" text="COTIZA">
      <formula>NOT(ISERROR(SEARCH("COTIZA",AR17)))</formula>
    </cfRule>
  </conditionalFormatting>
  <conditionalFormatting sqref="AX4:AZ15">
    <cfRule type="containsText" dxfId="13" priority="10" operator="containsText" text="NO COTIZA">
      <formula>NOT(ISERROR(SEARCH("NO COTIZA",AX4)))</formula>
    </cfRule>
  </conditionalFormatting>
  <conditionalFormatting sqref="AX16:AZ16">
    <cfRule type="containsText" dxfId="12" priority="12" operator="containsText" text="NO COTIZA">
      <formula>NOT(ISERROR(SEARCH("NO COTIZA",AX16)))</formula>
    </cfRule>
    <cfRule type="cellIs" dxfId="11" priority="13" operator="equal">
      <formula>"NO COTIZA"</formula>
    </cfRule>
    <cfRule type="containsText" dxfId="10" priority="14" stopIfTrue="1" operator="containsText" text="COTIZA">
      <formula>NOT(ISERROR(SEARCH("COTIZA",AX16)))</formula>
    </cfRule>
  </conditionalFormatting>
  <conditionalFormatting sqref="AX17:AZ17">
    <cfRule type="containsText" dxfId="9" priority="11" operator="containsText" text="NO COTIZA">
      <formula>NOT(ISERROR(SEARCH("NO COTIZA",AX17)))</formula>
    </cfRule>
  </conditionalFormatting>
  <conditionalFormatting sqref="BA4:BC17">
    <cfRule type="containsText" dxfId="8" priority="6" operator="containsText" text="NO COTIZA">
      <formula>NOT(ISERROR(SEARCH("NO COTIZA",BA4)))</formula>
    </cfRule>
  </conditionalFormatting>
  <conditionalFormatting sqref="BA15:BC15">
    <cfRule type="containsText" dxfId="7" priority="7" operator="containsText" text="NO APLICA">
      <formula>NOT(ISERROR(SEARCH("NO APLICA",BA15)))</formula>
    </cfRule>
    <cfRule type="containsText" dxfId="6" priority="8" operator="containsText" text="VALOR ATÍPICO">
      <formula>NOT(ISERROR(SEARCH("VALOR ATÍPICO",BA15)))</formula>
    </cfRule>
    <cfRule type="containsText" dxfId="5" priority="9" stopIfTrue="1" operator="containsText" text="COTIZA">
      <formula>NOT(ISERROR(SEARCH("COTIZA",BA15)))</formula>
    </cfRule>
  </conditionalFormatting>
  <conditionalFormatting sqref="BD4:BI14">
    <cfRule type="containsText" dxfId="4" priority="2" operator="containsText" text="NO COTIZA">
      <formula>NOT(ISERROR(SEARCH("NO COTIZA",BD4)))</formula>
    </cfRule>
  </conditionalFormatting>
  <conditionalFormatting sqref="BD15:BI15">
    <cfRule type="containsText" dxfId="3" priority="3" operator="containsText" text="NO COTIZA">
      <formula>NOT(ISERROR(SEARCH("NO COTIZA",BD15)))</formula>
    </cfRule>
  </conditionalFormatting>
  <conditionalFormatting sqref="BD16:BI17">
    <cfRule type="containsText" dxfId="2" priority="1" operator="containsText" text="NO COTIZA">
      <formula>NOT(ISERROR(SEARCH("NO COTIZA",BD16)))</formula>
    </cfRule>
  </conditionalFormatting>
  <conditionalFormatting sqref="BG15:BI15">
    <cfRule type="cellIs" dxfId="1" priority="4" operator="equal">
      <formula>"NO COTIZA"</formula>
    </cfRule>
    <cfRule type="containsText" dxfId="0" priority="5" stopIfTrue="1" operator="containsText" text="COTIZA">
      <formula>NOT(ISERROR(SEARCH("COTIZA",BG15)))</formula>
    </cfRule>
  </conditionalFormatting>
  <printOptions horizontalCentered="1"/>
  <pageMargins left="0.25" right="0.25" top="0.75" bottom="0.75" header="0.3" footer="0.3"/>
  <pageSetup scale="72" firstPageNumber="0" orientation="landscape"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83"/>
  <sheetViews>
    <sheetView tabSelected="1" topLeftCell="A162" zoomScaleNormal="100" workbookViewId="0">
      <selection activeCell="F189" sqref="F189"/>
    </sheetView>
  </sheetViews>
  <sheetFormatPr baseColWidth="10" defaultColWidth="10.85546875" defaultRowHeight="12.75" x14ac:dyDescent="0.2"/>
  <cols>
    <col min="1" max="1" width="15" style="6" customWidth="1"/>
    <col min="2" max="2" width="20.85546875" style="6" bestFit="1" customWidth="1"/>
    <col min="3" max="3" width="25.42578125" style="6" bestFit="1" customWidth="1"/>
    <col min="4" max="4" width="25.42578125" style="6" customWidth="1"/>
    <col min="5" max="5" width="12" style="6" customWidth="1"/>
    <col min="6" max="6" width="57.85546875" style="9" customWidth="1"/>
    <col min="7" max="7" width="12.42578125" style="4" bestFit="1" customWidth="1"/>
    <col min="8" max="8" width="16.85546875" style="3" customWidth="1"/>
    <col min="9" max="9" width="15.42578125" style="17" bestFit="1" customWidth="1"/>
    <col min="10" max="10" width="14.140625" style="17" customWidth="1"/>
    <col min="11" max="11" width="21.140625" style="17" customWidth="1"/>
    <col min="12" max="16384" width="10.85546875" style="1"/>
  </cols>
  <sheetData>
    <row r="1" spans="1:11" ht="13.5" thickBot="1" x14ac:dyDescent="0.25"/>
    <row r="2" spans="1:11" ht="13.5" thickBot="1" x14ac:dyDescent="0.25">
      <c r="A2" s="298" t="s">
        <v>324</v>
      </c>
      <c r="B2" s="299"/>
      <c r="C2" s="299"/>
      <c r="D2" s="299"/>
      <c r="E2" s="299"/>
      <c r="F2" s="299"/>
      <c r="G2" s="299"/>
      <c r="H2" s="299"/>
      <c r="I2" s="299"/>
      <c r="J2" s="299"/>
      <c r="K2" s="300"/>
    </row>
    <row r="3" spans="1:11" ht="13.5" thickBot="1" x14ac:dyDescent="0.25">
      <c r="A3" s="7"/>
      <c r="B3" s="7"/>
      <c r="C3" s="7"/>
      <c r="D3" s="7"/>
      <c r="E3" s="7"/>
      <c r="F3" s="10"/>
      <c r="G3" s="8"/>
      <c r="H3" s="5"/>
      <c r="I3" s="18"/>
      <c r="J3" s="18"/>
      <c r="K3" s="18"/>
    </row>
    <row r="4" spans="1:11" ht="12.75" customHeight="1" x14ac:dyDescent="0.2">
      <c r="A4" s="313" t="s">
        <v>8</v>
      </c>
      <c r="B4" s="314"/>
      <c r="C4" s="304" t="s">
        <v>736</v>
      </c>
      <c r="D4" s="305"/>
      <c r="E4" s="305"/>
      <c r="F4" s="305"/>
      <c r="G4" s="305"/>
      <c r="H4" s="305"/>
      <c r="I4" s="305"/>
      <c r="J4" s="305"/>
      <c r="K4" s="306"/>
    </row>
    <row r="5" spans="1:11" ht="15" customHeight="1" x14ac:dyDescent="0.2">
      <c r="A5" s="315"/>
      <c r="B5" s="316"/>
      <c r="C5" s="307"/>
      <c r="D5" s="308"/>
      <c r="E5" s="308"/>
      <c r="F5" s="308"/>
      <c r="G5" s="308"/>
      <c r="H5" s="308"/>
      <c r="I5" s="308"/>
      <c r="J5" s="308"/>
      <c r="K5" s="309"/>
    </row>
    <row r="6" spans="1:11" ht="15" customHeight="1" x14ac:dyDescent="0.2">
      <c r="A6" s="315"/>
      <c r="B6" s="316"/>
      <c r="C6" s="307"/>
      <c r="D6" s="308"/>
      <c r="E6" s="308"/>
      <c r="F6" s="308"/>
      <c r="G6" s="308"/>
      <c r="H6" s="308"/>
      <c r="I6" s="308"/>
      <c r="J6" s="308"/>
      <c r="K6" s="309"/>
    </row>
    <row r="7" spans="1:11" ht="15" customHeight="1" thickBot="1" x14ac:dyDescent="0.25">
      <c r="A7" s="317"/>
      <c r="B7" s="318"/>
      <c r="C7" s="310"/>
      <c r="D7" s="311"/>
      <c r="E7" s="311"/>
      <c r="F7" s="311"/>
      <c r="G7" s="311"/>
      <c r="H7" s="311"/>
      <c r="I7" s="311"/>
      <c r="J7" s="311"/>
      <c r="K7" s="312"/>
    </row>
    <row r="9" spans="1:11" ht="44.25" customHeight="1" x14ac:dyDescent="0.2">
      <c r="A9" s="240" t="s">
        <v>0</v>
      </c>
      <c r="B9" s="240" t="s">
        <v>10</v>
      </c>
      <c r="C9" s="240" t="s">
        <v>1</v>
      </c>
      <c r="D9" s="240" t="s">
        <v>3</v>
      </c>
      <c r="E9" s="240" t="s">
        <v>2</v>
      </c>
      <c r="F9" s="240" t="s">
        <v>91</v>
      </c>
      <c r="G9" s="240" t="s">
        <v>4</v>
      </c>
      <c r="H9" s="240" t="s">
        <v>5</v>
      </c>
      <c r="I9" s="19" t="s">
        <v>734</v>
      </c>
      <c r="J9" s="19" t="s">
        <v>735</v>
      </c>
      <c r="K9" s="19" t="s">
        <v>733</v>
      </c>
    </row>
    <row r="10" spans="1:11" ht="63.75" x14ac:dyDescent="0.2">
      <c r="A10" s="12">
        <v>1</v>
      </c>
      <c r="B10" s="13" t="s">
        <v>11</v>
      </c>
      <c r="C10" s="13" t="s">
        <v>9</v>
      </c>
      <c r="D10" s="14" t="s">
        <v>13</v>
      </c>
      <c r="E10" s="14">
        <v>25101700</v>
      </c>
      <c r="F10" s="16" t="s">
        <v>166</v>
      </c>
      <c r="G10" s="13" t="s">
        <v>49</v>
      </c>
      <c r="H10" s="238">
        <v>1</v>
      </c>
      <c r="I10" s="239">
        <f>ROUND(K10/1.19,0)</f>
        <v>2020336</v>
      </c>
      <c r="J10" s="20">
        <f>K10-I10</f>
        <v>383864</v>
      </c>
      <c r="K10" s="241">
        <v>2404200</v>
      </c>
    </row>
    <row r="11" spans="1:11" ht="51" x14ac:dyDescent="0.2">
      <c r="A11" s="12">
        <v>2</v>
      </c>
      <c r="B11" s="13" t="s">
        <v>11</v>
      </c>
      <c r="C11" s="13" t="s">
        <v>9</v>
      </c>
      <c r="D11" s="14" t="s">
        <v>14</v>
      </c>
      <c r="E11" s="14">
        <v>25101700</v>
      </c>
      <c r="F11" s="16" t="s">
        <v>167</v>
      </c>
      <c r="G11" s="13" t="s">
        <v>50</v>
      </c>
      <c r="H11" s="238">
        <v>1</v>
      </c>
      <c r="I11" s="239">
        <f t="shared" ref="I11:I62" si="0">ROUND(K11/1.19,0)</f>
        <v>798950</v>
      </c>
      <c r="J11" s="20">
        <f t="shared" ref="J11:J62" si="1">K11-I11</f>
        <v>151800</v>
      </c>
      <c r="K11" s="241">
        <v>950750</v>
      </c>
    </row>
    <row r="12" spans="1:11" ht="89.25" x14ac:dyDescent="0.2">
      <c r="A12" s="12">
        <v>3</v>
      </c>
      <c r="B12" s="13" t="s">
        <v>11</v>
      </c>
      <c r="C12" s="13" t="s">
        <v>9</v>
      </c>
      <c r="D12" s="14" t="s">
        <v>15</v>
      </c>
      <c r="E12" s="14">
        <v>24101500</v>
      </c>
      <c r="F12" s="16" t="s">
        <v>168</v>
      </c>
      <c r="G12" s="13" t="s">
        <v>51</v>
      </c>
      <c r="H12" s="238">
        <v>1</v>
      </c>
      <c r="I12" s="239">
        <f t="shared" si="0"/>
        <v>514874</v>
      </c>
      <c r="J12" s="20">
        <f t="shared" si="1"/>
        <v>97826</v>
      </c>
      <c r="K12" s="241">
        <v>612700</v>
      </c>
    </row>
    <row r="13" spans="1:11" ht="63.75" x14ac:dyDescent="0.2">
      <c r="A13" s="12">
        <v>4</v>
      </c>
      <c r="B13" s="13" t="s">
        <v>11</v>
      </c>
      <c r="C13" s="13" t="s">
        <v>9</v>
      </c>
      <c r="D13" s="14" t="s">
        <v>16</v>
      </c>
      <c r="E13" s="14">
        <v>25101900</v>
      </c>
      <c r="F13" s="16" t="s">
        <v>169</v>
      </c>
      <c r="G13" s="13" t="s">
        <v>51</v>
      </c>
      <c r="H13" s="238">
        <v>1</v>
      </c>
      <c r="I13" s="239">
        <f t="shared" si="0"/>
        <v>710210</v>
      </c>
      <c r="J13" s="20">
        <f t="shared" si="1"/>
        <v>134940</v>
      </c>
      <c r="K13" s="241">
        <v>845150</v>
      </c>
    </row>
    <row r="14" spans="1:11" ht="63.75" x14ac:dyDescent="0.2">
      <c r="A14" s="12">
        <v>5</v>
      </c>
      <c r="B14" s="13" t="s">
        <v>11</v>
      </c>
      <c r="C14" s="13" t="s">
        <v>9</v>
      </c>
      <c r="D14" s="14" t="s">
        <v>17</v>
      </c>
      <c r="E14" s="14">
        <v>25101900</v>
      </c>
      <c r="F14" s="16" t="s">
        <v>170</v>
      </c>
      <c r="G14" s="13" t="s">
        <v>51</v>
      </c>
      <c r="H14" s="238">
        <v>1</v>
      </c>
      <c r="I14" s="239">
        <f t="shared" si="0"/>
        <v>578866</v>
      </c>
      <c r="J14" s="20">
        <f t="shared" si="1"/>
        <v>109984</v>
      </c>
      <c r="K14" s="241">
        <v>688850</v>
      </c>
    </row>
    <row r="15" spans="1:11" ht="63.75" x14ac:dyDescent="0.2">
      <c r="A15" s="12">
        <v>6</v>
      </c>
      <c r="B15" s="13" t="s">
        <v>11</v>
      </c>
      <c r="C15" s="13" t="s">
        <v>9</v>
      </c>
      <c r="D15" s="14" t="s">
        <v>17</v>
      </c>
      <c r="E15" s="14">
        <v>25101900</v>
      </c>
      <c r="F15" s="16" t="s">
        <v>171</v>
      </c>
      <c r="G15" s="13" t="s">
        <v>51</v>
      </c>
      <c r="H15" s="238">
        <v>1</v>
      </c>
      <c r="I15" s="239">
        <f t="shared" si="0"/>
        <v>694916</v>
      </c>
      <c r="J15" s="20">
        <f t="shared" si="1"/>
        <v>132034</v>
      </c>
      <c r="K15" s="241">
        <v>826950</v>
      </c>
    </row>
    <row r="16" spans="1:11" ht="76.5" x14ac:dyDescent="0.2">
      <c r="A16" s="12">
        <v>7</v>
      </c>
      <c r="B16" s="13" t="s">
        <v>11</v>
      </c>
      <c r="C16" s="13" t="s">
        <v>9</v>
      </c>
      <c r="D16" s="14" t="s">
        <v>18</v>
      </c>
      <c r="E16" s="14">
        <v>25101900</v>
      </c>
      <c r="F16" s="16" t="s">
        <v>172</v>
      </c>
      <c r="G16" s="13" t="s">
        <v>52</v>
      </c>
      <c r="H16" s="238">
        <v>1</v>
      </c>
      <c r="I16" s="239">
        <f t="shared" si="0"/>
        <v>6203950</v>
      </c>
      <c r="J16" s="20">
        <f t="shared" si="1"/>
        <v>1178750</v>
      </c>
      <c r="K16" s="241">
        <v>7382700</v>
      </c>
    </row>
    <row r="17" spans="1:11" ht="76.5" x14ac:dyDescent="0.2">
      <c r="A17" s="12">
        <v>8</v>
      </c>
      <c r="B17" s="13" t="s">
        <v>11</v>
      </c>
      <c r="C17" s="13" t="s">
        <v>9</v>
      </c>
      <c r="D17" s="14" t="s">
        <v>18</v>
      </c>
      <c r="E17" s="14">
        <v>25101900</v>
      </c>
      <c r="F17" s="16" t="s">
        <v>172</v>
      </c>
      <c r="G17" s="13" t="s">
        <v>51</v>
      </c>
      <c r="H17" s="238">
        <v>1</v>
      </c>
      <c r="I17" s="239">
        <f t="shared" si="0"/>
        <v>584706</v>
      </c>
      <c r="J17" s="20">
        <f t="shared" si="1"/>
        <v>111094</v>
      </c>
      <c r="K17" s="241">
        <v>695800</v>
      </c>
    </row>
    <row r="18" spans="1:11" ht="89.25" x14ac:dyDescent="0.2">
      <c r="A18" s="12">
        <v>9</v>
      </c>
      <c r="B18" s="13" t="s">
        <v>11</v>
      </c>
      <c r="C18" s="13" t="s">
        <v>9</v>
      </c>
      <c r="D18" s="14" t="s">
        <v>19</v>
      </c>
      <c r="E18" s="14">
        <v>25101900</v>
      </c>
      <c r="F18" s="16" t="s">
        <v>173</v>
      </c>
      <c r="G18" s="13" t="s">
        <v>51</v>
      </c>
      <c r="H18" s="238">
        <v>1</v>
      </c>
      <c r="I18" s="239">
        <f t="shared" si="0"/>
        <v>1653319</v>
      </c>
      <c r="J18" s="20">
        <f t="shared" si="1"/>
        <v>314131</v>
      </c>
      <c r="K18" s="241">
        <v>1967450</v>
      </c>
    </row>
    <row r="19" spans="1:11" ht="25.5" x14ac:dyDescent="0.2">
      <c r="A19" s="12">
        <v>10</v>
      </c>
      <c r="B19" s="13" t="s">
        <v>12</v>
      </c>
      <c r="C19" s="13" t="s">
        <v>9</v>
      </c>
      <c r="D19" s="14" t="s">
        <v>21</v>
      </c>
      <c r="E19" s="14">
        <v>82150000</v>
      </c>
      <c r="F19" s="16" t="s">
        <v>175</v>
      </c>
      <c r="G19" s="13" t="s">
        <v>54</v>
      </c>
      <c r="H19" s="238">
        <v>1</v>
      </c>
      <c r="I19" s="239">
        <f t="shared" si="0"/>
        <v>158319</v>
      </c>
      <c r="J19" s="20">
        <f t="shared" si="1"/>
        <v>30081</v>
      </c>
      <c r="K19" s="241">
        <v>188400</v>
      </c>
    </row>
    <row r="20" spans="1:11" ht="25.5" x14ac:dyDescent="0.2">
      <c r="A20" s="12">
        <v>11</v>
      </c>
      <c r="B20" s="13" t="s">
        <v>12</v>
      </c>
      <c r="C20" s="13" t="s">
        <v>9</v>
      </c>
      <c r="D20" s="14" t="s">
        <v>22</v>
      </c>
      <c r="E20" s="14">
        <v>43211800</v>
      </c>
      <c r="F20" s="16" t="s">
        <v>176</v>
      </c>
      <c r="G20" s="13" t="s">
        <v>55</v>
      </c>
      <c r="H20" s="238">
        <v>1</v>
      </c>
      <c r="I20" s="239">
        <f t="shared" si="0"/>
        <v>21429</v>
      </c>
      <c r="J20" s="20">
        <f t="shared" si="1"/>
        <v>4071</v>
      </c>
      <c r="K20" s="241">
        <v>25500</v>
      </c>
    </row>
    <row r="21" spans="1:11" ht="127.5" x14ac:dyDescent="0.2">
      <c r="A21" s="12">
        <v>12</v>
      </c>
      <c r="B21" s="13" t="s">
        <v>12</v>
      </c>
      <c r="C21" s="13" t="s">
        <v>9</v>
      </c>
      <c r="D21" s="14" t="s">
        <v>23</v>
      </c>
      <c r="E21" s="14">
        <v>82150000</v>
      </c>
      <c r="F21" s="16" t="s">
        <v>177</v>
      </c>
      <c r="G21" s="13" t="s">
        <v>56</v>
      </c>
      <c r="H21" s="238">
        <v>1</v>
      </c>
      <c r="I21" s="239">
        <f t="shared" si="0"/>
        <v>2259412</v>
      </c>
      <c r="J21" s="20">
        <f t="shared" si="1"/>
        <v>429288</v>
      </c>
      <c r="K21" s="241">
        <v>2688700</v>
      </c>
    </row>
    <row r="22" spans="1:11" ht="140.25" x14ac:dyDescent="0.2">
      <c r="A22" s="12">
        <v>13</v>
      </c>
      <c r="B22" s="13" t="s">
        <v>12</v>
      </c>
      <c r="C22" s="13" t="s">
        <v>9</v>
      </c>
      <c r="D22" s="14" t="s">
        <v>24</v>
      </c>
      <c r="E22" s="14">
        <v>82150000</v>
      </c>
      <c r="F22" s="16" t="s">
        <v>178</v>
      </c>
      <c r="G22" s="13" t="s">
        <v>56</v>
      </c>
      <c r="H22" s="238">
        <v>1</v>
      </c>
      <c r="I22" s="239">
        <f t="shared" si="0"/>
        <v>3647269</v>
      </c>
      <c r="J22" s="20">
        <f t="shared" si="1"/>
        <v>692981</v>
      </c>
      <c r="K22" s="241">
        <v>4340250</v>
      </c>
    </row>
    <row r="23" spans="1:11" ht="127.5" x14ac:dyDescent="0.2">
      <c r="A23" s="12">
        <v>14</v>
      </c>
      <c r="B23" s="13" t="s">
        <v>12</v>
      </c>
      <c r="C23" s="13" t="s">
        <v>9</v>
      </c>
      <c r="D23" s="14" t="s">
        <v>25</v>
      </c>
      <c r="E23" s="14">
        <v>82150000</v>
      </c>
      <c r="F23" s="16" t="s">
        <v>179</v>
      </c>
      <c r="G23" s="13" t="s">
        <v>56</v>
      </c>
      <c r="H23" s="238">
        <v>1</v>
      </c>
      <c r="I23" s="239">
        <f t="shared" si="0"/>
        <v>5991303</v>
      </c>
      <c r="J23" s="20">
        <f t="shared" si="1"/>
        <v>1138347</v>
      </c>
      <c r="K23" s="241">
        <v>7129650</v>
      </c>
    </row>
    <row r="24" spans="1:11" ht="51" x14ac:dyDescent="0.2">
      <c r="A24" s="12">
        <v>15</v>
      </c>
      <c r="B24" s="13" t="s">
        <v>12</v>
      </c>
      <c r="C24" s="13" t="s">
        <v>9</v>
      </c>
      <c r="D24" s="14" t="s">
        <v>26</v>
      </c>
      <c r="E24" s="14">
        <v>82151700</v>
      </c>
      <c r="F24" s="16" t="s">
        <v>180</v>
      </c>
      <c r="G24" s="13" t="s">
        <v>57</v>
      </c>
      <c r="H24" s="238">
        <v>1</v>
      </c>
      <c r="I24" s="239">
        <f t="shared" si="0"/>
        <v>914118</v>
      </c>
      <c r="J24" s="20">
        <f t="shared" si="1"/>
        <v>173682</v>
      </c>
      <c r="K24" s="241">
        <v>1087800</v>
      </c>
    </row>
    <row r="25" spans="1:11" ht="38.25" x14ac:dyDescent="0.2">
      <c r="A25" s="12">
        <v>16</v>
      </c>
      <c r="B25" s="13" t="s">
        <v>12</v>
      </c>
      <c r="C25" s="13" t="s">
        <v>9</v>
      </c>
      <c r="D25" s="14" t="s">
        <v>27</v>
      </c>
      <c r="E25" s="14">
        <v>52151700</v>
      </c>
      <c r="F25" s="16" t="s">
        <v>181</v>
      </c>
      <c r="G25" s="13" t="s">
        <v>58</v>
      </c>
      <c r="H25" s="238">
        <v>1</v>
      </c>
      <c r="I25" s="239">
        <f t="shared" si="0"/>
        <v>2338613</v>
      </c>
      <c r="J25" s="20">
        <f t="shared" si="1"/>
        <v>444337</v>
      </c>
      <c r="K25" s="241">
        <v>2782950</v>
      </c>
    </row>
    <row r="26" spans="1:11" ht="38.25" x14ac:dyDescent="0.2">
      <c r="A26" s="12">
        <v>17</v>
      </c>
      <c r="B26" s="13" t="s">
        <v>12</v>
      </c>
      <c r="C26" s="13" t="s">
        <v>9</v>
      </c>
      <c r="D26" s="14" t="s">
        <v>28</v>
      </c>
      <c r="E26" s="14">
        <v>80131500</v>
      </c>
      <c r="F26" s="16" t="s">
        <v>182</v>
      </c>
      <c r="G26" s="13" t="s">
        <v>732</v>
      </c>
      <c r="H26" s="238">
        <v>1</v>
      </c>
      <c r="I26" s="239">
        <f t="shared" si="0"/>
        <v>93697</v>
      </c>
      <c r="J26" s="20">
        <f t="shared" si="1"/>
        <v>17803</v>
      </c>
      <c r="K26" s="241">
        <v>111500</v>
      </c>
    </row>
    <row r="27" spans="1:11" ht="89.25" x14ac:dyDescent="0.2">
      <c r="A27" s="12">
        <v>18</v>
      </c>
      <c r="B27" s="13" t="s">
        <v>12</v>
      </c>
      <c r="C27" s="13" t="s">
        <v>9</v>
      </c>
      <c r="D27" s="14" t="s">
        <v>29</v>
      </c>
      <c r="E27" s="14">
        <v>80141600</v>
      </c>
      <c r="F27" s="16" t="s">
        <v>183</v>
      </c>
      <c r="G27" s="13" t="s">
        <v>51</v>
      </c>
      <c r="H27" s="238">
        <v>1</v>
      </c>
      <c r="I27" s="239">
        <f t="shared" si="0"/>
        <v>10812941</v>
      </c>
      <c r="J27" s="20">
        <f t="shared" si="1"/>
        <v>2054459</v>
      </c>
      <c r="K27" s="241">
        <v>12867400</v>
      </c>
    </row>
    <row r="28" spans="1:11" s="15" customFormat="1" ht="25.5" x14ac:dyDescent="0.25">
      <c r="A28" s="12">
        <v>19</v>
      </c>
      <c r="B28" s="13" t="s">
        <v>12</v>
      </c>
      <c r="C28" s="13" t="s">
        <v>9</v>
      </c>
      <c r="D28" s="14" t="s">
        <v>30</v>
      </c>
      <c r="E28" s="14">
        <v>80141600</v>
      </c>
      <c r="F28" s="16" t="s">
        <v>184</v>
      </c>
      <c r="G28" s="13" t="s">
        <v>51</v>
      </c>
      <c r="H28" s="238">
        <v>1</v>
      </c>
      <c r="I28" s="239">
        <f t="shared" si="0"/>
        <v>123487</v>
      </c>
      <c r="J28" s="20">
        <f t="shared" si="1"/>
        <v>23463</v>
      </c>
      <c r="K28" s="241">
        <v>146950</v>
      </c>
    </row>
    <row r="29" spans="1:11" s="15" customFormat="1" ht="25.5" x14ac:dyDescent="0.25">
      <c r="A29" s="12">
        <v>20</v>
      </c>
      <c r="B29" s="13" t="s">
        <v>12</v>
      </c>
      <c r="C29" s="13" t="s">
        <v>9</v>
      </c>
      <c r="D29" s="14" t="s">
        <v>31</v>
      </c>
      <c r="E29" s="14">
        <v>26101400</v>
      </c>
      <c r="F29" s="16" t="s">
        <v>185</v>
      </c>
      <c r="G29" s="13" t="s">
        <v>51</v>
      </c>
      <c r="H29" s="238">
        <v>1</v>
      </c>
      <c r="I29" s="239">
        <f t="shared" si="0"/>
        <v>1162857</v>
      </c>
      <c r="J29" s="20">
        <f t="shared" si="1"/>
        <v>220943</v>
      </c>
      <c r="K29" s="241">
        <v>1383800</v>
      </c>
    </row>
    <row r="30" spans="1:11" s="15" customFormat="1" ht="25.5" x14ac:dyDescent="0.25">
      <c r="A30" s="12">
        <v>21</v>
      </c>
      <c r="B30" s="13" t="s">
        <v>12</v>
      </c>
      <c r="C30" s="13" t="s">
        <v>9</v>
      </c>
      <c r="D30" s="14" t="s">
        <v>32</v>
      </c>
      <c r="E30" s="14">
        <v>26101400</v>
      </c>
      <c r="F30" s="16" t="s">
        <v>186</v>
      </c>
      <c r="G30" s="13" t="s">
        <v>51</v>
      </c>
      <c r="H30" s="238">
        <v>1</v>
      </c>
      <c r="I30" s="239">
        <f t="shared" si="0"/>
        <v>2046597</v>
      </c>
      <c r="J30" s="20">
        <f t="shared" si="1"/>
        <v>388853</v>
      </c>
      <c r="K30" s="241">
        <v>2435450</v>
      </c>
    </row>
    <row r="31" spans="1:11" s="15" customFormat="1" ht="25.5" x14ac:dyDescent="0.25">
      <c r="A31" s="12">
        <v>22</v>
      </c>
      <c r="B31" s="13" t="s">
        <v>12</v>
      </c>
      <c r="C31" s="13" t="s">
        <v>9</v>
      </c>
      <c r="D31" s="14" t="s">
        <v>33</v>
      </c>
      <c r="E31" s="14">
        <v>26101400</v>
      </c>
      <c r="F31" s="16" t="s">
        <v>187</v>
      </c>
      <c r="G31" s="13" t="s">
        <v>51</v>
      </c>
      <c r="H31" s="238">
        <v>1</v>
      </c>
      <c r="I31" s="239">
        <f t="shared" si="0"/>
        <v>2349538</v>
      </c>
      <c r="J31" s="20">
        <f t="shared" si="1"/>
        <v>446412</v>
      </c>
      <c r="K31" s="241">
        <v>2795950</v>
      </c>
    </row>
    <row r="32" spans="1:11" s="15" customFormat="1" ht="25.5" x14ac:dyDescent="0.25">
      <c r="A32" s="12">
        <v>23</v>
      </c>
      <c r="B32" s="13" t="s">
        <v>12</v>
      </c>
      <c r="C32" s="13" t="s">
        <v>9</v>
      </c>
      <c r="D32" s="14" t="s">
        <v>34</v>
      </c>
      <c r="E32" s="14">
        <v>26101400</v>
      </c>
      <c r="F32" s="16" t="s">
        <v>188</v>
      </c>
      <c r="G32" s="13" t="s">
        <v>51</v>
      </c>
      <c r="H32" s="238">
        <v>1</v>
      </c>
      <c r="I32" s="239">
        <f t="shared" si="0"/>
        <v>2544244</v>
      </c>
      <c r="J32" s="20">
        <f t="shared" si="1"/>
        <v>483406</v>
      </c>
      <c r="K32" s="241">
        <v>3027650</v>
      </c>
    </row>
    <row r="33" spans="1:11" ht="51" x14ac:dyDescent="0.2">
      <c r="A33" s="12">
        <v>24</v>
      </c>
      <c r="B33" s="13" t="s">
        <v>12</v>
      </c>
      <c r="C33" s="13" t="s">
        <v>9</v>
      </c>
      <c r="D33" s="14" t="s">
        <v>35</v>
      </c>
      <c r="E33" s="14">
        <v>80141900</v>
      </c>
      <c r="F33" s="16" t="s">
        <v>189</v>
      </c>
      <c r="G33" s="13" t="s">
        <v>51</v>
      </c>
      <c r="H33" s="238">
        <v>1</v>
      </c>
      <c r="I33" s="239">
        <f t="shared" si="0"/>
        <v>17899</v>
      </c>
      <c r="J33" s="20">
        <f t="shared" si="1"/>
        <v>3401</v>
      </c>
      <c r="K33" s="241">
        <v>21300</v>
      </c>
    </row>
    <row r="34" spans="1:11" ht="25.5" x14ac:dyDescent="0.2">
      <c r="A34" s="12">
        <v>25</v>
      </c>
      <c r="B34" s="13" t="s">
        <v>12</v>
      </c>
      <c r="C34" s="13" t="s">
        <v>9</v>
      </c>
      <c r="D34" s="14" t="s">
        <v>40</v>
      </c>
      <c r="E34" s="14">
        <v>90101600</v>
      </c>
      <c r="F34" s="16" t="s">
        <v>193</v>
      </c>
      <c r="G34" s="13" t="s">
        <v>51</v>
      </c>
      <c r="H34" s="238">
        <v>1</v>
      </c>
      <c r="I34" s="239">
        <f t="shared" si="0"/>
        <v>2023655</v>
      </c>
      <c r="J34" s="20">
        <f t="shared" si="1"/>
        <v>384495</v>
      </c>
      <c r="K34" s="241">
        <v>2408150</v>
      </c>
    </row>
    <row r="35" spans="1:11" ht="51" x14ac:dyDescent="0.2">
      <c r="A35" s="12">
        <v>26</v>
      </c>
      <c r="B35" s="13" t="s">
        <v>12</v>
      </c>
      <c r="C35" s="13" t="s">
        <v>9</v>
      </c>
      <c r="D35" s="14" t="s">
        <v>41</v>
      </c>
      <c r="E35" s="14">
        <v>90101600</v>
      </c>
      <c r="F35" s="16" t="s">
        <v>194</v>
      </c>
      <c r="G35" s="13" t="s">
        <v>60</v>
      </c>
      <c r="H35" s="238">
        <v>1</v>
      </c>
      <c r="I35" s="239">
        <f t="shared" si="0"/>
        <v>347143</v>
      </c>
      <c r="J35" s="20">
        <f t="shared" si="1"/>
        <v>65957</v>
      </c>
      <c r="K35" s="241">
        <v>413100</v>
      </c>
    </row>
    <row r="36" spans="1:11" ht="51" x14ac:dyDescent="0.2">
      <c r="A36" s="12">
        <v>27</v>
      </c>
      <c r="B36" s="13" t="s">
        <v>12</v>
      </c>
      <c r="C36" s="13" t="s">
        <v>9</v>
      </c>
      <c r="D36" s="14" t="s">
        <v>42</v>
      </c>
      <c r="E36" s="14">
        <v>90101600</v>
      </c>
      <c r="F36" s="16" t="s">
        <v>195</v>
      </c>
      <c r="G36" s="13" t="s">
        <v>60</v>
      </c>
      <c r="H36" s="238">
        <v>1</v>
      </c>
      <c r="I36" s="239">
        <f t="shared" si="0"/>
        <v>431429</v>
      </c>
      <c r="J36" s="20">
        <f t="shared" si="1"/>
        <v>81971</v>
      </c>
      <c r="K36" s="241">
        <v>513400</v>
      </c>
    </row>
    <row r="37" spans="1:11" ht="63.75" x14ac:dyDescent="0.2">
      <c r="A37" s="12">
        <v>28</v>
      </c>
      <c r="B37" s="13" t="s">
        <v>12</v>
      </c>
      <c r="C37" s="13" t="s">
        <v>9</v>
      </c>
      <c r="D37" s="14" t="s">
        <v>43</v>
      </c>
      <c r="E37" s="14">
        <v>90101600</v>
      </c>
      <c r="F37" s="16" t="s">
        <v>196</v>
      </c>
      <c r="G37" s="13" t="s">
        <v>60</v>
      </c>
      <c r="H37" s="238">
        <v>1</v>
      </c>
      <c r="I37" s="239">
        <f t="shared" si="0"/>
        <v>743866</v>
      </c>
      <c r="J37" s="20">
        <f t="shared" si="1"/>
        <v>141334</v>
      </c>
      <c r="K37" s="241">
        <v>885200</v>
      </c>
    </row>
    <row r="38" spans="1:11" ht="76.5" x14ac:dyDescent="0.2">
      <c r="A38" s="12">
        <v>29</v>
      </c>
      <c r="B38" s="13" t="s">
        <v>12</v>
      </c>
      <c r="C38" s="13" t="s">
        <v>9</v>
      </c>
      <c r="D38" s="14" t="s">
        <v>44</v>
      </c>
      <c r="E38" s="14">
        <v>82150000</v>
      </c>
      <c r="F38" s="16" t="s">
        <v>197</v>
      </c>
      <c r="G38" s="13" t="s">
        <v>60</v>
      </c>
      <c r="H38" s="238">
        <v>1</v>
      </c>
      <c r="I38" s="239">
        <f t="shared" si="0"/>
        <v>1872941</v>
      </c>
      <c r="J38" s="20">
        <f t="shared" si="1"/>
        <v>355859</v>
      </c>
      <c r="K38" s="241">
        <v>2228800</v>
      </c>
    </row>
    <row r="39" spans="1:11" ht="51" x14ac:dyDescent="0.2">
      <c r="A39" s="12">
        <v>30</v>
      </c>
      <c r="B39" s="13" t="s">
        <v>12</v>
      </c>
      <c r="C39" s="13" t="s">
        <v>9</v>
      </c>
      <c r="D39" s="14" t="s">
        <v>45</v>
      </c>
      <c r="E39" s="14">
        <v>82151600</v>
      </c>
      <c r="F39" s="16" t="s">
        <v>198</v>
      </c>
      <c r="G39" s="13" t="s">
        <v>65</v>
      </c>
      <c r="H39" s="238">
        <v>1</v>
      </c>
      <c r="I39" s="239">
        <f t="shared" si="0"/>
        <v>3432227</v>
      </c>
      <c r="J39" s="20">
        <f t="shared" si="1"/>
        <v>652123</v>
      </c>
      <c r="K39" s="241">
        <v>4084350</v>
      </c>
    </row>
    <row r="40" spans="1:11" ht="127.5" x14ac:dyDescent="0.2">
      <c r="A40" s="12">
        <v>31</v>
      </c>
      <c r="B40" s="13" t="s">
        <v>12</v>
      </c>
      <c r="C40" s="13" t="s">
        <v>9</v>
      </c>
      <c r="D40" s="14" t="s">
        <v>202</v>
      </c>
      <c r="E40" s="14">
        <v>81112500</v>
      </c>
      <c r="F40" s="16" t="s">
        <v>210</v>
      </c>
      <c r="G40" s="13" t="s">
        <v>86</v>
      </c>
      <c r="H40" s="238">
        <v>1</v>
      </c>
      <c r="I40" s="239">
        <f t="shared" si="0"/>
        <v>8791429</v>
      </c>
      <c r="J40" s="20">
        <f t="shared" si="1"/>
        <v>1670371</v>
      </c>
      <c r="K40" s="241">
        <v>10461800</v>
      </c>
    </row>
    <row r="41" spans="1:11" ht="15.75" x14ac:dyDescent="0.2">
      <c r="A41" s="12">
        <v>32</v>
      </c>
      <c r="B41" s="13" t="s">
        <v>12</v>
      </c>
      <c r="C41" s="13" t="s">
        <v>9</v>
      </c>
      <c r="D41" s="14" t="s">
        <v>121</v>
      </c>
      <c r="E41" s="14">
        <v>80141600</v>
      </c>
      <c r="F41" s="16" t="s">
        <v>211</v>
      </c>
      <c r="G41" s="13" t="s">
        <v>86</v>
      </c>
      <c r="H41" s="238">
        <v>1</v>
      </c>
      <c r="I41" s="239">
        <f t="shared" si="0"/>
        <v>73529</v>
      </c>
      <c r="J41" s="20">
        <f t="shared" si="1"/>
        <v>13971</v>
      </c>
      <c r="K41" s="241">
        <v>87500</v>
      </c>
    </row>
    <row r="42" spans="1:11" ht="25.5" x14ac:dyDescent="0.2">
      <c r="A42" s="12">
        <v>33</v>
      </c>
      <c r="B42" s="13" t="s">
        <v>12</v>
      </c>
      <c r="C42" s="13" t="s">
        <v>9</v>
      </c>
      <c r="D42" s="14" t="s">
        <v>123</v>
      </c>
      <c r="E42" s="14">
        <v>80141600</v>
      </c>
      <c r="F42" s="16" t="s">
        <v>212</v>
      </c>
      <c r="G42" s="13" t="s">
        <v>86</v>
      </c>
      <c r="H42" s="238">
        <v>1</v>
      </c>
      <c r="I42" s="239">
        <f t="shared" si="0"/>
        <v>118739</v>
      </c>
      <c r="J42" s="20">
        <f t="shared" si="1"/>
        <v>22561</v>
      </c>
      <c r="K42" s="241">
        <v>141300</v>
      </c>
    </row>
    <row r="43" spans="1:11" ht="51" x14ac:dyDescent="0.2">
      <c r="A43" s="12">
        <v>34</v>
      </c>
      <c r="B43" s="13" t="s">
        <v>12</v>
      </c>
      <c r="C43" s="13" t="s">
        <v>9</v>
      </c>
      <c r="D43" s="14" t="s">
        <v>301</v>
      </c>
      <c r="E43" s="14">
        <v>95131700</v>
      </c>
      <c r="F43" s="16" t="s">
        <v>332</v>
      </c>
      <c r="G43" s="13" t="s">
        <v>86</v>
      </c>
      <c r="H43" s="238">
        <v>1</v>
      </c>
      <c r="I43" s="239">
        <f t="shared" si="0"/>
        <v>192941</v>
      </c>
      <c r="J43" s="20">
        <f t="shared" si="1"/>
        <v>36659</v>
      </c>
      <c r="K43" s="241">
        <v>229600</v>
      </c>
    </row>
    <row r="44" spans="1:11" ht="51" x14ac:dyDescent="0.2">
      <c r="A44" s="12">
        <v>35</v>
      </c>
      <c r="B44" s="13" t="s">
        <v>12</v>
      </c>
      <c r="C44" s="13" t="s">
        <v>9</v>
      </c>
      <c r="D44" s="14" t="s">
        <v>302</v>
      </c>
      <c r="E44" s="14">
        <v>95131700</v>
      </c>
      <c r="F44" s="16" t="s">
        <v>333</v>
      </c>
      <c r="G44" s="13" t="s">
        <v>86</v>
      </c>
      <c r="H44" s="238">
        <v>1</v>
      </c>
      <c r="I44" s="239">
        <f t="shared" si="0"/>
        <v>252731</v>
      </c>
      <c r="J44" s="20">
        <f t="shared" si="1"/>
        <v>48019</v>
      </c>
      <c r="K44" s="241">
        <v>300750</v>
      </c>
    </row>
    <row r="45" spans="1:11" ht="63.75" x14ac:dyDescent="0.2">
      <c r="A45" s="12">
        <v>36</v>
      </c>
      <c r="B45" s="13" t="s">
        <v>12</v>
      </c>
      <c r="C45" s="13" t="s">
        <v>9</v>
      </c>
      <c r="D45" s="14" t="s">
        <v>125</v>
      </c>
      <c r="E45" s="14">
        <v>95131700</v>
      </c>
      <c r="F45" s="16" t="s">
        <v>213</v>
      </c>
      <c r="G45" s="13" t="s">
        <v>86</v>
      </c>
      <c r="H45" s="238">
        <v>1</v>
      </c>
      <c r="I45" s="239">
        <f t="shared" si="0"/>
        <v>1710126</v>
      </c>
      <c r="J45" s="20">
        <f t="shared" si="1"/>
        <v>324924</v>
      </c>
      <c r="K45" s="241">
        <v>2035050</v>
      </c>
    </row>
    <row r="46" spans="1:11" ht="63.75" x14ac:dyDescent="0.2">
      <c r="A46" s="12">
        <v>37</v>
      </c>
      <c r="B46" s="13" t="s">
        <v>12</v>
      </c>
      <c r="C46" s="13" t="s">
        <v>9</v>
      </c>
      <c r="D46" s="14" t="s">
        <v>203</v>
      </c>
      <c r="E46" s="14">
        <v>95131700</v>
      </c>
      <c r="F46" s="16" t="s">
        <v>214</v>
      </c>
      <c r="G46" s="13" t="s">
        <v>86</v>
      </c>
      <c r="H46" s="238">
        <v>1</v>
      </c>
      <c r="I46" s="239">
        <f t="shared" si="0"/>
        <v>991681</v>
      </c>
      <c r="J46" s="20">
        <f t="shared" si="1"/>
        <v>188419</v>
      </c>
      <c r="K46" s="241">
        <v>1180100</v>
      </c>
    </row>
    <row r="47" spans="1:11" ht="76.5" x14ac:dyDescent="0.2">
      <c r="A47" s="12">
        <v>38</v>
      </c>
      <c r="B47" s="13" t="s">
        <v>12</v>
      </c>
      <c r="C47" s="13" t="s">
        <v>9</v>
      </c>
      <c r="D47" s="14" t="s">
        <v>204</v>
      </c>
      <c r="E47" s="14">
        <v>95131700</v>
      </c>
      <c r="F47" s="16" t="s">
        <v>215</v>
      </c>
      <c r="G47" s="13" t="s">
        <v>86</v>
      </c>
      <c r="H47" s="238">
        <v>1</v>
      </c>
      <c r="I47" s="239">
        <f t="shared" si="0"/>
        <v>3110882</v>
      </c>
      <c r="J47" s="20">
        <f t="shared" si="1"/>
        <v>591068</v>
      </c>
      <c r="K47" s="241">
        <v>3701950</v>
      </c>
    </row>
    <row r="48" spans="1:11" ht="38.25" x14ac:dyDescent="0.2">
      <c r="A48" s="12">
        <v>39</v>
      </c>
      <c r="B48" s="13" t="s">
        <v>12</v>
      </c>
      <c r="C48" s="13" t="s">
        <v>9</v>
      </c>
      <c r="D48" s="14" t="s">
        <v>205</v>
      </c>
      <c r="E48" s="14">
        <v>95131700</v>
      </c>
      <c r="F48" s="16" t="s">
        <v>216</v>
      </c>
      <c r="G48" s="13" t="s">
        <v>86</v>
      </c>
      <c r="H48" s="238">
        <v>1</v>
      </c>
      <c r="I48" s="239">
        <f t="shared" si="0"/>
        <v>3194202</v>
      </c>
      <c r="J48" s="20">
        <f t="shared" si="1"/>
        <v>606898</v>
      </c>
      <c r="K48" s="241">
        <v>3801100</v>
      </c>
    </row>
    <row r="49" spans="1:11" ht="63.75" x14ac:dyDescent="0.2">
      <c r="A49" s="12">
        <v>40</v>
      </c>
      <c r="B49" s="13" t="s">
        <v>12</v>
      </c>
      <c r="C49" s="13" t="s">
        <v>9</v>
      </c>
      <c r="D49" s="14" t="s">
        <v>206</v>
      </c>
      <c r="E49" s="14">
        <v>95131700</v>
      </c>
      <c r="F49" s="16" t="s">
        <v>217</v>
      </c>
      <c r="G49" s="13" t="s">
        <v>86</v>
      </c>
      <c r="H49" s="238">
        <v>1</v>
      </c>
      <c r="I49" s="239">
        <f t="shared" si="0"/>
        <v>4557899</v>
      </c>
      <c r="J49" s="20">
        <f t="shared" si="1"/>
        <v>866001</v>
      </c>
      <c r="K49" s="241">
        <v>5423900</v>
      </c>
    </row>
    <row r="50" spans="1:11" ht="15.75" x14ac:dyDescent="0.2">
      <c r="A50" s="12">
        <v>41</v>
      </c>
      <c r="B50" s="13" t="s">
        <v>12</v>
      </c>
      <c r="C50" s="13" t="s">
        <v>9</v>
      </c>
      <c r="D50" s="14" t="s">
        <v>207</v>
      </c>
      <c r="E50" s="14">
        <v>80141600</v>
      </c>
      <c r="F50" s="16" t="s">
        <v>218</v>
      </c>
      <c r="G50" s="13" t="s">
        <v>86</v>
      </c>
      <c r="H50" s="238">
        <v>1</v>
      </c>
      <c r="I50" s="239">
        <f t="shared" si="0"/>
        <v>1176</v>
      </c>
      <c r="J50" s="20">
        <f t="shared" si="1"/>
        <v>224</v>
      </c>
      <c r="K50" s="241">
        <v>1400</v>
      </c>
    </row>
    <row r="51" spans="1:11" ht="15.75" x14ac:dyDescent="0.2">
      <c r="A51" s="12">
        <v>42</v>
      </c>
      <c r="B51" s="13" t="s">
        <v>12</v>
      </c>
      <c r="C51" s="13" t="s">
        <v>9</v>
      </c>
      <c r="D51" s="14" t="s">
        <v>133</v>
      </c>
      <c r="E51" s="14">
        <v>80141600</v>
      </c>
      <c r="F51" s="16" t="s">
        <v>219</v>
      </c>
      <c r="G51" s="13" t="s">
        <v>86</v>
      </c>
      <c r="H51" s="238">
        <v>1</v>
      </c>
      <c r="I51" s="239">
        <f t="shared" si="0"/>
        <v>3529</v>
      </c>
      <c r="J51" s="20">
        <f t="shared" si="1"/>
        <v>671</v>
      </c>
      <c r="K51" s="241">
        <v>4200</v>
      </c>
    </row>
    <row r="52" spans="1:11" ht="25.5" x14ac:dyDescent="0.2">
      <c r="A52" s="12">
        <v>43</v>
      </c>
      <c r="B52" s="13" t="s">
        <v>12</v>
      </c>
      <c r="C52" s="13" t="s">
        <v>9</v>
      </c>
      <c r="D52" s="14" t="s">
        <v>133</v>
      </c>
      <c r="E52" s="14">
        <v>80141600</v>
      </c>
      <c r="F52" s="16" t="s">
        <v>220</v>
      </c>
      <c r="G52" s="13" t="s">
        <v>86</v>
      </c>
      <c r="H52" s="238">
        <v>1</v>
      </c>
      <c r="I52" s="239">
        <f t="shared" si="0"/>
        <v>19286</v>
      </c>
      <c r="J52" s="20">
        <f t="shared" si="1"/>
        <v>3664</v>
      </c>
      <c r="K52" s="241">
        <v>22950</v>
      </c>
    </row>
    <row r="53" spans="1:11" ht="38.25" x14ac:dyDescent="0.2">
      <c r="A53" s="12">
        <v>44</v>
      </c>
      <c r="B53" s="13" t="s">
        <v>12</v>
      </c>
      <c r="C53" s="13" t="s">
        <v>9</v>
      </c>
      <c r="D53" s="14" t="s">
        <v>134</v>
      </c>
      <c r="E53" s="14">
        <v>80141600</v>
      </c>
      <c r="F53" s="16" t="s">
        <v>221</v>
      </c>
      <c r="G53" s="13" t="s">
        <v>86</v>
      </c>
      <c r="H53" s="238">
        <v>1</v>
      </c>
      <c r="I53" s="239">
        <f t="shared" si="0"/>
        <v>437437</v>
      </c>
      <c r="J53" s="20">
        <f t="shared" si="1"/>
        <v>83113</v>
      </c>
      <c r="K53" s="241">
        <v>520550</v>
      </c>
    </row>
    <row r="54" spans="1:11" ht="38.25" x14ac:dyDescent="0.2">
      <c r="A54" s="12">
        <v>45</v>
      </c>
      <c r="B54" s="13" t="s">
        <v>12</v>
      </c>
      <c r="C54" s="13" t="s">
        <v>9</v>
      </c>
      <c r="D54" s="14" t="s">
        <v>135</v>
      </c>
      <c r="E54" s="14">
        <v>80141600</v>
      </c>
      <c r="F54" s="16" t="s">
        <v>222</v>
      </c>
      <c r="G54" s="13" t="s">
        <v>86</v>
      </c>
      <c r="H54" s="238">
        <v>1</v>
      </c>
      <c r="I54" s="239">
        <f t="shared" si="0"/>
        <v>486303</v>
      </c>
      <c r="J54" s="20">
        <f t="shared" si="1"/>
        <v>92397</v>
      </c>
      <c r="K54" s="241">
        <v>578700</v>
      </c>
    </row>
    <row r="55" spans="1:11" ht="25.5" x14ac:dyDescent="0.2">
      <c r="A55" s="12">
        <v>46</v>
      </c>
      <c r="B55" s="13" t="s">
        <v>12</v>
      </c>
      <c r="C55" s="13" t="s">
        <v>9</v>
      </c>
      <c r="D55" s="14" t="s">
        <v>208</v>
      </c>
      <c r="E55" s="14">
        <v>91101800</v>
      </c>
      <c r="F55" s="16" t="s">
        <v>223</v>
      </c>
      <c r="G55" s="13" t="s">
        <v>86</v>
      </c>
      <c r="H55" s="238">
        <v>1</v>
      </c>
      <c r="I55" s="239">
        <f t="shared" si="0"/>
        <v>130672</v>
      </c>
      <c r="J55" s="20">
        <f t="shared" si="1"/>
        <v>24828</v>
      </c>
      <c r="K55" s="241">
        <v>155500</v>
      </c>
    </row>
    <row r="56" spans="1:11" ht="25.5" x14ac:dyDescent="0.2">
      <c r="A56" s="12">
        <v>47</v>
      </c>
      <c r="B56" s="13" t="s">
        <v>12</v>
      </c>
      <c r="C56" s="13" t="s">
        <v>9</v>
      </c>
      <c r="D56" s="14" t="s">
        <v>209</v>
      </c>
      <c r="E56" s="14">
        <v>80141600</v>
      </c>
      <c r="F56" s="16" t="s">
        <v>224</v>
      </c>
      <c r="G56" s="13" t="s">
        <v>86</v>
      </c>
      <c r="H56" s="238">
        <v>1</v>
      </c>
      <c r="I56" s="239">
        <f t="shared" si="0"/>
        <v>1975</v>
      </c>
      <c r="J56" s="20">
        <f t="shared" si="1"/>
        <v>375</v>
      </c>
      <c r="K56" s="241">
        <v>2350</v>
      </c>
    </row>
    <row r="57" spans="1:11" ht="15.75" x14ac:dyDescent="0.2">
      <c r="A57" s="12">
        <v>48</v>
      </c>
      <c r="B57" s="13" t="s">
        <v>12</v>
      </c>
      <c r="C57" s="13" t="s">
        <v>9</v>
      </c>
      <c r="D57" s="14" t="s">
        <v>121</v>
      </c>
      <c r="E57" s="14">
        <v>80141600</v>
      </c>
      <c r="F57" s="16" t="s">
        <v>122</v>
      </c>
      <c r="G57" s="13" t="s">
        <v>86</v>
      </c>
      <c r="H57" s="238">
        <v>1</v>
      </c>
      <c r="I57" s="239">
        <f t="shared" si="0"/>
        <v>73529</v>
      </c>
      <c r="J57" s="20">
        <f t="shared" si="1"/>
        <v>13971</v>
      </c>
      <c r="K57" s="241">
        <v>87500</v>
      </c>
    </row>
    <row r="58" spans="1:11" ht="25.5" x14ac:dyDescent="0.2">
      <c r="A58" s="12">
        <v>49</v>
      </c>
      <c r="B58" s="13" t="s">
        <v>12</v>
      </c>
      <c r="C58" s="13" t="s">
        <v>9</v>
      </c>
      <c r="D58" s="14" t="s">
        <v>123</v>
      </c>
      <c r="E58" s="14">
        <v>80141600</v>
      </c>
      <c r="F58" s="16" t="s">
        <v>124</v>
      </c>
      <c r="G58" s="13" t="s">
        <v>86</v>
      </c>
      <c r="H58" s="238">
        <v>1</v>
      </c>
      <c r="I58" s="239">
        <f t="shared" si="0"/>
        <v>118739</v>
      </c>
      <c r="J58" s="20">
        <f t="shared" si="1"/>
        <v>22561</v>
      </c>
      <c r="K58" s="241">
        <v>141300</v>
      </c>
    </row>
    <row r="59" spans="1:11" ht="63.75" x14ac:dyDescent="0.2">
      <c r="A59" s="12">
        <v>50</v>
      </c>
      <c r="B59" s="13" t="s">
        <v>12</v>
      </c>
      <c r="C59" s="13" t="s">
        <v>9</v>
      </c>
      <c r="D59" s="14" t="s">
        <v>125</v>
      </c>
      <c r="E59" s="14">
        <v>95131700</v>
      </c>
      <c r="F59" s="16" t="s">
        <v>126</v>
      </c>
      <c r="G59" s="13" t="s">
        <v>86</v>
      </c>
      <c r="H59" s="238">
        <v>1</v>
      </c>
      <c r="I59" s="239">
        <f t="shared" si="0"/>
        <v>1710126</v>
      </c>
      <c r="J59" s="20">
        <f t="shared" si="1"/>
        <v>324924</v>
      </c>
      <c r="K59" s="241">
        <v>2035050</v>
      </c>
    </row>
    <row r="60" spans="1:11" ht="51" x14ac:dyDescent="0.2">
      <c r="A60" s="12">
        <v>51</v>
      </c>
      <c r="B60" s="13" t="s">
        <v>12</v>
      </c>
      <c r="C60" s="13" t="s">
        <v>9</v>
      </c>
      <c r="D60" s="14" t="s">
        <v>127</v>
      </c>
      <c r="E60" s="14">
        <v>95131700</v>
      </c>
      <c r="F60" s="16" t="s">
        <v>128</v>
      </c>
      <c r="G60" s="13" t="s">
        <v>86</v>
      </c>
      <c r="H60" s="238">
        <v>1</v>
      </c>
      <c r="I60" s="239">
        <f t="shared" si="0"/>
        <v>161387</v>
      </c>
      <c r="J60" s="20">
        <f t="shared" si="1"/>
        <v>30663</v>
      </c>
      <c r="K60" s="241">
        <v>192050</v>
      </c>
    </row>
    <row r="61" spans="1:11" ht="38.25" x14ac:dyDescent="0.2">
      <c r="A61" s="12">
        <v>52</v>
      </c>
      <c r="B61" s="13" t="s">
        <v>12</v>
      </c>
      <c r="C61" s="13" t="s">
        <v>9</v>
      </c>
      <c r="D61" s="14" t="s">
        <v>129</v>
      </c>
      <c r="E61" s="14">
        <v>95131700</v>
      </c>
      <c r="F61" s="16" t="s">
        <v>130</v>
      </c>
      <c r="G61" s="13" t="s">
        <v>86</v>
      </c>
      <c r="H61" s="238">
        <v>1</v>
      </c>
      <c r="I61" s="239">
        <f t="shared" si="0"/>
        <v>2404202</v>
      </c>
      <c r="J61" s="20">
        <f t="shared" si="1"/>
        <v>456798</v>
      </c>
      <c r="K61" s="241">
        <v>2861000</v>
      </c>
    </row>
    <row r="62" spans="1:11" ht="38.25" x14ac:dyDescent="0.2">
      <c r="A62" s="12">
        <v>53</v>
      </c>
      <c r="B62" s="13" t="s">
        <v>12</v>
      </c>
      <c r="C62" s="13" t="s">
        <v>9</v>
      </c>
      <c r="D62" s="14" t="s">
        <v>131</v>
      </c>
      <c r="E62" s="14">
        <v>95131700</v>
      </c>
      <c r="F62" s="16" t="s">
        <v>132</v>
      </c>
      <c r="G62" s="13" t="s">
        <v>86</v>
      </c>
      <c r="H62" s="238">
        <v>1</v>
      </c>
      <c r="I62" s="239">
        <f t="shared" si="0"/>
        <v>805084</v>
      </c>
      <c r="J62" s="20">
        <f t="shared" si="1"/>
        <v>152966</v>
      </c>
      <c r="K62" s="241">
        <v>958050</v>
      </c>
    </row>
    <row r="63" spans="1:11" ht="38.25" x14ac:dyDescent="0.2">
      <c r="A63" s="12">
        <v>54</v>
      </c>
      <c r="B63" s="13" t="s">
        <v>12</v>
      </c>
      <c r="C63" s="13" t="s">
        <v>9</v>
      </c>
      <c r="D63" s="14" t="s">
        <v>136</v>
      </c>
      <c r="E63" s="14">
        <v>80141600</v>
      </c>
      <c r="F63" s="16" t="s">
        <v>137</v>
      </c>
      <c r="G63" s="13" t="s">
        <v>54</v>
      </c>
      <c r="H63" s="238">
        <v>1</v>
      </c>
      <c r="I63" s="239">
        <f t="shared" ref="I63:I126" si="2">ROUND(K63/1.19,0)</f>
        <v>453529</v>
      </c>
      <c r="J63" s="20">
        <f t="shared" ref="J63:J126" si="3">K63-I63</f>
        <v>86171</v>
      </c>
      <c r="K63" s="241">
        <v>539700</v>
      </c>
    </row>
    <row r="64" spans="1:11" ht="51" x14ac:dyDescent="0.2">
      <c r="A64" s="12">
        <v>55</v>
      </c>
      <c r="B64" s="13" t="s">
        <v>12</v>
      </c>
      <c r="C64" s="13" t="s">
        <v>9</v>
      </c>
      <c r="D64" s="14" t="s">
        <v>154</v>
      </c>
      <c r="E64" s="14">
        <v>47121610</v>
      </c>
      <c r="F64" s="16" t="s">
        <v>330</v>
      </c>
      <c r="G64" s="13" t="s">
        <v>138</v>
      </c>
      <c r="H64" s="238">
        <v>1</v>
      </c>
      <c r="I64" s="239">
        <f t="shared" si="2"/>
        <v>66765</v>
      </c>
      <c r="J64" s="20">
        <f t="shared" si="3"/>
        <v>12685</v>
      </c>
      <c r="K64" s="241">
        <v>79450</v>
      </c>
    </row>
    <row r="65" spans="1:11" ht="25.5" x14ac:dyDescent="0.2">
      <c r="A65" s="12">
        <v>56</v>
      </c>
      <c r="B65" s="13" t="s">
        <v>12</v>
      </c>
      <c r="C65" s="13" t="s">
        <v>9</v>
      </c>
      <c r="D65" s="14" t="s">
        <v>318</v>
      </c>
      <c r="E65" s="14">
        <v>93141701</v>
      </c>
      <c r="F65" s="16" t="s">
        <v>334</v>
      </c>
      <c r="G65" s="13" t="s">
        <v>319</v>
      </c>
      <c r="H65" s="238">
        <v>1</v>
      </c>
      <c r="I65" s="239">
        <f t="shared" si="2"/>
        <v>1935924</v>
      </c>
      <c r="J65" s="20">
        <f t="shared" si="3"/>
        <v>367826</v>
      </c>
      <c r="K65" s="241">
        <v>2303750</v>
      </c>
    </row>
    <row r="66" spans="1:11" ht="51" x14ac:dyDescent="0.2">
      <c r="A66" s="12">
        <v>57</v>
      </c>
      <c r="B66" s="13" t="s">
        <v>12</v>
      </c>
      <c r="C66" s="13" t="s">
        <v>9</v>
      </c>
      <c r="D66" s="14" t="s">
        <v>335</v>
      </c>
      <c r="E66" s="14">
        <v>93141701</v>
      </c>
      <c r="F66" s="16" t="s">
        <v>336</v>
      </c>
      <c r="G66" s="13" t="s">
        <v>319</v>
      </c>
      <c r="H66" s="238">
        <v>1</v>
      </c>
      <c r="I66" s="239">
        <f t="shared" si="2"/>
        <v>5136176</v>
      </c>
      <c r="J66" s="20">
        <f t="shared" si="3"/>
        <v>975874</v>
      </c>
      <c r="K66" s="241">
        <v>6112050</v>
      </c>
    </row>
    <row r="67" spans="1:11" ht="25.5" x14ac:dyDescent="0.2">
      <c r="A67" s="12">
        <v>58</v>
      </c>
      <c r="B67" s="13" t="s">
        <v>139</v>
      </c>
      <c r="C67" s="13" t="s">
        <v>84</v>
      </c>
      <c r="D67" s="14" t="s">
        <v>67</v>
      </c>
      <c r="E67" s="14">
        <v>46182010</v>
      </c>
      <c r="F67" s="16" t="s">
        <v>92</v>
      </c>
      <c r="G67" s="13" t="s">
        <v>85</v>
      </c>
      <c r="H67" s="238">
        <v>1</v>
      </c>
      <c r="I67" s="239">
        <f t="shared" si="2"/>
        <v>12857</v>
      </c>
      <c r="J67" s="20">
        <f t="shared" si="3"/>
        <v>2443</v>
      </c>
      <c r="K67" s="241">
        <v>15300</v>
      </c>
    </row>
    <row r="68" spans="1:11" ht="25.5" x14ac:dyDescent="0.2">
      <c r="A68" s="12">
        <v>59</v>
      </c>
      <c r="B68" s="13" t="s">
        <v>139</v>
      </c>
      <c r="C68" s="13" t="s">
        <v>84</v>
      </c>
      <c r="D68" s="14" t="s">
        <v>68</v>
      </c>
      <c r="E68" s="14">
        <v>4618804</v>
      </c>
      <c r="F68" s="16" t="s">
        <v>93</v>
      </c>
      <c r="G68" s="13" t="s">
        <v>85</v>
      </c>
      <c r="H68" s="238">
        <v>1</v>
      </c>
      <c r="I68" s="239">
        <f t="shared" si="2"/>
        <v>37563</v>
      </c>
      <c r="J68" s="20">
        <f t="shared" si="3"/>
        <v>7137</v>
      </c>
      <c r="K68" s="241">
        <v>44700</v>
      </c>
    </row>
    <row r="69" spans="1:11" ht="61.5" customHeight="1" x14ac:dyDescent="0.2">
      <c r="A69" s="12">
        <v>60</v>
      </c>
      <c r="B69" s="13" t="s">
        <v>139</v>
      </c>
      <c r="C69" s="13" t="s">
        <v>84</v>
      </c>
      <c r="D69" s="14" t="s">
        <v>67</v>
      </c>
      <c r="E69" s="14">
        <v>31162800</v>
      </c>
      <c r="F69" s="16" t="s">
        <v>94</v>
      </c>
      <c r="G69" s="13" t="s">
        <v>86</v>
      </c>
      <c r="H69" s="238">
        <v>1</v>
      </c>
      <c r="I69" s="239">
        <f t="shared" si="2"/>
        <v>50252</v>
      </c>
      <c r="J69" s="20">
        <f t="shared" si="3"/>
        <v>9548</v>
      </c>
      <c r="K69" s="241">
        <v>59800</v>
      </c>
    </row>
    <row r="70" spans="1:11" ht="15" customHeight="1" x14ac:dyDescent="0.2">
      <c r="A70" s="12">
        <v>61</v>
      </c>
      <c r="B70" s="13" t="s">
        <v>139</v>
      </c>
      <c r="C70" s="13" t="s">
        <v>84</v>
      </c>
      <c r="D70" s="14" t="s">
        <v>69</v>
      </c>
      <c r="E70" s="14">
        <v>51102700</v>
      </c>
      <c r="F70" s="16" t="s">
        <v>95</v>
      </c>
      <c r="G70" s="13" t="s">
        <v>87</v>
      </c>
      <c r="H70" s="238">
        <v>1</v>
      </c>
      <c r="I70" s="239">
        <f t="shared" si="2"/>
        <v>29958</v>
      </c>
      <c r="J70" s="20">
        <f t="shared" si="3"/>
        <v>5692</v>
      </c>
      <c r="K70" s="241">
        <v>35650</v>
      </c>
    </row>
    <row r="71" spans="1:11" ht="25.5" x14ac:dyDescent="0.2">
      <c r="A71" s="12">
        <v>62</v>
      </c>
      <c r="B71" s="13" t="s">
        <v>139</v>
      </c>
      <c r="C71" s="13" t="s">
        <v>84</v>
      </c>
      <c r="D71" s="14" t="s">
        <v>227</v>
      </c>
      <c r="E71" s="14">
        <v>46181500</v>
      </c>
      <c r="F71" s="16" t="s">
        <v>96</v>
      </c>
      <c r="G71" s="13" t="s">
        <v>88</v>
      </c>
      <c r="H71" s="238">
        <v>1</v>
      </c>
      <c r="I71" s="239">
        <f t="shared" si="2"/>
        <v>8571</v>
      </c>
      <c r="J71" s="20">
        <f t="shared" si="3"/>
        <v>1629</v>
      </c>
      <c r="K71" s="241">
        <v>10200</v>
      </c>
    </row>
    <row r="72" spans="1:11" ht="25.5" x14ac:dyDescent="0.2">
      <c r="A72" s="12">
        <v>63</v>
      </c>
      <c r="B72" s="13" t="s">
        <v>139</v>
      </c>
      <c r="C72" s="13" t="s">
        <v>84</v>
      </c>
      <c r="D72" s="14" t="s">
        <v>252</v>
      </c>
      <c r="E72" s="14">
        <v>31162800</v>
      </c>
      <c r="F72" s="16" t="s">
        <v>253</v>
      </c>
      <c r="G72" s="13" t="s">
        <v>86</v>
      </c>
      <c r="H72" s="238">
        <v>1</v>
      </c>
      <c r="I72" s="239">
        <f t="shared" si="2"/>
        <v>53697</v>
      </c>
      <c r="J72" s="20">
        <f t="shared" si="3"/>
        <v>10203</v>
      </c>
      <c r="K72" s="241">
        <v>63900</v>
      </c>
    </row>
    <row r="73" spans="1:11" ht="25.5" x14ac:dyDescent="0.2">
      <c r="A73" s="12">
        <v>64</v>
      </c>
      <c r="B73" s="13" t="s">
        <v>139</v>
      </c>
      <c r="C73" s="13" t="s">
        <v>84</v>
      </c>
      <c r="D73" s="14" t="s">
        <v>20</v>
      </c>
      <c r="E73" s="14">
        <v>31162800</v>
      </c>
      <c r="F73" s="16" t="s">
        <v>174</v>
      </c>
      <c r="G73" s="13" t="s">
        <v>53</v>
      </c>
      <c r="H73" s="238">
        <v>1</v>
      </c>
      <c r="I73" s="239">
        <f t="shared" si="2"/>
        <v>52689</v>
      </c>
      <c r="J73" s="20">
        <f t="shared" si="3"/>
        <v>10011</v>
      </c>
      <c r="K73" s="241">
        <v>62700</v>
      </c>
    </row>
    <row r="74" spans="1:11" ht="25.5" x14ac:dyDescent="0.2">
      <c r="A74" s="12">
        <v>65</v>
      </c>
      <c r="B74" s="13" t="s">
        <v>139</v>
      </c>
      <c r="C74" s="13" t="s">
        <v>84</v>
      </c>
      <c r="D74" s="14" t="s">
        <v>70</v>
      </c>
      <c r="E74" s="14">
        <v>31162800</v>
      </c>
      <c r="F74" s="16" t="s">
        <v>97</v>
      </c>
      <c r="G74" s="13" t="s">
        <v>87</v>
      </c>
      <c r="H74" s="238">
        <v>1</v>
      </c>
      <c r="I74" s="239">
        <f t="shared" si="2"/>
        <v>57731</v>
      </c>
      <c r="J74" s="20">
        <f t="shared" si="3"/>
        <v>10969</v>
      </c>
      <c r="K74" s="241">
        <v>68700</v>
      </c>
    </row>
    <row r="75" spans="1:11" ht="15.75" x14ac:dyDescent="0.2">
      <c r="A75" s="12">
        <v>66</v>
      </c>
      <c r="B75" s="13" t="s">
        <v>139</v>
      </c>
      <c r="C75" s="13" t="s">
        <v>84</v>
      </c>
      <c r="D75" s="14" t="s">
        <v>71</v>
      </c>
      <c r="E75" s="14">
        <v>31162800</v>
      </c>
      <c r="F75" s="16" t="s">
        <v>98</v>
      </c>
      <c r="G75" s="13" t="s">
        <v>87</v>
      </c>
      <c r="H75" s="238">
        <v>1</v>
      </c>
      <c r="I75" s="239">
        <f t="shared" si="2"/>
        <v>64622</v>
      </c>
      <c r="J75" s="20">
        <f t="shared" si="3"/>
        <v>12278</v>
      </c>
      <c r="K75" s="241">
        <v>76900</v>
      </c>
    </row>
    <row r="76" spans="1:11" ht="38.25" x14ac:dyDescent="0.2">
      <c r="A76" s="12">
        <v>67</v>
      </c>
      <c r="B76" s="13" t="s">
        <v>139</v>
      </c>
      <c r="C76" s="13" t="s">
        <v>84</v>
      </c>
      <c r="D76" s="14" t="s">
        <v>72</v>
      </c>
      <c r="E76" s="14">
        <v>31162800</v>
      </c>
      <c r="F76" s="16" t="s">
        <v>99</v>
      </c>
      <c r="G76" s="13" t="s">
        <v>89</v>
      </c>
      <c r="H76" s="238">
        <v>1</v>
      </c>
      <c r="I76" s="239">
        <f t="shared" si="2"/>
        <v>379286</v>
      </c>
      <c r="J76" s="20">
        <f t="shared" si="3"/>
        <v>72064</v>
      </c>
      <c r="K76" s="241">
        <v>451350</v>
      </c>
    </row>
    <row r="77" spans="1:11" ht="38.25" x14ac:dyDescent="0.2">
      <c r="A77" s="12">
        <v>68</v>
      </c>
      <c r="B77" s="13" t="s">
        <v>139</v>
      </c>
      <c r="C77" s="13" t="s">
        <v>84</v>
      </c>
      <c r="D77" s="14" t="s">
        <v>73</v>
      </c>
      <c r="E77" s="14">
        <v>31162800</v>
      </c>
      <c r="F77" s="16" t="s">
        <v>100</v>
      </c>
      <c r="G77" s="13" t="s">
        <v>87</v>
      </c>
      <c r="H77" s="238">
        <v>1</v>
      </c>
      <c r="I77" s="239">
        <f t="shared" si="2"/>
        <v>185672</v>
      </c>
      <c r="J77" s="20">
        <f t="shared" si="3"/>
        <v>35278</v>
      </c>
      <c r="K77" s="241">
        <v>220950</v>
      </c>
    </row>
    <row r="78" spans="1:11" ht="38.25" x14ac:dyDescent="0.2">
      <c r="A78" s="12">
        <v>69</v>
      </c>
      <c r="B78" s="13" t="s">
        <v>139</v>
      </c>
      <c r="C78" s="13" t="s">
        <v>84</v>
      </c>
      <c r="D78" s="14" t="s">
        <v>74</v>
      </c>
      <c r="E78" s="14">
        <v>31162800</v>
      </c>
      <c r="F78" s="16" t="s">
        <v>101</v>
      </c>
      <c r="G78" s="13" t="s">
        <v>87</v>
      </c>
      <c r="H78" s="238">
        <v>1</v>
      </c>
      <c r="I78" s="239">
        <f t="shared" si="2"/>
        <v>27101</v>
      </c>
      <c r="J78" s="20">
        <f t="shared" si="3"/>
        <v>5149</v>
      </c>
      <c r="K78" s="241">
        <v>32250</v>
      </c>
    </row>
    <row r="79" spans="1:11" ht="15.75" x14ac:dyDescent="0.2">
      <c r="A79" s="12">
        <v>70</v>
      </c>
      <c r="B79" s="13" t="s">
        <v>139</v>
      </c>
      <c r="C79" s="13" t="s">
        <v>84</v>
      </c>
      <c r="D79" s="14" t="s">
        <v>75</v>
      </c>
      <c r="E79" s="14">
        <v>12191601</v>
      </c>
      <c r="F79" s="16" t="s">
        <v>102</v>
      </c>
      <c r="G79" s="13" t="s">
        <v>87</v>
      </c>
      <c r="H79" s="238">
        <v>1</v>
      </c>
      <c r="I79" s="239">
        <f t="shared" si="2"/>
        <v>27269</v>
      </c>
      <c r="J79" s="20">
        <f t="shared" si="3"/>
        <v>5181</v>
      </c>
      <c r="K79" s="241">
        <v>32450</v>
      </c>
    </row>
    <row r="80" spans="1:11" ht="89.25" x14ac:dyDescent="0.2">
      <c r="A80" s="12">
        <v>71</v>
      </c>
      <c r="B80" s="13" t="s">
        <v>139</v>
      </c>
      <c r="C80" s="13" t="s">
        <v>84</v>
      </c>
      <c r="D80" s="14" t="s">
        <v>76</v>
      </c>
      <c r="E80" s="14">
        <v>31162800</v>
      </c>
      <c r="F80" s="16" t="s">
        <v>103</v>
      </c>
      <c r="G80" s="13" t="s">
        <v>86</v>
      </c>
      <c r="H80" s="238">
        <v>1</v>
      </c>
      <c r="I80" s="239">
        <f t="shared" si="2"/>
        <v>16597</v>
      </c>
      <c r="J80" s="20">
        <f t="shared" si="3"/>
        <v>3153</v>
      </c>
      <c r="K80" s="241">
        <v>19750</v>
      </c>
    </row>
    <row r="81" spans="1:11" ht="25.5" x14ac:dyDescent="0.2">
      <c r="A81" s="12">
        <v>72</v>
      </c>
      <c r="B81" s="13" t="s">
        <v>139</v>
      </c>
      <c r="C81" s="13" t="s">
        <v>84</v>
      </c>
      <c r="D81" s="14" t="s">
        <v>337</v>
      </c>
      <c r="E81" s="14">
        <v>31211909</v>
      </c>
      <c r="F81" s="16" t="s">
        <v>104</v>
      </c>
      <c r="G81" s="13" t="s">
        <v>86</v>
      </c>
      <c r="H81" s="238">
        <v>1</v>
      </c>
      <c r="I81" s="239">
        <f t="shared" si="2"/>
        <v>7059</v>
      </c>
      <c r="J81" s="20">
        <f t="shared" si="3"/>
        <v>1341</v>
      </c>
      <c r="K81" s="241">
        <v>8400</v>
      </c>
    </row>
    <row r="82" spans="1:11" ht="26.25" customHeight="1" x14ac:dyDescent="0.2">
      <c r="A82" s="12">
        <v>73</v>
      </c>
      <c r="B82" s="13" t="s">
        <v>139</v>
      </c>
      <c r="C82" s="13" t="s">
        <v>84</v>
      </c>
      <c r="D82" s="14" t="s">
        <v>77</v>
      </c>
      <c r="E82" s="14">
        <v>31162800</v>
      </c>
      <c r="F82" s="16" t="s">
        <v>105</v>
      </c>
      <c r="G82" s="13" t="s">
        <v>86</v>
      </c>
      <c r="H82" s="238">
        <v>1</v>
      </c>
      <c r="I82" s="239">
        <f t="shared" si="2"/>
        <v>6849</v>
      </c>
      <c r="J82" s="20">
        <f t="shared" si="3"/>
        <v>1301</v>
      </c>
      <c r="K82" s="241">
        <v>8150</v>
      </c>
    </row>
    <row r="83" spans="1:11" ht="15.75" x14ac:dyDescent="0.2">
      <c r="A83" s="12">
        <v>74</v>
      </c>
      <c r="B83" s="13" t="s">
        <v>139</v>
      </c>
      <c r="C83" s="13" t="s">
        <v>84</v>
      </c>
      <c r="D83" s="14" t="s">
        <v>78</v>
      </c>
      <c r="E83" s="14">
        <v>31211904</v>
      </c>
      <c r="F83" s="16" t="s">
        <v>106</v>
      </c>
      <c r="G83" s="13" t="s">
        <v>86</v>
      </c>
      <c r="H83" s="238">
        <v>1</v>
      </c>
      <c r="I83" s="239">
        <f t="shared" si="2"/>
        <v>6176</v>
      </c>
      <c r="J83" s="20">
        <f t="shared" si="3"/>
        <v>1174</v>
      </c>
      <c r="K83" s="241">
        <v>7350</v>
      </c>
    </row>
    <row r="84" spans="1:11" ht="25.5" x14ac:dyDescent="0.2">
      <c r="A84" s="12">
        <v>75</v>
      </c>
      <c r="B84" s="13" t="s">
        <v>139</v>
      </c>
      <c r="C84" s="13" t="s">
        <v>84</v>
      </c>
      <c r="D84" s="14" t="s">
        <v>79</v>
      </c>
      <c r="E84" s="14">
        <v>44121600</v>
      </c>
      <c r="F84" s="16" t="s">
        <v>107</v>
      </c>
      <c r="G84" s="13" t="s">
        <v>86</v>
      </c>
      <c r="H84" s="238">
        <v>1</v>
      </c>
      <c r="I84" s="239">
        <f t="shared" si="2"/>
        <v>3067</v>
      </c>
      <c r="J84" s="20">
        <f t="shared" si="3"/>
        <v>583</v>
      </c>
      <c r="K84" s="241">
        <v>3650</v>
      </c>
    </row>
    <row r="85" spans="1:11" ht="15.75" x14ac:dyDescent="0.2">
      <c r="A85" s="12">
        <v>76</v>
      </c>
      <c r="B85" s="13" t="s">
        <v>139</v>
      </c>
      <c r="C85" s="13" t="s">
        <v>84</v>
      </c>
      <c r="D85" s="14" t="s">
        <v>80</v>
      </c>
      <c r="E85" s="14">
        <v>60121229</v>
      </c>
      <c r="F85" s="16" t="s">
        <v>108</v>
      </c>
      <c r="G85" s="13" t="s">
        <v>90</v>
      </c>
      <c r="H85" s="238">
        <v>1</v>
      </c>
      <c r="I85" s="239">
        <f t="shared" si="2"/>
        <v>17521</v>
      </c>
      <c r="J85" s="20">
        <f t="shared" si="3"/>
        <v>3329</v>
      </c>
      <c r="K85" s="241">
        <v>20850</v>
      </c>
    </row>
    <row r="86" spans="1:11" ht="15.75" x14ac:dyDescent="0.2">
      <c r="A86" s="12">
        <v>77</v>
      </c>
      <c r="B86" s="13" t="s">
        <v>139</v>
      </c>
      <c r="C86" s="13" t="s">
        <v>84</v>
      </c>
      <c r="D86" s="14" t="s">
        <v>81</v>
      </c>
      <c r="E86" s="14">
        <v>31162800</v>
      </c>
      <c r="F86" s="16" t="s">
        <v>228</v>
      </c>
      <c r="G86" s="13" t="s">
        <v>86</v>
      </c>
      <c r="H86" s="238">
        <v>1</v>
      </c>
      <c r="I86" s="239">
        <f t="shared" si="2"/>
        <v>17983</v>
      </c>
      <c r="J86" s="20">
        <f t="shared" si="3"/>
        <v>3417</v>
      </c>
      <c r="K86" s="241">
        <v>21400</v>
      </c>
    </row>
    <row r="87" spans="1:11" ht="51" x14ac:dyDescent="0.2">
      <c r="A87" s="12">
        <v>78</v>
      </c>
      <c r="B87" s="13" t="s">
        <v>139</v>
      </c>
      <c r="C87" s="13" t="s">
        <v>84</v>
      </c>
      <c r="D87" s="14" t="s">
        <v>82</v>
      </c>
      <c r="E87" s="14">
        <v>27111909</v>
      </c>
      <c r="F87" s="16" t="s">
        <v>326</v>
      </c>
      <c r="G87" s="13" t="s">
        <v>86</v>
      </c>
      <c r="H87" s="238">
        <v>1</v>
      </c>
      <c r="I87" s="239">
        <f t="shared" si="2"/>
        <v>3824</v>
      </c>
      <c r="J87" s="20">
        <f t="shared" si="3"/>
        <v>726</v>
      </c>
      <c r="K87" s="241">
        <v>4550</v>
      </c>
    </row>
    <row r="88" spans="1:11" ht="51" x14ac:dyDescent="0.2">
      <c r="A88" s="12">
        <v>79</v>
      </c>
      <c r="B88" s="13" t="s">
        <v>139</v>
      </c>
      <c r="C88" s="13" t="s">
        <v>84</v>
      </c>
      <c r="D88" s="14" t="s">
        <v>83</v>
      </c>
      <c r="E88" s="14">
        <v>27111909</v>
      </c>
      <c r="F88" s="16" t="s">
        <v>327</v>
      </c>
      <c r="G88" s="13" t="s">
        <v>86</v>
      </c>
      <c r="H88" s="238">
        <v>1</v>
      </c>
      <c r="I88" s="239">
        <f t="shared" si="2"/>
        <v>6261</v>
      </c>
      <c r="J88" s="20">
        <f t="shared" si="3"/>
        <v>1189</v>
      </c>
      <c r="K88" s="241">
        <v>7450</v>
      </c>
    </row>
    <row r="89" spans="1:11" ht="38.25" x14ac:dyDescent="0.2">
      <c r="A89" s="12">
        <v>80</v>
      </c>
      <c r="B89" s="13" t="s">
        <v>139</v>
      </c>
      <c r="C89" s="13" t="s">
        <v>84</v>
      </c>
      <c r="D89" s="14" t="s">
        <v>109</v>
      </c>
      <c r="E89" s="14">
        <v>31162800</v>
      </c>
      <c r="F89" s="16" t="s">
        <v>110</v>
      </c>
      <c r="G89" s="13" t="s">
        <v>118</v>
      </c>
      <c r="H89" s="238">
        <v>1</v>
      </c>
      <c r="I89" s="239">
        <f t="shared" si="2"/>
        <v>31345</v>
      </c>
      <c r="J89" s="20">
        <f t="shared" si="3"/>
        <v>5955</v>
      </c>
      <c r="K89" s="241">
        <v>37300</v>
      </c>
    </row>
    <row r="90" spans="1:11" ht="25.5" x14ac:dyDescent="0.2">
      <c r="A90" s="12">
        <v>81</v>
      </c>
      <c r="B90" s="13" t="s">
        <v>139</v>
      </c>
      <c r="C90" s="13" t="s">
        <v>84</v>
      </c>
      <c r="D90" s="14" t="s">
        <v>111</v>
      </c>
      <c r="E90" s="14">
        <v>60121008</v>
      </c>
      <c r="F90" s="16" t="s">
        <v>112</v>
      </c>
      <c r="G90" s="13" t="s">
        <v>119</v>
      </c>
      <c r="H90" s="238">
        <v>1</v>
      </c>
      <c r="I90" s="239">
        <f t="shared" si="2"/>
        <v>1092</v>
      </c>
      <c r="J90" s="20">
        <f t="shared" si="3"/>
        <v>208</v>
      </c>
      <c r="K90" s="241">
        <v>1300</v>
      </c>
    </row>
    <row r="91" spans="1:11" ht="25.5" x14ac:dyDescent="0.2">
      <c r="A91" s="12">
        <v>82</v>
      </c>
      <c r="B91" s="13" t="s">
        <v>139</v>
      </c>
      <c r="C91" s="13" t="s">
        <v>84</v>
      </c>
      <c r="D91" s="14" t="s">
        <v>113</v>
      </c>
      <c r="E91" s="14">
        <v>82101500</v>
      </c>
      <c r="F91" s="16" t="s">
        <v>114</v>
      </c>
      <c r="G91" s="13" t="s">
        <v>229</v>
      </c>
      <c r="H91" s="238">
        <v>1</v>
      </c>
      <c r="I91" s="239">
        <f t="shared" si="2"/>
        <v>588</v>
      </c>
      <c r="J91" s="20">
        <f t="shared" si="3"/>
        <v>112</v>
      </c>
      <c r="K91" s="241">
        <v>700</v>
      </c>
    </row>
    <row r="92" spans="1:11" ht="63.75" x14ac:dyDescent="0.2">
      <c r="A92" s="12">
        <v>83</v>
      </c>
      <c r="B92" s="13" t="s">
        <v>139</v>
      </c>
      <c r="C92" s="13" t="s">
        <v>84</v>
      </c>
      <c r="D92" s="14" t="s">
        <v>115</v>
      </c>
      <c r="E92" s="14">
        <v>82101501</v>
      </c>
      <c r="F92" s="16" t="s">
        <v>116</v>
      </c>
      <c r="G92" s="13" t="s">
        <v>120</v>
      </c>
      <c r="H92" s="238">
        <v>1</v>
      </c>
      <c r="I92" s="239">
        <f t="shared" si="2"/>
        <v>295630</v>
      </c>
      <c r="J92" s="20">
        <f t="shared" si="3"/>
        <v>56170</v>
      </c>
      <c r="K92" s="241">
        <v>351800</v>
      </c>
    </row>
    <row r="93" spans="1:11" ht="63.75" x14ac:dyDescent="0.2">
      <c r="A93" s="12">
        <v>84</v>
      </c>
      <c r="B93" s="13" t="s">
        <v>139</v>
      </c>
      <c r="C93" s="13" t="s">
        <v>84</v>
      </c>
      <c r="D93" s="14" t="s">
        <v>115</v>
      </c>
      <c r="E93" s="14">
        <v>82101501</v>
      </c>
      <c r="F93" s="16" t="s">
        <v>117</v>
      </c>
      <c r="G93" s="13" t="s">
        <v>86</v>
      </c>
      <c r="H93" s="238">
        <v>1</v>
      </c>
      <c r="I93" s="239">
        <f t="shared" si="2"/>
        <v>210126</v>
      </c>
      <c r="J93" s="20">
        <f t="shared" si="3"/>
        <v>39924</v>
      </c>
      <c r="K93" s="241">
        <v>250050</v>
      </c>
    </row>
    <row r="94" spans="1:11" ht="51" x14ac:dyDescent="0.2">
      <c r="A94" s="12">
        <v>85</v>
      </c>
      <c r="B94" s="13" t="s">
        <v>139</v>
      </c>
      <c r="C94" s="13" t="s">
        <v>84</v>
      </c>
      <c r="D94" s="14" t="s">
        <v>140</v>
      </c>
      <c r="E94" s="14">
        <v>56101606</v>
      </c>
      <c r="F94" s="16" t="s">
        <v>141</v>
      </c>
      <c r="G94" s="13" t="s">
        <v>86</v>
      </c>
      <c r="H94" s="238">
        <v>1</v>
      </c>
      <c r="I94" s="239">
        <f t="shared" si="2"/>
        <v>217353</v>
      </c>
      <c r="J94" s="20">
        <f t="shared" si="3"/>
        <v>41297</v>
      </c>
      <c r="K94" s="241">
        <v>258650</v>
      </c>
    </row>
    <row r="95" spans="1:11" ht="15.75" x14ac:dyDescent="0.2">
      <c r="A95" s="12">
        <v>86</v>
      </c>
      <c r="B95" s="13" t="s">
        <v>139</v>
      </c>
      <c r="C95" s="13" t="s">
        <v>84</v>
      </c>
      <c r="D95" s="14" t="s">
        <v>140</v>
      </c>
      <c r="E95" s="14">
        <v>56101606</v>
      </c>
      <c r="F95" s="16" t="s">
        <v>142</v>
      </c>
      <c r="G95" s="13" t="s">
        <v>86</v>
      </c>
      <c r="H95" s="238">
        <v>1</v>
      </c>
      <c r="I95" s="239">
        <f t="shared" si="2"/>
        <v>82395</v>
      </c>
      <c r="J95" s="20">
        <f t="shared" si="3"/>
        <v>15655</v>
      </c>
      <c r="K95" s="241">
        <v>98050</v>
      </c>
    </row>
    <row r="96" spans="1:11" ht="140.25" x14ac:dyDescent="0.2">
      <c r="A96" s="12">
        <v>87</v>
      </c>
      <c r="B96" s="13" t="s">
        <v>139</v>
      </c>
      <c r="C96" s="13" t="s">
        <v>84</v>
      </c>
      <c r="D96" s="14" t="s">
        <v>143</v>
      </c>
      <c r="E96" s="14">
        <v>10210000</v>
      </c>
      <c r="F96" s="16" t="s">
        <v>338</v>
      </c>
      <c r="G96" s="13" t="s">
        <v>86</v>
      </c>
      <c r="H96" s="238">
        <v>1</v>
      </c>
      <c r="I96" s="239">
        <f t="shared" si="2"/>
        <v>7311</v>
      </c>
      <c r="J96" s="20">
        <f t="shared" si="3"/>
        <v>1389</v>
      </c>
      <c r="K96" s="241">
        <v>8700</v>
      </c>
    </row>
    <row r="97" spans="1:11" ht="114.75" x14ac:dyDescent="0.2">
      <c r="A97" s="12">
        <v>88</v>
      </c>
      <c r="B97" s="13" t="s">
        <v>139</v>
      </c>
      <c r="C97" s="13" t="s">
        <v>84</v>
      </c>
      <c r="D97" s="14" t="s">
        <v>143</v>
      </c>
      <c r="E97" s="14">
        <v>10210000</v>
      </c>
      <c r="F97" s="16" t="s">
        <v>339</v>
      </c>
      <c r="G97" s="13" t="s">
        <v>86</v>
      </c>
      <c r="H97" s="238">
        <v>1</v>
      </c>
      <c r="I97" s="239">
        <f t="shared" si="2"/>
        <v>9370</v>
      </c>
      <c r="J97" s="20">
        <f t="shared" si="3"/>
        <v>1780</v>
      </c>
      <c r="K97" s="241">
        <v>11150</v>
      </c>
    </row>
    <row r="98" spans="1:11" ht="102" x14ac:dyDescent="0.2">
      <c r="A98" s="12">
        <v>89</v>
      </c>
      <c r="B98" s="13" t="s">
        <v>139</v>
      </c>
      <c r="C98" s="13" t="s">
        <v>84</v>
      </c>
      <c r="D98" s="14" t="s">
        <v>143</v>
      </c>
      <c r="E98" s="14">
        <v>10210000</v>
      </c>
      <c r="F98" s="16" t="s">
        <v>340</v>
      </c>
      <c r="G98" s="13" t="s">
        <v>86</v>
      </c>
      <c r="H98" s="238">
        <v>1</v>
      </c>
      <c r="I98" s="239">
        <f t="shared" si="2"/>
        <v>5084</v>
      </c>
      <c r="J98" s="20">
        <f t="shared" si="3"/>
        <v>966</v>
      </c>
      <c r="K98" s="241">
        <v>6050</v>
      </c>
    </row>
    <row r="99" spans="1:11" ht="127.5" x14ac:dyDescent="0.2">
      <c r="A99" s="12">
        <v>90</v>
      </c>
      <c r="B99" s="13" t="s">
        <v>139</v>
      </c>
      <c r="C99" s="13" t="s">
        <v>84</v>
      </c>
      <c r="D99" s="14" t="s">
        <v>143</v>
      </c>
      <c r="E99" s="14">
        <v>10210000</v>
      </c>
      <c r="F99" s="16" t="s">
        <v>341</v>
      </c>
      <c r="G99" s="13" t="s">
        <v>86</v>
      </c>
      <c r="H99" s="238">
        <v>1</v>
      </c>
      <c r="I99" s="239">
        <f t="shared" si="2"/>
        <v>6134</v>
      </c>
      <c r="J99" s="20">
        <f t="shared" si="3"/>
        <v>1166</v>
      </c>
      <c r="K99" s="241">
        <v>7300</v>
      </c>
    </row>
    <row r="100" spans="1:11" ht="127.5" x14ac:dyDescent="0.2">
      <c r="A100" s="12">
        <v>91</v>
      </c>
      <c r="B100" s="13" t="s">
        <v>139</v>
      </c>
      <c r="C100" s="13" t="s">
        <v>84</v>
      </c>
      <c r="D100" s="14" t="s">
        <v>143</v>
      </c>
      <c r="E100" s="14">
        <v>10210000</v>
      </c>
      <c r="F100" s="16" t="s">
        <v>342</v>
      </c>
      <c r="G100" s="13" t="s">
        <v>86</v>
      </c>
      <c r="H100" s="238">
        <v>1</v>
      </c>
      <c r="I100" s="239">
        <f t="shared" si="2"/>
        <v>29664</v>
      </c>
      <c r="J100" s="20">
        <f t="shared" si="3"/>
        <v>5636</v>
      </c>
      <c r="K100" s="241">
        <v>35300</v>
      </c>
    </row>
    <row r="101" spans="1:11" ht="114.75" x14ac:dyDescent="0.2">
      <c r="A101" s="12">
        <v>92</v>
      </c>
      <c r="B101" s="13" t="s">
        <v>139</v>
      </c>
      <c r="C101" s="13" t="s">
        <v>84</v>
      </c>
      <c r="D101" s="14" t="s">
        <v>143</v>
      </c>
      <c r="E101" s="14">
        <v>10210000</v>
      </c>
      <c r="F101" s="16" t="s">
        <v>343</v>
      </c>
      <c r="G101" s="13" t="s">
        <v>86</v>
      </c>
      <c r="H101" s="238">
        <v>1</v>
      </c>
      <c r="I101" s="239">
        <f t="shared" si="2"/>
        <v>37521</v>
      </c>
      <c r="J101" s="20">
        <f t="shared" si="3"/>
        <v>7129</v>
      </c>
      <c r="K101" s="241">
        <v>44650</v>
      </c>
    </row>
    <row r="102" spans="1:11" ht="101.25" customHeight="1" x14ac:dyDescent="0.2">
      <c r="A102" s="12">
        <v>93</v>
      </c>
      <c r="B102" s="13" t="s">
        <v>139</v>
      </c>
      <c r="C102" s="13" t="s">
        <v>84</v>
      </c>
      <c r="D102" s="14" t="s">
        <v>143</v>
      </c>
      <c r="E102" s="14">
        <v>27112811</v>
      </c>
      <c r="F102" s="16" t="s">
        <v>344</v>
      </c>
      <c r="G102" s="13" t="s">
        <v>86</v>
      </c>
      <c r="H102" s="238">
        <v>1</v>
      </c>
      <c r="I102" s="239">
        <f t="shared" si="2"/>
        <v>16471</v>
      </c>
      <c r="J102" s="20">
        <f t="shared" si="3"/>
        <v>3129</v>
      </c>
      <c r="K102" s="241">
        <v>19600</v>
      </c>
    </row>
    <row r="103" spans="1:11" ht="76.5" x14ac:dyDescent="0.2">
      <c r="A103" s="12">
        <v>94</v>
      </c>
      <c r="B103" s="13" t="s">
        <v>139</v>
      </c>
      <c r="C103" s="13" t="s">
        <v>84</v>
      </c>
      <c r="D103" s="14" t="s">
        <v>143</v>
      </c>
      <c r="E103" s="14">
        <v>27112811</v>
      </c>
      <c r="F103" s="16" t="s">
        <v>345</v>
      </c>
      <c r="G103" s="13" t="s">
        <v>86</v>
      </c>
      <c r="H103" s="238">
        <v>1</v>
      </c>
      <c r="I103" s="239">
        <f t="shared" si="2"/>
        <v>21429</v>
      </c>
      <c r="J103" s="20">
        <f t="shared" si="3"/>
        <v>4071</v>
      </c>
      <c r="K103" s="241">
        <v>25500</v>
      </c>
    </row>
    <row r="104" spans="1:11" ht="15.75" x14ac:dyDescent="0.2">
      <c r="A104" s="12">
        <v>95</v>
      </c>
      <c r="B104" s="13" t="s">
        <v>139</v>
      </c>
      <c r="C104" s="13" t="s">
        <v>84</v>
      </c>
      <c r="D104" s="14" t="s">
        <v>144</v>
      </c>
      <c r="E104" s="14">
        <v>11111501</v>
      </c>
      <c r="F104" s="16" t="s">
        <v>145</v>
      </c>
      <c r="G104" s="13" t="s">
        <v>146</v>
      </c>
      <c r="H104" s="238">
        <v>1</v>
      </c>
      <c r="I104" s="239">
        <f t="shared" si="2"/>
        <v>14958</v>
      </c>
      <c r="J104" s="20">
        <f t="shared" si="3"/>
        <v>2842</v>
      </c>
      <c r="K104" s="241">
        <v>17800</v>
      </c>
    </row>
    <row r="105" spans="1:11" ht="25.5" x14ac:dyDescent="0.2">
      <c r="A105" s="12">
        <v>96</v>
      </c>
      <c r="B105" s="13" t="s">
        <v>139</v>
      </c>
      <c r="C105" s="13" t="s">
        <v>84</v>
      </c>
      <c r="D105" s="14" t="s">
        <v>147</v>
      </c>
      <c r="E105" s="14">
        <v>10171504</v>
      </c>
      <c r="F105" s="16" t="s">
        <v>148</v>
      </c>
      <c r="G105" s="13" t="s">
        <v>149</v>
      </c>
      <c r="H105" s="238">
        <v>1</v>
      </c>
      <c r="I105" s="239">
        <f t="shared" si="2"/>
        <v>65210</v>
      </c>
      <c r="J105" s="20">
        <f t="shared" si="3"/>
        <v>12390</v>
      </c>
      <c r="K105" s="241">
        <v>77600</v>
      </c>
    </row>
    <row r="106" spans="1:11" ht="15.75" x14ac:dyDescent="0.2">
      <c r="A106" s="12">
        <v>97</v>
      </c>
      <c r="B106" s="13" t="s">
        <v>139</v>
      </c>
      <c r="C106" s="13" t="s">
        <v>84</v>
      </c>
      <c r="D106" s="14" t="s">
        <v>231</v>
      </c>
      <c r="E106" s="14">
        <v>27112700</v>
      </c>
      <c r="F106" s="16" t="s">
        <v>230</v>
      </c>
      <c r="G106" s="13" t="s">
        <v>86</v>
      </c>
      <c r="H106" s="238">
        <v>1</v>
      </c>
      <c r="I106" s="239">
        <f t="shared" si="2"/>
        <v>32941</v>
      </c>
      <c r="J106" s="20">
        <f t="shared" si="3"/>
        <v>6259</v>
      </c>
      <c r="K106" s="241">
        <v>39200</v>
      </c>
    </row>
    <row r="107" spans="1:11" ht="15.75" x14ac:dyDescent="0.2">
      <c r="A107" s="12">
        <v>98</v>
      </c>
      <c r="B107" s="13" t="s">
        <v>139</v>
      </c>
      <c r="C107" s="13" t="s">
        <v>84</v>
      </c>
      <c r="D107" s="14" t="s">
        <v>150</v>
      </c>
      <c r="E107" s="14">
        <v>30103605</v>
      </c>
      <c r="F107" s="16" t="s">
        <v>151</v>
      </c>
      <c r="G107" s="13" t="s">
        <v>86</v>
      </c>
      <c r="H107" s="238">
        <v>1</v>
      </c>
      <c r="I107" s="239">
        <f t="shared" si="2"/>
        <v>44412</v>
      </c>
      <c r="J107" s="20">
        <f t="shared" si="3"/>
        <v>8438</v>
      </c>
      <c r="K107" s="241">
        <v>52850</v>
      </c>
    </row>
    <row r="108" spans="1:11" ht="25.5" x14ac:dyDescent="0.2">
      <c r="A108" s="12">
        <v>99</v>
      </c>
      <c r="B108" s="13" t="s">
        <v>139</v>
      </c>
      <c r="C108" s="13" t="s">
        <v>84</v>
      </c>
      <c r="D108" s="14" t="s">
        <v>152</v>
      </c>
      <c r="E108" s="14">
        <v>30191617</v>
      </c>
      <c r="F108" s="16" t="s">
        <v>153</v>
      </c>
      <c r="G108" s="13" t="s">
        <v>118</v>
      </c>
      <c r="H108" s="238">
        <v>1</v>
      </c>
      <c r="I108" s="239">
        <f t="shared" si="2"/>
        <v>68067</v>
      </c>
      <c r="J108" s="20">
        <f t="shared" si="3"/>
        <v>12933</v>
      </c>
      <c r="K108" s="241">
        <v>81000</v>
      </c>
    </row>
    <row r="109" spans="1:11" ht="15.75" x14ac:dyDescent="0.2">
      <c r="A109" s="12">
        <v>100</v>
      </c>
      <c r="B109" s="13" t="s">
        <v>139</v>
      </c>
      <c r="C109" s="13" t="s">
        <v>84</v>
      </c>
      <c r="D109" s="14" t="s">
        <v>155</v>
      </c>
      <c r="E109" s="14">
        <v>47131604</v>
      </c>
      <c r="F109" s="16" t="s">
        <v>346</v>
      </c>
      <c r="G109" s="13" t="s">
        <v>86</v>
      </c>
      <c r="H109" s="238">
        <v>1</v>
      </c>
      <c r="I109" s="239">
        <f t="shared" si="2"/>
        <v>12941</v>
      </c>
      <c r="J109" s="20">
        <f t="shared" si="3"/>
        <v>2459</v>
      </c>
      <c r="K109" s="241">
        <v>15400</v>
      </c>
    </row>
    <row r="110" spans="1:11" ht="15.75" x14ac:dyDescent="0.2">
      <c r="A110" s="12">
        <v>101</v>
      </c>
      <c r="B110" s="13" t="s">
        <v>139</v>
      </c>
      <c r="C110" s="13" t="s">
        <v>84</v>
      </c>
      <c r="D110" s="14" t="s">
        <v>156</v>
      </c>
      <c r="E110" s="14">
        <v>47131604</v>
      </c>
      <c r="F110" s="16" t="s">
        <v>157</v>
      </c>
      <c r="G110" s="13" t="s">
        <v>86</v>
      </c>
      <c r="H110" s="238">
        <v>1</v>
      </c>
      <c r="I110" s="239">
        <f t="shared" si="2"/>
        <v>6765</v>
      </c>
      <c r="J110" s="20">
        <f t="shared" si="3"/>
        <v>1285</v>
      </c>
      <c r="K110" s="241">
        <v>8050</v>
      </c>
    </row>
    <row r="111" spans="1:11" ht="15.75" x14ac:dyDescent="0.2">
      <c r="A111" s="12">
        <v>102</v>
      </c>
      <c r="B111" s="13" t="s">
        <v>139</v>
      </c>
      <c r="C111" s="13" t="s">
        <v>84</v>
      </c>
      <c r="D111" s="14" t="s">
        <v>347</v>
      </c>
      <c r="E111" s="14">
        <v>47131611</v>
      </c>
      <c r="F111" s="16" t="s">
        <v>348</v>
      </c>
      <c r="G111" s="13" t="s">
        <v>86</v>
      </c>
      <c r="H111" s="238">
        <v>1</v>
      </c>
      <c r="I111" s="239">
        <f t="shared" si="2"/>
        <v>3655</v>
      </c>
      <c r="J111" s="20">
        <f t="shared" si="3"/>
        <v>695</v>
      </c>
      <c r="K111" s="241">
        <v>4350</v>
      </c>
    </row>
    <row r="112" spans="1:11" ht="15.75" x14ac:dyDescent="0.2">
      <c r="A112" s="12">
        <v>103</v>
      </c>
      <c r="B112" s="13" t="s">
        <v>139</v>
      </c>
      <c r="C112" s="13" t="s">
        <v>84</v>
      </c>
      <c r="D112" s="14" t="s">
        <v>158</v>
      </c>
      <c r="E112" s="14">
        <v>27112700</v>
      </c>
      <c r="F112" s="16" t="s">
        <v>232</v>
      </c>
      <c r="G112" s="13" t="s">
        <v>86</v>
      </c>
      <c r="H112" s="238">
        <v>1</v>
      </c>
      <c r="I112" s="239">
        <f t="shared" si="2"/>
        <v>36345</v>
      </c>
      <c r="J112" s="20">
        <f t="shared" si="3"/>
        <v>6905</v>
      </c>
      <c r="K112" s="241">
        <v>43250</v>
      </c>
    </row>
    <row r="113" spans="1:11" ht="15.75" x14ac:dyDescent="0.2">
      <c r="A113" s="12">
        <v>104</v>
      </c>
      <c r="B113" s="13" t="s">
        <v>139</v>
      </c>
      <c r="C113" s="13" t="s">
        <v>84</v>
      </c>
      <c r="D113" s="14" t="s">
        <v>159</v>
      </c>
      <c r="E113" s="14">
        <v>27112700</v>
      </c>
      <c r="F113" s="16" t="s">
        <v>233</v>
      </c>
      <c r="G113" s="13" t="s">
        <v>86</v>
      </c>
      <c r="H113" s="238">
        <v>1</v>
      </c>
      <c r="I113" s="239">
        <f t="shared" si="2"/>
        <v>31303</v>
      </c>
      <c r="J113" s="20">
        <f t="shared" si="3"/>
        <v>5947</v>
      </c>
      <c r="K113" s="241">
        <v>37250</v>
      </c>
    </row>
    <row r="114" spans="1:11" ht="191.25" x14ac:dyDescent="0.2">
      <c r="A114" s="12">
        <v>105</v>
      </c>
      <c r="B114" s="13" t="s">
        <v>139</v>
      </c>
      <c r="C114" s="13" t="s">
        <v>84</v>
      </c>
      <c r="D114" s="14" t="s">
        <v>160</v>
      </c>
      <c r="E114" s="14">
        <v>53101800</v>
      </c>
      <c r="F114" s="16" t="s">
        <v>161</v>
      </c>
      <c r="G114" s="13" t="s">
        <v>86</v>
      </c>
      <c r="H114" s="238">
        <v>1</v>
      </c>
      <c r="I114" s="239">
        <f t="shared" si="2"/>
        <v>84748</v>
      </c>
      <c r="J114" s="20">
        <f t="shared" si="3"/>
        <v>16102</v>
      </c>
      <c r="K114" s="241">
        <v>100850</v>
      </c>
    </row>
    <row r="115" spans="1:11" ht="89.25" x14ac:dyDescent="0.2">
      <c r="A115" s="12">
        <v>106</v>
      </c>
      <c r="B115" s="13" t="s">
        <v>139</v>
      </c>
      <c r="C115" s="13" t="s">
        <v>84</v>
      </c>
      <c r="D115" s="14" t="s">
        <v>162</v>
      </c>
      <c r="E115" s="14">
        <v>53102516</v>
      </c>
      <c r="F115" s="16" t="s">
        <v>163</v>
      </c>
      <c r="G115" s="13" t="s">
        <v>86</v>
      </c>
      <c r="H115" s="238">
        <v>1</v>
      </c>
      <c r="I115" s="239">
        <f t="shared" si="2"/>
        <v>32311</v>
      </c>
      <c r="J115" s="20">
        <f t="shared" si="3"/>
        <v>6139</v>
      </c>
      <c r="K115" s="241">
        <v>38450</v>
      </c>
    </row>
    <row r="116" spans="1:11" ht="51" x14ac:dyDescent="0.2">
      <c r="A116" s="12">
        <v>107</v>
      </c>
      <c r="B116" s="13" t="s">
        <v>139</v>
      </c>
      <c r="C116" s="13" t="s">
        <v>84</v>
      </c>
      <c r="D116" s="14" t="s">
        <v>164</v>
      </c>
      <c r="E116" s="14">
        <v>53121602</v>
      </c>
      <c r="F116" s="16" t="s">
        <v>165</v>
      </c>
      <c r="G116" s="13" t="s">
        <v>86</v>
      </c>
      <c r="H116" s="238">
        <v>1</v>
      </c>
      <c r="I116" s="239">
        <f t="shared" si="2"/>
        <v>13151</v>
      </c>
      <c r="J116" s="20">
        <f t="shared" si="3"/>
        <v>2499</v>
      </c>
      <c r="K116" s="241">
        <v>15650</v>
      </c>
    </row>
    <row r="117" spans="1:11" ht="38.25" x14ac:dyDescent="0.2">
      <c r="A117" s="12">
        <v>108</v>
      </c>
      <c r="B117" s="13" t="s">
        <v>139</v>
      </c>
      <c r="C117" s="13" t="s">
        <v>84</v>
      </c>
      <c r="D117" s="14" t="s">
        <v>262</v>
      </c>
      <c r="E117" s="14">
        <v>90101600</v>
      </c>
      <c r="F117" s="16" t="s">
        <v>234</v>
      </c>
      <c r="G117" s="13" t="s">
        <v>86</v>
      </c>
      <c r="H117" s="238">
        <v>1</v>
      </c>
      <c r="I117" s="239">
        <f t="shared" si="2"/>
        <v>8739</v>
      </c>
      <c r="J117" s="20">
        <f t="shared" si="3"/>
        <v>1661</v>
      </c>
      <c r="K117" s="241">
        <v>10400</v>
      </c>
    </row>
    <row r="118" spans="1:11" ht="25.5" x14ac:dyDescent="0.2">
      <c r="A118" s="12">
        <v>109</v>
      </c>
      <c r="B118" s="13" t="s">
        <v>139</v>
      </c>
      <c r="C118" s="13" t="s">
        <v>84</v>
      </c>
      <c r="D118" s="14" t="s">
        <v>235</v>
      </c>
      <c r="E118" s="14">
        <v>44121600</v>
      </c>
      <c r="F118" s="16" t="s">
        <v>238</v>
      </c>
      <c r="G118" s="13" t="s">
        <v>239</v>
      </c>
      <c r="H118" s="238">
        <v>1</v>
      </c>
      <c r="I118" s="239">
        <f t="shared" si="2"/>
        <v>16471</v>
      </c>
      <c r="J118" s="20">
        <f t="shared" si="3"/>
        <v>3129</v>
      </c>
      <c r="K118" s="241">
        <v>19600</v>
      </c>
    </row>
    <row r="119" spans="1:11" ht="15.75" x14ac:dyDescent="0.2">
      <c r="A119" s="12">
        <v>110</v>
      </c>
      <c r="B119" s="13" t="s">
        <v>139</v>
      </c>
      <c r="C119" s="13" t="s">
        <v>84</v>
      </c>
      <c r="D119" s="14" t="s">
        <v>236</v>
      </c>
      <c r="E119" s="14">
        <v>44121600</v>
      </c>
      <c r="F119" s="16" t="s">
        <v>240</v>
      </c>
      <c r="G119" s="13" t="s">
        <v>241</v>
      </c>
      <c r="H119" s="238">
        <v>1</v>
      </c>
      <c r="I119" s="239">
        <f t="shared" si="2"/>
        <v>22311</v>
      </c>
      <c r="J119" s="20">
        <f t="shared" si="3"/>
        <v>4239</v>
      </c>
      <c r="K119" s="241">
        <v>26550</v>
      </c>
    </row>
    <row r="120" spans="1:11" ht="15.75" x14ac:dyDescent="0.2">
      <c r="A120" s="12">
        <v>111</v>
      </c>
      <c r="B120" s="13" t="s">
        <v>139</v>
      </c>
      <c r="C120" s="13" t="s">
        <v>84</v>
      </c>
      <c r="D120" s="14" t="s">
        <v>237</v>
      </c>
      <c r="E120" s="14">
        <v>44121600</v>
      </c>
      <c r="F120" s="16" t="s">
        <v>242</v>
      </c>
      <c r="G120" s="13" t="s">
        <v>86</v>
      </c>
      <c r="H120" s="238">
        <v>1</v>
      </c>
      <c r="I120" s="239">
        <f t="shared" si="2"/>
        <v>37731</v>
      </c>
      <c r="J120" s="20">
        <f t="shared" si="3"/>
        <v>7169</v>
      </c>
      <c r="K120" s="241">
        <v>44900</v>
      </c>
    </row>
    <row r="121" spans="1:11" ht="15.75" x14ac:dyDescent="0.2">
      <c r="A121" s="12">
        <v>112</v>
      </c>
      <c r="B121" s="13" t="s">
        <v>139</v>
      </c>
      <c r="C121" s="13" t="s">
        <v>84</v>
      </c>
      <c r="D121" s="14" t="s">
        <v>243</v>
      </c>
      <c r="E121" s="14">
        <v>44121600</v>
      </c>
      <c r="F121" s="16" t="s">
        <v>244</v>
      </c>
      <c r="G121" s="13" t="s">
        <v>118</v>
      </c>
      <c r="H121" s="238">
        <v>1</v>
      </c>
      <c r="I121" s="239">
        <f t="shared" si="2"/>
        <v>7605</v>
      </c>
      <c r="J121" s="20">
        <f t="shared" si="3"/>
        <v>1445</v>
      </c>
      <c r="K121" s="241">
        <v>9050</v>
      </c>
    </row>
    <row r="122" spans="1:11" ht="15.75" x14ac:dyDescent="0.2">
      <c r="A122" s="12">
        <v>113</v>
      </c>
      <c r="B122" s="13" t="s">
        <v>139</v>
      </c>
      <c r="C122" s="13" t="s">
        <v>84</v>
      </c>
      <c r="D122" s="14" t="s">
        <v>245</v>
      </c>
      <c r="E122" s="14">
        <v>44121600</v>
      </c>
      <c r="F122" s="16" t="s">
        <v>247</v>
      </c>
      <c r="G122" s="13" t="s">
        <v>248</v>
      </c>
      <c r="H122" s="238">
        <v>1</v>
      </c>
      <c r="I122" s="239">
        <f t="shared" si="2"/>
        <v>2647</v>
      </c>
      <c r="J122" s="20">
        <f t="shared" si="3"/>
        <v>503</v>
      </c>
      <c r="K122" s="241">
        <v>3150</v>
      </c>
    </row>
    <row r="123" spans="1:11" ht="15.75" x14ac:dyDescent="0.2">
      <c r="A123" s="12">
        <v>114</v>
      </c>
      <c r="B123" s="13" t="s">
        <v>139</v>
      </c>
      <c r="C123" s="13" t="s">
        <v>84</v>
      </c>
      <c r="D123" s="14" t="s">
        <v>246</v>
      </c>
      <c r="E123" s="14">
        <v>44121600</v>
      </c>
      <c r="F123" s="16" t="s">
        <v>249</v>
      </c>
      <c r="G123" s="13" t="s">
        <v>87</v>
      </c>
      <c r="H123" s="238">
        <v>1</v>
      </c>
      <c r="I123" s="239">
        <f t="shared" si="2"/>
        <v>37059</v>
      </c>
      <c r="J123" s="20">
        <f t="shared" si="3"/>
        <v>7041</v>
      </c>
      <c r="K123" s="241">
        <v>44100</v>
      </c>
    </row>
    <row r="124" spans="1:11" ht="15.75" x14ac:dyDescent="0.2">
      <c r="A124" s="12">
        <v>115</v>
      </c>
      <c r="B124" s="13" t="s">
        <v>139</v>
      </c>
      <c r="C124" s="13" t="s">
        <v>84</v>
      </c>
      <c r="D124" s="14" t="s">
        <v>251</v>
      </c>
      <c r="E124" s="14">
        <v>44121600</v>
      </c>
      <c r="F124" s="16" t="s">
        <v>250</v>
      </c>
      <c r="G124" s="13" t="s">
        <v>86</v>
      </c>
      <c r="H124" s="238">
        <v>1</v>
      </c>
      <c r="I124" s="239">
        <f t="shared" si="2"/>
        <v>6891</v>
      </c>
      <c r="J124" s="20">
        <f t="shared" si="3"/>
        <v>1309</v>
      </c>
      <c r="K124" s="241">
        <v>8200</v>
      </c>
    </row>
    <row r="125" spans="1:11" ht="25.5" x14ac:dyDescent="0.2">
      <c r="A125" s="12">
        <v>116</v>
      </c>
      <c r="B125" s="13" t="s">
        <v>139</v>
      </c>
      <c r="C125" s="13" t="s">
        <v>84</v>
      </c>
      <c r="D125" s="14" t="s">
        <v>254</v>
      </c>
      <c r="E125" s="14">
        <v>31162800</v>
      </c>
      <c r="F125" s="16" t="s">
        <v>255</v>
      </c>
      <c r="G125" s="13" t="s">
        <v>86</v>
      </c>
      <c r="H125" s="238">
        <v>1</v>
      </c>
      <c r="I125" s="239">
        <f t="shared" si="2"/>
        <v>6429</v>
      </c>
      <c r="J125" s="20">
        <f t="shared" si="3"/>
        <v>1221</v>
      </c>
      <c r="K125" s="241">
        <v>7650</v>
      </c>
    </row>
    <row r="126" spans="1:11" ht="15.75" x14ac:dyDescent="0.2">
      <c r="A126" s="12">
        <v>117</v>
      </c>
      <c r="B126" s="13" t="s">
        <v>139</v>
      </c>
      <c r="C126" s="13" t="s">
        <v>84</v>
      </c>
      <c r="D126" s="14" t="s">
        <v>256</v>
      </c>
      <c r="E126" s="14">
        <v>27112700</v>
      </c>
      <c r="F126" s="16" t="s">
        <v>257</v>
      </c>
      <c r="G126" s="13" t="s">
        <v>86</v>
      </c>
      <c r="H126" s="238">
        <v>1</v>
      </c>
      <c r="I126" s="239">
        <f t="shared" si="2"/>
        <v>44748</v>
      </c>
      <c r="J126" s="20">
        <f t="shared" si="3"/>
        <v>8502</v>
      </c>
      <c r="K126" s="241">
        <v>53250</v>
      </c>
    </row>
    <row r="127" spans="1:11" ht="15.75" x14ac:dyDescent="0.2">
      <c r="A127" s="12">
        <v>118</v>
      </c>
      <c r="B127" s="13" t="s">
        <v>139</v>
      </c>
      <c r="C127" s="13" t="s">
        <v>84</v>
      </c>
      <c r="D127" s="14" t="s">
        <v>259</v>
      </c>
      <c r="E127" s="14">
        <v>27112700</v>
      </c>
      <c r="F127" s="16" t="s">
        <v>258</v>
      </c>
      <c r="G127" s="13" t="s">
        <v>86</v>
      </c>
      <c r="H127" s="238">
        <v>1</v>
      </c>
      <c r="I127" s="239">
        <f t="shared" ref="I127:I170" si="4">ROUND(K127/1.19,0)</f>
        <v>24202</v>
      </c>
      <c r="J127" s="20">
        <f t="shared" ref="J127:J170" si="5">K127-I127</f>
        <v>4598</v>
      </c>
      <c r="K127" s="241">
        <v>28800</v>
      </c>
    </row>
    <row r="128" spans="1:11" ht="15.75" x14ac:dyDescent="0.2">
      <c r="A128" s="12">
        <v>119</v>
      </c>
      <c r="B128" s="13" t="s">
        <v>139</v>
      </c>
      <c r="C128" s="13" t="s">
        <v>84</v>
      </c>
      <c r="D128" s="14" t="s">
        <v>261</v>
      </c>
      <c r="E128" s="14">
        <v>27112700</v>
      </c>
      <c r="F128" s="16" t="s">
        <v>260</v>
      </c>
      <c r="G128" s="13" t="s">
        <v>86</v>
      </c>
      <c r="H128" s="238">
        <v>1</v>
      </c>
      <c r="I128" s="239">
        <f t="shared" si="4"/>
        <v>49622</v>
      </c>
      <c r="J128" s="20">
        <f t="shared" si="5"/>
        <v>9428</v>
      </c>
      <c r="K128" s="241">
        <v>59050</v>
      </c>
    </row>
    <row r="129" spans="1:11" ht="38.25" x14ac:dyDescent="0.2">
      <c r="A129" s="12">
        <v>120</v>
      </c>
      <c r="B129" s="13" t="s">
        <v>139</v>
      </c>
      <c r="C129" s="13" t="s">
        <v>84</v>
      </c>
      <c r="D129" s="14" t="s">
        <v>263</v>
      </c>
      <c r="E129" s="14">
        <v>90101600</v>
      </c>
      <c r="F129" s="16" t="s">
        <v>272</v>
      </c>
      <c r="G129" s="13" t="s">
        <v>86</v>
      </c>
      <c r="H129" s="238">
        <v>1</v>
      </c>
      <c r="I129" s="239">
        <f t="shared" si="4"/>
        <v>11513</v>
      </c>
      <c r="J129" s="20">
        <f t="shared" si="5"/>
        <v>2187</v>
      </c>
      <c r="K129" s="241">
        <v>13700</v>
      </c>
    </row>
    <row r="130" spans="1:11" ht="51" x14ac:dyDescent="0.2">
      <c r="A130" s="12">
        <v>121</v>
      </c>
      <c r="B130" s="13" t="s">
        <v>139</v>
      </c>
      <c r="C130" s="13" t="s">
        <v>84</v>
      </c>
      <c r="D130" s="14" t="s">
        <v>264</v>
      </c>
      <c r="E130" s="14">
        <v>90101600</v>
      </c>
      <c r="F130" s="16" t="s">
        <v>273</v>
      </c>
      <c r="G130" s="13" t="s">
        <v>86</v>
      </c>
      <c r="H130" s="238">
        <v>1</v>
      </c>
      <c r="I130" s="239">
        <f t="shared" si="4"/>
        <v>13529</v>
      </c>
      <c r="J130" s="20">
        <f t="shared" si="5"/>
        <v>2571</v>
      </c>
      <c r="K130" s="241">
        <v>16100</v>
      </c>
    </row>
    <row r="131" spans="1:11" ht="51" x14ac:dyDescent="0.2">
      <c r="A131" s="12">
        <v>122</v>
      </c>
      <c r="B131" s="13" t="s">
        <v>139</v>
      </c>
      <c r="C131" s="13" t="s">
        <v>84</v>
      </c>
      <c r="D131" s="14" t="s">
        <v>265</v>
      </c>
      <c r="E131" s="14">
        <v>90101600</v>
      </c>
      <c r="F131" s="16" t="s">
        <v>274</v>
      </c>
      <c r="G131" s="13" t="s">
        <v>86</v>
      </c>
      <c r="H131" s="238">
        <v>1</v>
      </c>
      <c r="I131" s="239">
        <f t="shared" si="4"/>
        <v>14958</v>
      </c>
      <c r="J131" s="20">
        <f t="shared" si="5"/>
        <v>2842</v>
      </c>
      <c r="K131" s="241">
        <v>17800</v>
      </c>
    </row>
    <row r="132" spans="1:11" ht="38.25" x14ac:dyDescent="0.2">
      <c r="A132" s="12">
        <v>123</v>
      </c>
      <c r="B132" s="13" t="s">
        <v>139</v>
      </c>
      <c r="C132" s="13" t="s">
        <v>84</v>
      </c>
      <c r="D132" s="14" t="s">
        <v>266</v>
      </c>
      <c r="E132" s="14">
        <v>90101600</v>
      </c>
      <c r="F132" s="16" t="s">
        <v>275</v>
      </c>
      <c r="G132" s="13" t="s">
        <v>86</v>
      </c>
      <c r="H132" s="238">
        <v>1</v>
      </c>
      <c r="I132" s="239">
        <f t="shared" si="4"/>
        <v>15714</v>
      </c>
      <c r="J132" s="20">
        <f t="shared" si="5"/>
        <v>2986</v>
      </c>
      <c r="K132" s="241">
        <v>18700</v>
      </c>
    </row>
    <row r="133" spans="1:11" ht="25.5" x14ac:dyDescent="0.2">
      <c r="A133" s="12">
        <v>124</v>
      </c>
      <c r="B133" s="13" t="s">
        <v>139</v>
      </c>
      <c r="C133" s="13" t="s">
        <v>84</v>
      </c>
      <c r="D133" s="14" t="s">
        <v>267</v>
      </c>
      <c r="E133" s="14">
        <v>90101600</v>
      </c>
      <c r="F133" s="16" t="s">
        <v>276</v>
      </c>
      <c r="G133" s="13" t="s">
        <v>86</v>
      </c>
      <c r="H133" s="238">
        <v>1</v>
      </c>
      <c r="I133" s="239">
        <f t="shared" si="4"/>
        <v>10798</v>
      </c>
      <c r="J133" s="20">
        <f t="shared" si="5"/>
        <v>2052</v>
      </c>
      <c r="K133" s="241">
        <v>12850</v>
      </c>
    </row>
    <row r="134" spans="1:11" ht="38.25" x14ac:dyDescent="0.2">
      <c r="A134" s="12">
        <v>125</v>
      </c>
      <c r="B134" s="13" t="s">
        <v>139</v>
      </c>
      <c r="C134" s="13" t="s">
        <v>84</v>
      </c>
      <c r="D134" s="14" t="s">
        <v>268</v>
      </c>
      <c r="E134" s="14">
        <v>90101600</v>
      </c>
      <c r="F134" s="16" t="s">
        <v>277</v>
      </c>
      <c r="G134" s="13" t="s">
        <v>86</v>
      </c>
      <c r="H134" s="238">
        <v>1</v>
      </c>
      <c r="I134" s="239">
        <f t="shared" si="4"/>
        <v>15126</v>
      </c>
      <c r="J134" s="20">
        <f t="shared" si="5"/>
        <v>2874</v>
      </c>
      <c r="K134" s="241">
        <v>18000</v>
      </c>
    </row>
    <row r="135" spans="1:11" ht="38.25" x14ac:dyDescent="0.2">
      <c r="A135" s="12">
        <v>126</v>
      </c>
      <c r="B135" s="13" t="s">
        <v>139</v>
      </c>
      <c r="C135" s="13" t="s">
        <v>84</v>
      </c>
      <c r="D135" s="14" t="s">
        <v>269</v>
      </c>
      <c r="E135" s="14">
        <v>90101600</v>
      </c>
      <c r="F135" s="16" t="s">
        <v>278</v>
      </c>
      <c r="G135" s="13" t="s">
        <v>86</v>
      </c>
      <c r="H135" s="238">
        <v>1</v>
      </c>
      <c r="I135" s="239">
        <f t="shared" si="4"/>
        <v>16008</v>
      </c>
      <c r="J135" s="20">
        <f t="shared" si="5"/>
        <v>3042</v>
      </c>
      <c r="K135" s="241">
        <v>19050</v>
      </c>
    </row>
    <row r="136" spans="1:11" ht="25.5" x14ac:dyDescent="0.2">
      <c r="A136" s="12">
        <v>127</v>
      </c>
      <c r="B136" s="13" t="s">
        <v>139</v>
      </c>
      <c r="C136" s="13" t="s">
        <v>84</v>
      </c>
      <c r="D136" s="14" t="s">
        <v>270</v>
      </c>
      <c r="E136" s="14">
        <v>90101600</v>
      </c>
      <c r="F136" s="16" t="s">
        <v>279</v>
      </c>
      <c r="G136" s="13" t="s">
        <v>86</v>
      </c>
      <c r="H136" s="238">
        <v>1</v>
      </c>
      <c r="I136" s="239">
        <f t="shared" si="4"/>
        <v>20168</v>
      </c>
      <c r="J136" s="20">
        <f t="shared" si="5"/>
        <v>3832</v>
      </c>
      <c r="K136" s="241">
        <v>24000</v>
      </c>
    </row>
    <row r="137" spans="1:11" ht="25.5" x14ac:dyDescent="0.2">
      <c r="A137" s="12">
        <v>128</v>
      </c>
      <c r="B137" s="13" t="s">
        <v>139</v>
      </c>
      <c r="C137" s="13" t="s">
        <v>84</v>
      </c>
      <c r="D137" s="14" t="s">
        <v>271</v>
      </c>
      <c r="E137" s="14">
        <v>90101600</v>
      </c>
      <c r="F137" s="16" t="s">
        <v>280</v>
      </c>
      <c r="G137" s="13" t="s">
        <v>86</v>
      </c>
      <c r="H137" s="238">
        <v>1</v>
      </c>
      <c r="I137" s="239">
        <f t="shared" si="4"/>
        <v>2059</v>
      </c>
      <c r="J137" s="20">
        <f t="shared" si="5"/>
        <v>391</v>
      </c>
      <c r="K137" s="241">
        <v>2450</v>
      </c>
    </row>
    <row r="138" spans="1:11" ht="25.5" x14ac:dyDescent="0.2">
      <c r="A138" s="12">
        <v>129</v>
      </c>
      <c r="B138" s="13" t="s">
        <v>139</v>
      </c>
      <c r="C138" s="13" t="s">
        <v>84</v>
      </c>
      <c r="D138" s="14" t="s">
        <v>281</v>
      </c>
      <c r="E138" s="14">
        <v>90101600</v>
      </c>
      <c r="F138" s="16" t="s">
        <v>284</v>
      </c>
      <c r="G138" s="13" t="s">
        <v>86</v>
      </c>
      <c r="H138" s="238">
        <v>1</v>
      </c>
      <c r="I138" s="239">
        <f t="shared" si="4"/>
        <v>882</v>
      </c>
      <c r="J138" s="20">
        <f t="shared" si="5"/>
        <v>168</v>
      </c>
      <c r="K138" s="241">
        <v>1050</v>
      </c>
    </row>
    <row r="139" spans="1:11" ht="15.75" x14ac:dyDescent="0.2">
      <c r="A139" s="12">
        <v>130</v>
      </c>
      <c r="B139" s="13" t="s">
        <v>139</v>
      </c>
      <c r="C139" s="13" t="s">
        <v>84</v>
      </c>
      <c r="D139" s="14" t="s">
        <v>282</v>
      </c>
      <c r="E139" s="14">
        <v>90101600</v>
      </c>
      <c r="F139" s="16" t="s">
        <v>285</v>
      </c>
      <c r="G139" s="13" t="s">
        <v>86</v>
      </c>
      <c r="H139" s="238">
        <v>1</v>
      </c>
      <c r="I139" s="239">
        <f t="shared" si="4"/>
        <v>1891</v>
      </c>
      <c r="J139" s="20">
        <f t="shared" si="5"/>
        <v>359</v>
      </c>
      <c r="K139" s="241">
        <v>2250</v>
      </c>
    </row>
    <row r="140" spans="1:11" ht="15.75" x14ac:dyDescent="0.2">
      <c r="A140" s="12">
        <v>131</v>
      </c>
      <c r="B140" s="13" t="s">
        <v>139</v>
      </c>
      <c r="C140" s="13" t="s">
        <v>84</v>
      </c>
      <c r="D140" s="14" t="s">
        <v>283</v>
      </c>
      <c r="E140" s="14">
        <v>90101600</v>
      </c>
      <c r="F140" s="16" t="s">
        <v>286</v>
      </c>
      <c r="G140" s="13" t="s">
        <v>86</v>
      </c>
      <c r="H140" s="238">
        <v>1</v>
      </c>
      <c r="I140" s="239">
        <f t="shared" si="4"/>
        <v>2101</v>
      </c>
      <c r="J140" s="20">
        <f t="shared" si="5"/>
        <v>399</v>
      </c>
      <c r="K140" s="241">
        <v>2500</v>
      </c>
    </row>
    <row r="141" spans="1:11" ht="38.25" x14ac:dyDescent="0.2">
      <c r="A141" s="12">
        <v>132</v>
      </c>
      <c r="B141" s="13" t="s">
        <v>139</v>
      </c>
      <c r="C141" s="13" t="s">
        <v>84</v>
      </c>
      <c r="D141" s="14" t="s">
        <v>287</v>
      </c>
      <c r="E141" s="14">
        <v>53102700</v>
      </c>
      <c r="F141" s="16" t="s">
        <v>289</v>
      </c>
      <c r="G141" s="13" t="s">
        <v>86</v>
      </c>
      <c r="H141" s="238">
        <v>1</v>
      </c>
      <c r="I141" s="239">
        <f t="shared" si="4"/>
        <v>24202</v>
      </c>
      <c r="J141" s="20">
        <f t="shared" si="5"/>
        <v>4598</v>
      </c>
      <c r="K141" s="241">
        <v>28800</v>
      </c>
    </row>
    <row r="142" spans="1:11" ht="89.25" x14ac:dyDescent="0.2">
      <c r="A142" s="12">
        <v>133</v>
      </c>
      <c r="B142" s="13" t="s">
        <v>139</v>
      </c>
      <c r="C142" s="13" t="s">
        <v>84</v>
      </c>
      <c r="D142" s="14" t="s">
        <v>288</v>
      </c>
      <c r="E142" s="14">
        <v>53102700</v>
      </c>
      <c r="F142" s="16" t="s">
        <v>290</v>
      </c>
      <c r="G142" s="13" t="s">
        <v>86</v>
      </c>
      <c r="H142" s="238">
        <v>1</v>
      </c>
      <c r="I142" s="239">
        <f t="shared" si="4"/>
        <v>42773</v>
      </c>
      <c r="J142" s="20">
        <f t="shared" si="5"/>
        <v>8127</v>
      </c>
      <c r="K142" s="241">
        <v>50900</v>
      </c>
    </row>
    <row r="143" spans="1:11" ht="25.5" x14ac:dyDescent="0.2">
      <c r="A143" s="12">
        <v>134</v>
      </c>
      <c r="B143" s="13" t="s">
        <v>139</v>
      </c>
      <c r="C143" s="13" t="s">
        <v>84</v>
      </c>
      <c r="D143" s="14" t="s">
        <v>291</v>
      </c>
      <c r="E143" s="14">
        <v>46181600</v>
      </c>
      <c r="F143" s="16" t="s">
        <v>293</v>
      </c>
      <c r="G143" s="13" t="s">
        <v>88</v>
      </c>
      <c r="H143" s="238">
        <v>1</v>
      </c>
      <c r="I143" s="239">
        <f t="shared" si="4"/>
        <v>35756</v>
      </c>
      <c r="J143" s="20">
        <f t="shared" si="5"/>
        <v>6794</v>
      </c>
      <c r="K143" s="241">
        <v>42550</v>
      </c>
    </row>
    <row r="144" spans="1:11" ht="25.5" x14ac:dyDescent="0.2">
      <c r="A144" s="12">
        <v>135</v>
      </c>
      <c r="B144" s="13" t="s">
        <v>139</v>
      </c>
      <c r="C144" s="13" t="s">
        <v>84</v>
      </c>
      <c r="D144" s="14" t="s">
        <v>292</v>
      </c>
      <c r="E144" s="14">
        <v>46181600</v>
      </c>
      <c r="F144" s="16" t="s">
        <v>294</v>
      </c>
      <c r="G144" s="13" t="s">
        <v>88</v>
      </c>
      <c r="H144" s="238">
        <v>1</v>
      </c>
      <c r="I144" s="239">
        <f t="shared" si="4"/>
        <v>93067</v>
      </c>
      <c r="J144" s="20">
        <f t="shared" si="5"/>
        <v>17683</v>
      </c>
      <c r="K144" s="241">
        <v>110750</v>
      </c>
    </row>
    <row r="145" spans="1:11" ht="51" x14ac:dyDescent="0.2">
      <c r="A145" s="12">
        <v>136</v>
      </c>
      <c r="B145" s="13" t="s">
        <v>139</v>
      </c>
      <c r="C145" s="13" t="s">
        <v>84</v>
      </c>
      <c r="D145" s="14" t="s">
        <v>349</v>
      </c>
      <c r="E145" s="14">
        <v>24111500</v>
      </c>
      <c r="F145" s="16" t="s">
        <v>350</v>
      </c>
      <c r="G145" s="13" t="s">
        <v>7</v>
      </c>
      <c r="H145" s="238">
        <v>1</v>
      </c>
      <c r="I145" s="239">
        <f t="shared" si="4"/>
        <v>22983</v>
      </c>
      <c r="J145" s="20">
        <f t="shared" si="5"/>
        <v>4367</v>
      </c>
      <c r="K145" s="241">
        <v>27350</v>
      </c>
    </row>
    <row r="146" spans="1:11" ht="38.25" x14ac:dyDescent="0.2">
      <c r="A146" s="12">
        <v>137</v>
      </c>
      <c r="B146" s="13" t="s">
        <v>139</v>
      </c>
      <c r="C146" s="13" t="s">
        <v>84</v>
      </c>
      <c r="D146" s="14" t="s">
        <v>351</v>
      </c>
      <c r="E146" s="14">
        <v>44122003</v>
      </c>
      <c r="F146" s="16" t="s">
        <v>352</v>
      </c>
      <c r="G146" s="13" t="s">
        <v>7</v>
      </c>
      <c r="H146" s="238">
        <v>1</v>
      </c>
      <c r="I146" s="239">
        <f t="shared" si="4"/>
        <v>798</v>
      </c>
      <c r="J146" s="20">
        <f t="shared" si="5"/>
        <v>152</v>
      </c>
      <c r="K146" s="241">
        <v>950</v>
      </c>
    </row>
    <row r="147" spans="1:11" ht="38.25" x14ac:dyDescent="0.2">
      <c r="A147" s="12">
        <v>138</v>
      </c>
      <c r="B147" s="13" t="s">
        <v>139</v>
      </c>
      <c r="C147" s="13" t="s">
        <v>84</v>
      </c>
      <c r="D147" s="14" t="s">
        <v>351</v>
      </c>
      <c r="E147" s="14">
        <v>44122003</v>
      </c>
      <c r="F147" s="16" t="s">
        <v>353</v>
      </c>
      <c r="G147" s="13" t="s">
        <v>7</v>
      </c>
      <c r="H147" s="238">
        <v>1</v>
      </c>
      <c r="I147" s="239">
        <f t="shared" si="4"/>
        <v>798</v>
      </c>
      <c r="J147" s="20">
        <f t="shared" si="5"/>
        <v>152</v>
      </c>
      <c r="K147" s="241">
        <v>950</v>
      </c>
    </row>
    <row r="148" spans="1:11" ht="51" x14ac:dyDescent="0.2">
      <c r="A148" s="12">
        <v>139</v>
      </c>
      <c r="B148" s="13" t="s">
        <v>139</v>
      </c>
      <c r="C148" s="13" t="s">
        <v>84</v>
      </c>
      <c r="D148" s="14" t="s">
        <v>354</v>
      </c>
      <c r="E148" s="14">
        <v>27111605</v>
      </c>
      <c r="F148" s="16" t="s">
        <v>295</v>
      </c>
      <c r="G148" s="13" t="s">
        <v>7</v>
      </c>
      <c r="H148" s="238">
        <v>1</v>
      </c>
      <c r="I148" s="239">
        <f t="shared" si="4"/>
        <v>72521</v>
      </c>
      <c r="J148" s="20">
        <f t="shared" si="5"/>
        <v>13779</v>
      </c>
      <c r="K148" s="241">
        <v>86300</v>
      </c>
    </row>
    <row r="149" spans="1:11" ht="38.25" x14ac:dyDescent="0.2">
      <c r="A149" s="12">
        <v>140</v>
      </c>
      <c r="B149" s="13" t="s">
        <v>139</v>
      </c>
      <c r="C149" s="13" t="s">
        <v>84</v>
      </c>
      <c r="D149" s="14" t="s">
        <v>296</v>
      </c>
      <c r="E149" s="14">
        <v>31201502</v>
      </c>
      <c r="F149" s="16" t="s">
        <v>297</v>
      </c>
      <c r="G149" s="13" t="s">
        <v>298</v>
      </c>
      <c r="H149" s="238">
        <v>1</v>
      </c>
      <c r="I149" s="239">
        <f t="shared" si="4"/>
        <v>2521</v>
      </c>
      <c r="J149" s="20">
        <f t="shared" si="5"/>
        <v>479</v>
      </c>
      <c r="K149" s="241">
        <v>3000</v>
      </c>
    </row>
    <row r="150" spans="1:11" ht="51" x14ac:dyDescent="0.2">
      <c r="A150" s="12">
        <v>141</v>
      </c>
      <c r="B150" s="13" t="s">
        <v>139</v>
      </c>
      <c r="C150" s="13" t="s">
        <v>84</v>
      </c>
      <c r="D150" s="14" t="s">
        <v>299</v>
      </c>
      <c r="E150" s="14">
        <v>31201503</v>
      </c>
      <c r="F150" s="16" t="s">
        <v>300</v>
      </c>
      <c r="G150" s="13" t="s">
        <v>298</v>
      </c>
      <c r="H150" s="238">
        <v>1</v>
      </c>
      <c r="I150" s="239">
        <f t="shared" si="4"/>
        <v>8992</v>
      </c>
      <c r="J150" s="20">
        <f t="shared" si="5"/>
        <v>1708</v>
      </c>
      <c r="K150" s="241">
        <v>10700</v>
      </c>
    </row>
    <row r="151" spans="1:11" ht="38.25" x14ac:dyDescent="0.2">
      <c r="A151" s="12">
        <v>142</v>
      </c>
      <c r="B151" s="13" t="s">
        <v>139</v>
      </c>
      <c r="C151" s="13" t="s">
        <v>84</v>
      </c>
      <c r="D151" s="14" t="s">
        <v>355</v>
      </c>
      <c r="E151" s="14">
        <v>45111500</v>
      </c>
      <c r="F151" s="16" t="s">
        <v>356</v>
      </c>
      <c r="G151" s="13" t="s">
        <v>229</v>
      </c>
      <c r="H151" s="238">
        <v>1</v>
      </c>
      <c r="I151" s="239">
        <f t="shared" si="4"/>
        <v>1132647</v>
      </c>
      <c r="J151" s="20">
        <f t="shared" si="5"/>
        <v>215203</v>
      </c>
      <c r="K151" s="241">
        <v>1347850</v>
      </c>
    </row>
    <row r="152" spans="1:11" ht="25.5" x14ac:dyDescent="0.2">
      <c r="A152" s="12">
        <v>143</v>
      </c>
      <c r="B152" s="13" t="s">
        <v>139</v>
      </c>
      <c r="C152" s="13" t="s">
        <v>84</v>
      </c>
      <c r="D152" s="14" t="s">
        <v>357</v>
      </c>
      <c r="E152" s="14">
        <v>45111500</v>
      </c>
      <c r="F152" s="16" t="s">
        <v>358</v>
      </c>
      <c r="G152" s="13" t="s">
        <v>229</v>
      </c>
      <c r="H152" s="238">
        <v>1</v>
      </c>
      <c r="I152" s="239">
        <f t="shared" si="4"/>
        <v>94916</v>
      </c>
      <c r="J152" s="20">
        <f t="shared" si="5"/>
        <v>18034</v>
      </c>
      <c r="K152" s="241">
        <v>112950</v>
      </c>
    </row>
    <row r="153" spans="1:11" ht="38.25" x14ac:dyDescent="0.2">
      <c r="A153" s="12">
        <v>144</v>
      </c>
      <c r="B153" s="13" t="s">
        <v>12</v>
      </c>
      <c r="C153" s="13" t="s">
        <v>84</v>
      </c>
      <c r="D153" s="14" t="s">
        <v>359</v>
      </c>
      <c r="E153" s="14">
        <v>52161500</v>
      </c>
      <c r="F153" s="16" t="s">
        <v>360</v>
      </c>
      <c r="G153" s="13" t="s">
        <v>226</v>
      </c>
      <c r="H153" s="238">
        <v>1</v>
      </c>
      <c r="I153" s="239">
        <f t="shared" si="4"/>
        <v>2754916</v>
      </c>
      <c r="J153" s="20">
        <f t="shared" si="5"/>
        <v>523434</v>
      </c>
      <c r="K153" s="241">
        <v>3278350</v>
      </c>
    </row>
    <row r="154" spans="1:11" ht="51" x14ac:dyDescent="0.2">
      <c r="A154" s="12">
        <v>145</v>
      </c>
      <c r="B154" s="13" t="s">
        <v>12</v>
      </c>
      <c r="C154" s="13" t="s">
        <v>84</v>
      </c>
      <c r="D154" s="14" t="s">
        <v>361</v>
      </c>
      <c r="E154" s="14">
        <v>31162506</v>
      </c>
      <c r="F154" s="16" t="s">
        <v>362</v>
      </c>
      <c r="G154" s="13" t="s">
        <v>226</v>
      </c>
      <c r="H154" s="238">
        <v>1</v>
      </c>
      <c r="I154" s="239">
        <f t="shared" si="4"/>
        <v>55042</v>
      </c>
      <c r="J154" s="20">
        <f t="shared" si="5"/>
        <v>10458</v>
      </c>
      <c r="K154" s="241">
        <v>65500</v>
      </c>
    </row>
    <row r="155" spans="1:11" ht="23.25" customHeight="1" x14ac:dyDescent="0.2">
      <c r="A155" s="12">
        <v>146</v>
      </c>
      <c r="B155" s="13" t="s">
        <v>12</v>
      </c>
      <c r="C155" s="13" t="s">
        <v>84</v>
      </c>
      <c r="D155" s="14" t="s">
        <v>363</v>
      </c>
      <c r="E155" s="14">
        <v>52161520</v>
      </c>
      <c r="F155" s="16" t="s">
        <v>364</v>
      </c>
      <c r="G155" s="13" t="s">
        <v>226</v>
      </c>
      <c r="H155" s="238">
        <v>1</v>
      </c>
      <c r="I155" s="239">
        <f t="shared" si="4"/>
        <v>321429</v>
      </c>
      <c r="J155" s="20">
        <f t="shared" si="5"/>
        <v>61071</v>
      </c>
      <c r="K155" s="241">
        <v>382500</v>
      </c>
    </row>
    <row r="156" spans="1:11" ht="51" x14ac:dyDescent="0.2">
      <c r="A156" s="12">
        <v>147</v>
      </c>
      <c r="B156" s="13" t="s">
        <v>12</v>
      </c>
      <c r="C156" s="13" t="s">
        <v>84</v>
      </c>
      <c r="D156" s="14" t="s">
        <v>365</v>
      </c>
      <c r="E156" s="14">
        <v>52161520</v>
      </c>
      <c r="F156" s="16" t="s">
        <v>366</v>
      </c>
      <c r="G156" s="13" t="s">
        <v>226</v>
      </c>
      <c r="H156" s="238">
        <v>1</v>
      </c>
      <c r="I156" s="239">
        <f t="shared" si="4"/>
        <v>211176</v>
      </c>
      <c r="J156" s="20">
        <f t="shared" si="5"/>
        <v>40124</v>
      </c>
      <c r="K156" s="241">
        <v>251300</v>
      </c>
    </row>
    <row r="157" spans="1:11" ht="25.5" x14ac:dyDescent="0.2">
      <c r="A157" s="12">
        <v>148</v>
      </c>
      <c r="B157" s="13" t="s">
        <v>12</v>
      </c>
      <c r="C157" s="13" t="s">
        <v>84</v>
      </c>
      <c r="D157" s="14" t="s">
        <v>367</v>
      </c>
      <c r="E157" s="14">
        <v>45111616</v>
      </c>
      <c r="F157" s="16" t="s">
        <v>368</v>
      </c>
      <c r="G157" s="13" t="s">
        <v>226</v>
      </c>
      <c r="H157" s="238">
        <v>1</v>
      </c>
      <c r="I157" s="239">
        <f t="shared" si="4"/>
        <v>2899832</v>
      </c>
      <c r="J157" s="20">
        <f t="shared" si="5"/>
        <v>550968</v>
      </c>
      <c r="K157" s="241">
        <v>3450800</v>
      </c>
    </row>
    <row r="158" spans="1:11" ht="62.25" customHeight="1" x14ac:dyDescent="0.2">
      <c r="A158" s="12">
        <v>149</v>
      </c>
      <c r="B158" s="13" t="s">
        <v>12</v>
      </c>
      <c r="C158" s="13" t="s">
        <v>84</v>
      </c>
      <c r="D158" s="14" t="s">
        <v>369</v>
      </c>
      <c r="E158" s="14">
        <v>32131023</v>
      </c>
      <c r="F158" s="16" t="s">
        <v>370</v>
      </c>
      <c r="G158" s="13" t="s">
        <v>226</v>
      </c>
      <c r="H158" s="238">
        <v>1</v>
      </c>
      <c r="I158" s="239">
        <f t="shared" si="4"/>
        <v>90378</v>
      </c>
      <c r="J158" s="20">
        <f t="shared" si="5"/>
        <v>17172</v>
      </c>
      <c r="K158" s="241">
        <v>107550</v>
      </c>
    </row>
    <row r="159" spans="1:11" ht="38.25" x14ac:dyDescent="0.2">
      <c r="A159" s="12">
        <v>150</v>
      </c>
      <c r="B159" s="13" t="s">
        <v>12</v>
      </c>
      <c r="C159" s="13" t="s">
        <v>84</v>
      </c>
      <c r="D159" s="14" t="s">
        <v>371</v>
      </c>
      <c r="E159" s="14">
        <v>52161500</v>
      </c>
      <c r="F159" s="16" t="s">
        <v>372</v>
      </c>
      <c r="G159" s="13" t="s">
        <v>226</v>
      </c>
      <c r="H159" s="238">
        <v>1</v>
      </c>
      <c r="I159" s="239">
        <f t="shared" si="4"/>
        <v>725798</v>
      </c>
      <c r="J159" s="20">
        <f t="shared" si="5"/>
        <v>137902</v>
      </c>
      <c r="K159" s="241">
        <v>863700</v>
      </c>
    </row>
    <row r="160" spans="1:11" ht="51" x14ac:dyDescent="0.2">
      <c r="A160" s="12">
        <v>151</v>
      </c>
      <c r="B160" s="13" t="s">
        <v>12</v>
      </c>
      <c r="C160" s="13" t="s">
        <v>84</v>
      </c>
      <c r="D160" s="14" t="s">
        <v>373</v>
      </c>
      <c r="E160" s="14">
        <v>43211500</v>
      </c>
      <c r="F160" s="16" t="s">
        <v>374</v>
      </c>
      <c r="G160" s="13" t="s">
        <v>226</v>
      </c>
      <c r="H160" s="238">
        <v>1</v>
      </c>
      <c r="I160" s="239">
        <f t="shared" si="4"/>
        <v>3529580</v>
      </c>
      <c r="J160" s="20">
        <f t="shared" si="5"/>
        <v>670620</v>
      </c>
      <c r="K160" s="241">
        <v>4200200</v>
      </c>
    </row>
    <row r="161" spans="1:11" ht="38.25" x14ac:dyDescent="0.2">
      <c r="A161" s="12">
        <v>152</v>
      </c>
      <c r="B161" s="13" t="s">
        <v>139</v>
      </c>
      <c r="C161" s="13" t="s">
        <v>84</v>
      </c>
      <c r="D161" s="14" t="s">
        <v>731</v>
      </c>
      <c r="E161" s="14"/>
      <c r="F161" s="16" t="s">
        <v>325</v>
      </c>
      <c r="G161" s="13" t="s">
        <v>226</v>
      </c>
      <c r="H161" s="238">
        <v>1</v>
      </c>
      <c r="I161" s="239">
        <f t="shared" si="4"/>
        <v>313824</v>
      </c>
      <c r="J161" s="20">
        <f t="shared" si="5"/>
        <v>59626</v>
      </c>
      <c r="K161" s="241">
        <v>373450</v>
      </c>
    </row>
    <row r="162" spans="1:11" ht="51" x14ac:dyDescent="0.2">
      <c r="A162" s="12">
        <v>153</v>
      </c>
      <c r="B162" s="13" t="s">
        <v>139</v>
      </c>
      <c r="C162" s="13" t="s">
        <v>84</v>
      </c>
      <c r="D162" s="14" t="s">
        <v>526</v>
      </c>
      <c r="E162" s="14">
        <v>82101500</v>
      </c>
      <c r="F162" s="16" t="s">
        <v>329</v>
      </c>
      <c r="G162" s="13" t="s">
        <v>226</v>
      </c>
      <c r="H162" s="238">
        <v>1</v>
      </c>
      <c r="I162" s="239">
        <f t="shared" si="4"/>
        <v>378</v>
      </c>
      <c r="J162" s="20">
        <f t="shared" si="5"/>
        <v>72</v>
      </c>
      <c r="K162" s="241">
        <v>450</v>
      </c>
    </row>
    <row r="163" spans="1:11" ht="38.25" x14ac:dyDescent="0.2">
      <c r="A163" s="12">
        <v>154</v>
      </c>
      <c r="B163" s="13" t="s">
        <v>139</v>
      </c>
      <c r="C163" s="13" t="s">
        <v>84</v>
      </c>
      <c r="D163" s="14" t="s">
        <v>527</v>
      </c>
      <c r="E163" s="14">
        <v>82101500</v>
      </c>
      <c r="F163" s="16" t="s">
        <v>328</v>
      </c>
      <c r="G163" s="13" t="s">
        <v>226</v>
      </c>
      <c r="H163" s="238">
        <v>1</v>
      </c>
      <c r="I163" s="239">
        <f t="shared" si="4"/>
        <v>5084</v>
      </c>
      <c r="J163" s="20">
        <f t="shared" si="5"/>
        <v>966</v>
      </c>
      <c r="K163" s="241">
        <v>6050</v>
      </c>
    </row>
    <row r="164" spans="1:11" ht="15.75" x14ac:dyDescent="0.2">
      <c r="A164" s="12">
        <v>155</v>
      </c>
      <c r="B164" s="13" t="s">
        <v>139</v>
      </c>
      <c r="C164" s="13" t="s">
        <v>84</v>
      </c>
      <c r="D164" s="14" t="s">
        <v>303</v>
      </c>
      <c r="E164" s="14"/>
      <c r="F164" s="16" t="s">
        <v>304</v>
      </c>
      <c r="G164" s="13" t="s">
        <v>305</v>
      </c>
      <c r="H164" s="238">
        <v>1</v>
      </c>
      <c r="I164" s="239">
        <f t="shared" si="4"/>
        <v>23487</v>
      </c>
      <c r="J164" s="20">
        <f t="shared" si="5"/>
        <v>4463</v>
      </c>
      <c r="K164" s="241">
        <v>27950</v>
      </c>
    </row>
    <row r="165" spans="1:11" ht="15.75" x14ac:dyDescent="0.2">
      <c r="A165" s="12">
        <v>156</v>
      </c>
      <c r="B165" s="13" t="s">
        <v>139</v>
      </c>
      <c r="C165" s="13" t="s">
        <v>84</v>
      </c>
      <c r="D165" s="14" t="s">
        <v>306</v>
      </c>
      <c r="E165" s="14"/>
      <c r="F165" s="16" t="s">
        <v>307</v>
      </c>
      <c r="G165" s="13" t="s">
        <v>305</v>
      </c>
      <c r="H165" s="238">
        <v>1</v>
      </c>
      <c r="I165" s="239">
        <f t="shared" si="4"/>
        <v>18487</v>
      </c>
      <c r="J165" s="20">
        <f t="shared" si="5"/>
        <v>3513</v>
      </c>
      <c r="K165" s="241">
        <v>22000</v>
      </c>
    </row>
    <row r="166" spans="1:11" ht="15.75" x14ac:dyDescent="0.2">
      <c r="A166" s="12">
        <v>157</v>
      </c>
      <c r="B166" s="13" t="s">
        <v>139</v>
      </c>
      <c r="C166" s="13" t="s">
        <v>84</v>
      </c>
      <c r="D166" s="14" t="s">
        <v>308</v>
      </c>
      <c r="E166" s="14"/>
      <c r="F166" s="16" t="s">
        <v>309</v>
      </c>
      <c r="G166" s="13" t="s">
        <v>7</v>
      </c>
      <c r="H166" s="238">
        <v>1</v>
      </c>
      <c r="I166" s="239">
        <f t="shared" si="4"/>
        <v>15210</v>
      </c>
      <c r="J166" s="20">
        <f t="shared" si="5"/>
        <v>2890</v>
      </c>
      <c r="K166" s="241">
        <v>18100</v>
      </c>
    </row>
    <row r="167" spans="1:11" ht="25.5" x14ac:dyDescent="0.2">
      <c r="A167" s="12">
        <v>158</v>
      </c>
      <c r="B167" s="13" t="s">
        <v>139</v>
      </c>
      <c r="C167" s="13" t="s">
        <v>84</v>
      </c>
      <c r="D167" s="14" t="s">
        <v>310</v>
      </c>
      <c r="E167" s="14"/>
      <c r="F167" s="16" t="s">
        <v>331</v>
      </c>
      <c r="G167" s="13" t="s">
        <v>311</v>
      </c>
      <c r="H167" s="238">
        <v>1</v>
      </c>
      <c r="I167" s="239">
        <f t="shared" si="4"/>
        <v>9832</v>
      </c>
      <c r="J167" s="20">
        <f t="shared" si="5"/>
        <v>1868</v>
      </c>
      <c r="K167" s="241">
        <v>11700</v>
      </c>
    </row>
    <row r="168" spans="1:11" ht="15.75" x14ac:dyDescent="0.2">
      <c r="A168" s="12">
        <v>159</v>
      </c>
      <c r="B168" s="13" t="s">
        <v>139</v>
      </c>
      <c r="C168" s="13" t="s">
        <v>84</v>
      </c>
      <c r="D168" s="14" t="s">
        <v>312</v>
      </c>
      <c r="E168" s="14"/>
      <c r="F168" s="16" t="s">
        <v>313</v>
      </c>
      <c r="G168" s="13" t="s">
        <v>311</v>
      </c>
      <c r="H168" s="238">
        <v>1</v>
      </c>
      <c r="I168" s="239">
        <f t="shared" si="4"/>
        <v>14748</v>
      </c>
      <c r="J168" s="20">
        <f t="shared" si="5"/>
        <v>2802</v>
      </c>
      <c r="K168" s="241">
        <v>17550</v>
      </c>
    </row>
    <row r="169" spans="1:11" ht="15.75" x14ac:dyDescent="0.2">
      <c r="A169" s="12">
        <v>160</v>
      </c>
      <c r="B169" s="13" t="s">
        <v>139</v>
      </c>
      <c r="C169" s="13" t="s">
        <v>84</v>
      </c>
      <c r="D169" s="14" t="s">
        <v>314</v>
      </c>
      <c r="E169" s="14"/>
      <c r="F169" s="16" t="s">
        <v>315</v>
      </c>
      <c r="G169" s="13" t="s">
        <v>311</v>
      </c>
      <c r="H169" s="238">
        <v>1</v>
      </c>
      <c r="I169" s="239">
        <f t="shared" si="4"/>
        <v>4160</v>
      </c>
      <c r="J169" s="20">
        <f t="shared" si="5"/>
        <v>790</v>
      </c>
      <c r="K169" s="241">
        <v>4950</v>
      </c>
    </row>
    <row r="170" spans="1:11" ht="24.75" customHeight="1" thickBot="1" x14ac:dyDescent="0.25">
      <c r="A170" s="12">
        <v>161</v>
      </c>
      <c r="B170" s="13" t="s">
        <v>139</v>
      </c>
      <c r="C170" s="13" t="s">
        <v>84</v>
      </c>
      <c r="D170" s="14" t="s">
        <v>316</v>
      </c>
      <c r="E170" s="14"/>
      <c r="F170" s="16" t="s">
        <v>317</v>
      </c>
      <c r="G170" s="13" t="s">
        <v>311</v>
      </c>
      <c r="H170" s="238">
        <v>1</v>
      </c>
      <c r="I170" s="239">
        <f t="shared" si="4"/>
        <v>23655</v>
      </c>
      <c r="J170" s="20">
        <f t="shared" si="5"/>
        <v>4495</v>
      </c>
      <c r="K170" s="241">
        <v>28150</v>
      </c>
    </row>
    <row r="171" spans="1:11" ht="13.5" thickBot="1" x14ac:dyDescent="0.25">
      <c r="A171" s="301" t="s">
        <v>6</v>
      </c>
      <c r="B171" s="302"/>
      <c r="C171" s="302"/>
      <c r="D171" s="302"/>
      <c r="E171" s="302"/>
      <c r="F171" s="302"/>
      <c r="G171" s="302"/>
      <c r="H171" s="302"/>
      <c r="I171" s="303"/>
      <c r="J171" s="237">
        <f>+SUM(J10:J170)</f>
        <v>20797824</v>
      </c>
      <c r="K171" s="242">
        <f>+SUM(K10:K170)</f>
        <v>130260050</v>
      </c>
    </row>
    <row r="172" spans="1:11" ht="13.5" thickBot="1" x14ac:dyDescent="0.25">
      <c r="A172" s="319" t="s">
        <v>225</v>
      </c>
      <c r="B172" s="320"/>
      <c r="C172" s="320"/>
      <c r="D172" s="320"/>
      <c r="E172" s="320"/>
      <c r="F172" s="320"/>
      <c r="G172" s="320"/>
      <c r="H172" s="320"/>
      <c r="I172" s="320"/>
      <c r="J172" s="320"/>
      <c r="K172" s="321"/>
    </row>
    <row r="173" spans="1:11" ht="38.25" x14ac:dyDescent="0.2">
      <c r="A173" s="2" t="s">
        <v>0</v>
      </c>
      <c r="B173" s="2" t="s">
        <v>10</v>
      </c>
      <c r="C173" s="2" t="s">
        <v>1</v>
      </c>
      <c r="D173" s="2" t="s">
        <v>3</v>
      </c>
      <c r="E173" s="2" t="s">
        <v>2</v>
      </c>
      <c r="F173" s="2" t="s">
        <v>91</v>
      </c>
      <c r="G173" s="2" t="s">
        <v>4</v>
      </c>
      <c r="H173" s="2" t="s">
        <v>5</v>
      </c>
      <c r="I173" s="19" t="s">
        <v>734</v>
      </c>
      <c r="J173" s="19" t="s">
        <v>735</v>
      </c>
      <c r="K173" s="19" t="s">
        <v>6</v>
      </c>
    </row>
    <row r="174" spans="1:11" ht="39" thickBot="1" x14ac:dyDescent="0.25">
      <c r="A174" s="12">
        <v>162</v>
      </c>
      <c r="B174" s="12" t="s">
        <v>139</v>
      </c>
      <c r="C174" s="12" t="s">
        <v>84</v>
      </c>
      <c r="D174" s="12" t="s">
        <v>323</v>
      </c>
      <c r="E174" s="12"/>
      <c r="F174" s="14" t="s">
        <v>321</v>
      </c>
      <c r="G174" s="12" t="s">
        <v>226</v>
      </c>
      <c r="H174" s="12">
        <v>1</v>
      </c>
      <c r="I174" s="239">
        <f t="shared" ref="I174" si="6">ROUND(K174/1.19,0)</f>
        <v>42016807</v>
      </c>
      <c r="J174" s="20">
        <f t="shared" ref="J174" si="7">K174-I174</f>
        <v>7983193</v>
      </c>
      <c r="K174" s="21">
        <v>50000000</v>
      </c>
    </row>
    <row r="175" spans="1:11" ht="15.75" customHeight="1" thickBot="1" x14ac:dyDescent="0.25">
      <c r="A175" s="301" t="s">
        <v>6</v>
      </c>
      <c r="B175" s="302"/>
      <c r="C175" s="302"/>
      <c r="D175" s="302"/>
      <c r="E175" s="302"/>
      <c r="F175" s="302"/>
      <c r="G175" s="302"/>
      <c r="H175" s="302"/>
      <c r="I175" s="302"/>
      <c r="J175" s="303"/>
      <c r="K175" s="236">
        <f>+SUM(K174:K174)</f>
        <v>50000000</v>
      </c>
    </row>
    <row r="176" spans="1:11" ht="13.5" thickBot="1" x14ac:dyDescent="0.25">
      <c r="A176" s="319" t="s">
        <v>730</v>
      </c>
      <c r="B176" s="320"/>
      <c r="C176" s="320"/>
      <c r="D176" s="320"/>
      <c r="E176" s="320"/>
      <c r="F176" s="320"/>
      <c r="G176" s="320"/>
      <c r="H176" s="320"/>
      <c r="I176" s="320"/>
      <c r="J176" s="320"/>
      <c r="K176" s="321"/>
    </row>
    <row r="177" spans="1:11" ht="38.25" x14ac:dyDescent="0.2">
      <c r="A177" s="2" t="s">
        <v>0</v>
      </c>
      <c r="B177" s="2" t="s">
        <v>10</v>
      </c>
      <c r="C177" s="2" t="s">
        <v>1</v>
      </c>
      <c r="D177" s="2" t="s">
        <v>3</v>
      </c>
      <c r="E177" s="2" t="s">
        <v>2</v>
      </c>
      <c r="F177" s="2" t="s">
        <v>91</v>
      </c>
      <c r="G177" s="2" t="s">
        <v>4</v>
      </c>
      <c r="H177" s="2" t="s">
        <v>5</v>
      </c>
      <c r="I177" s="19" t="s">
        <v>734</v>
      </c>
      <c r="J177" s="19" t="s">
        <v>735</v>
      </c>
      <c r="K177" s="19" t="s">
        <v>6</v>
      </c>
    </row>
    <row r="178" spans="1:11" ht="39" thickBot="1" x14ac:dyDescent="0.25">
      <c r="A178" s="12">
        <v>163</v>
      </c>
      <c r="B178" s="12" t="s">
        <v>139</v>
      </c>
      <c r="C178" s="12" t="s">
        <v>84</v>
      </c>
      <c r="D178" s="12" t="s">
        <v>323</v>
      </c>
      <c r="E178" s="235"/>
      <c r="F178" s="11" t="s">
        <v>322</v>
      </c>
      <c r="G178" s="12" t="s">
        <v>226</v>
      </c>
      <c r="H178" s="12">
        <v>1</v>
      </c>
      <c r="I178" s="239">
        <f t="shared" ref="I178" si="8">ROUND(K178/1.19,0)</f>
        <v>42016807</v>
      </c>
      <c r="J178" s="20">
        <f t="shared" ref="J178" si="9">K178-I178</f>
        <v>7983193</v>
      </c>
      <c r="K178" s="21">
        <v>50000000</v>
      </c>
    </row>
    <row r="179" spans="1:11" ht="15.75" customHeight="1" thickBot="1" x14ac:dyDescent="0.25">
      <c r="A179" s="301" t="s">
        <v>6</v>
      </c>
      <c r="B179" s="302"/>
      <c r="C179" s="302"/>
      <c r="D179" s="302"/>
      <c r="E179" s="302"/>
      <c r="F179" s="302"/>
      <c r="G179" s="302"/>
      <c r="H179" s="302"/>
      <c r="I179" s="302"/>
      <c r="J179" s="303"/>
      <c r="K179" s="236">
        <f>+SUM(K178:K178)</f>
        <v>50000000</v>
      </c>
    </row>
    <row r="180" spans="1:11" ht="13.5" thickBot="1" x14ac:dyDescent="0.25">
      <c r="A180" s="319" t="s">
        <v>729</v>
      </c>
      <c r="B180" s="320"/>
      <c r="C180" s="320"/>
      <c r="D180" s="320"/>
      <c r="E180" s="320"/>
      <c r="F180" s="320"/>
      <c r="G180" s="320"/>
      <c r="H180" s="320"/>
      <c r="I180" s="320"/>
      <c r="J180" s="320"/>
      <c r="K180" s="321"/>
    </row>
    <row r="181" spans="1:11" ht="38.25" x14ac:dyDescent="0.2">
      <c r="A181" s="2" t="s">
        <v>0</v>
      </c>
      <c r="B181" s="2" t="s">
        <v>10</v>
      </c>
      <c r="C181" s="2" t="s">
        <v>1</v>
      </c>
      <c r="D181" s="2" t="s">
        <v>3</v>
      </c>
      <c r="E181" s="2" t="s">
        <v>2</v>
      </c>
      <c r="F181" s="2" t="s">
        <v>91</v>
      </c>
      <c r="G181" s="2" t="s">
        <v>4</v>
      </c>
      <c r="H181" s="2" t="s">
        <v>5</v>
      </c>
      <c r="I181" s="19" t="s">
        <v>734</v>
      </c>
      <c r="J181" s="19" t="s">
        <v>735</v>
      </c>
      <c r="K181" s="19" t="s">
        <v>6</v>
      </c>
    </row>
    <row r="182" spans="1:11" ht="26.25" thickBot="1" x14ac:dyDescent="0.25">
      <c r="A182" s="12">
        <v>164</v>
      </c>
      <c r="B182" s="12" t="s">
        <v>139</v>
      </c>
      <c r="C182" s="12" t="s">
        <v>84</v>
      </c>
      <c r="D182" s="12" t="s">
        <v>323</v>
      </c>
      <c r="E182" s="235"/>
      <c r="F182" s="11" t="s">
        <v>320</v>
      </c>
      <c r="G182" s="12" t="s">
        <v>226</v>
      </c>
      <c r="H182" s="12">
        <v>1</v>
      </c>
      <c r="I182" s="239">
        <f t="shared" ref="I182" si="10">ROUND(K182/1.19,0)</f>
        <v>84033613</v>
      </c>
      <c r="J182" s="20">
        <f t="shared" ref="J182" si="11">K182-I182</f>
        <v>15966387</v>
      </c>
      <c r="K182" s="21">
        <v>100000000</v>
      </c>
    </row>
    <row r="183" spans="1:11" ht="15.75" customHeight="1" thickBot="1" x14ac:dyDescent="0.25">
      <c r="A183" s="301" t="s">
        <v>6</v>
      </c>
      <c r="B183" s="302"/>
      <c r="C183" s="302"/>
      <c r="D183" s="302"/>
      <c r="E183" s="302"/>
      <c r="F183" s="302"/>
      <c r="G183" s="302"/>
      <c r="H183" s="302"/>
      <c r="I183" s="302"/>
      <c r="J183" s="303"/>
      <c r="K183" s="236">
        <f>+SUM(K182:K182)</f>
        <v>100000000</v>
      </c>
    </row>
  </sheetData>
  <autoFilter ref="A9:K183"/>
  <mergeCells count="10">
    <mergeCell ref="A2:K2"/>
    <mergeCell ref="A171:I171"/>
    <mergeCell ref="A183:J183"/>
    <mergeCell ref="C4:K7"/>
    <mergeCell ref="A4:B7"/>
    <mergeCell ref="A179:J179"/>
    <mergeCell ref="A172:K172"/>
    <mergeCell ref="A176:K176"/>
    <mergeCell ref="A180:K180"/>
    <mergeCell ref="A175:J175"/>
  </mergeCells>
  <pageMargins left="0.70866141732283472" right="0.70866141732283472" top="0.74803149606299213" bottom="0.74803149606299213" header="0.31496062992125984" footer="0.31496062992125984"/>
  <pageSetup paperSize="14" scale="51"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6</vt:i4>
      </vt:variant>
    </vt:vector>
  </HeadingPairs>
  <TitlesOfParts>
    <vt:vector size="10" baseType="lpstr">
      <vt:lpstr>1. ESTUDIO DE MERCADO I</vt:lpstr>
      <vt:lpstr>2. ESTUDIO DE MERCADO CANASTA</vt:lpstr>
      <vt:lpstr>3. ESTUDIO DE MERCADO II</vt:lpstr>
      <vt:lpstr>Estructura de Costos 2024</vt:lpstr>
      <vt:lpstr>'2. ESTUDIO DE MERCADO CANASTA'!Área_de_impresión</vt:lpstr>
      <vt:lpstr>'2. ESTUDIO DE MERCADO CANASTA'!Excel_BuiltIn__FilterDatabase</vt:lpstr>
      <vt:lpstr>'1. ESTUDIO DE MERCADO I'!Títulos_a_imprimir</vt:lpstr>
      <vt:lpstr>'2. ESTUDIO DE MERCADO CANASTA'!Títulos_a_imprimir</vt:lpstr>
      <vt:lpstr>'3. ESTUDIO DE MERCADO II'!Títulos_a_imprimir</vt:lpstr>
      <vt:lpstr>'Estructura de Costos 2024'!Títulos_a_imprimir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CAMILO</dc:creator>
  <cp:lastModifiedBy>FABIAN_QUIRIFE</cp:lastModifiedBy>
  <cp:lastPrinted>2024-11-15T03:11:10Z</cp:lastPrinted>
  <dcterms:created xsi:type="dcterms:W3CDTF">2023-04-08T21:09:06Z</dcterms:created>
  <dcterms:modified xsi:type="dcterms:W3CDTF">2024-11-20T17:07:43Z</dcterms:modified>
</cp:coreProperties>
</file>