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4\Gerencia Infraestructura\GESTION 2024-2027\AÑO 2024\CONTRATOS\RESTAURANTE LA PLAZUELA\"/>
    </mc:Choice>
  </mc:AlternateContent>
  <xr:revisionPtr revIDLastSave="0" documentId="13_ncr:1_{44FCB4A2-83ED-48C8-8FD6-98C8CBACEAB8}" xr6:coauthVersionLast="47" xr6:coauthVersionMax="47" xr10:uidLastSave="{00000000-0000-0000-0000-000000000000}"/>
  <bookViews>
    <workbookView xWindow="-120" yWindow="-120" windowWidth="29040" windowHeight="15840" xr2:uid="{52F44262-85D7-43C0-95FE-DAD5B6EE3C1F}"/>
  </bookViews>
  <sheets>
    <sheet name="BIENES RELEVANT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>[10]!_xlbgnm.ane7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>[14]!_xlbgnm.ane7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>[16]!_xlbgnm.ane7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>[14]!_xlbgnm.ane7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[0]!ERR</definedName>
    <definedName name="__FS01">[0]!ERR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'BIENES RELEVANTES'!$C$3:$L$4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>[27]!absc</definedName>
    <definedName name="ADOC125">[30]!absc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>[39]!absc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'BIENES RELEVANTES'!$A$1:$W$69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[41]CONTRATO!$E$18</definedName>
    <definedName name="AuxCom">'[11]DATOS CONTRATO'!$I$16</definedName>
    <definedName name="auxcomisariato">[41]CONTRATO!$I$16</definedName>
    <definedName name="AuxDot">'[11]DATOS CONTRATO'!$I$17</definedName>
    <definedName name="auxdotacion">[41]CONTRATO!$I$17</definedName>
    <definedName name="AuxHab">'[11]DATOS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'[21]Coloc.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'[11]DATOS CONTRATO'!$E$6</definedName>
    <definedName name="CONTRATO">[41]CONTRATO!$E$8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'[4]7422CW00'!#REF!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[51]!Customize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[13]Tablas!#REF!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'[4]7422CW00'!#REF!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>[51]!FareWellStmnt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[51]!FinePrint</definedName>
    <definedName name="FM">1.18</definedName>
    <definedName name="fnic">[55]Hoja1!$C$13</definedName>
    <definedName name="FO">1.32</definedName>
    <definedName name="FORDESCR">'[4]7422CW00'!#REF!</definedName>
    <definedName name="FORM_C3">[76]Hoja1!$A$33:$N$51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'[4]7422CW00'!#REF!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[21]Interc.tapones!$E$1:$E$65536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'[21]Interc.válv.'!$E$1:$E$65536</definedName>
    <definedName name="INV_11">'[82]PR 1'!$A$2:$N$655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[27]!absc</definedName>
    <definedName name="LOCA1">[39]!absc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[26]PRESUPUESTO!$C$13</definedName>
    <definedName name="MesCotiz">'[11]LIQ-NOM'!$H$3</definedName>
    <definedName name="MesCotizacion">'[41]LIQUIDA-NOMINA'!$H$3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[3]STRSUMM0!#REF!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'[4]7422CW00'!#REF!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[41]CONTRATO!$I$9</definedName>
    <definedName name="smlv2001">[41]CONTRATO!$H$9</definedName>
    <definedName name="SMML">'[65]ASPECTOS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'BIENES RELEVANTES'!#REF!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'BIENES RELEVANTES'!#REF!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'BIENES RELEVANTES'!#REF!</definedName>
    <definedName name="solver_pre" localSheetId="0" hidden="1">0.000001</definedName>
    <definedName name="solver_rel1" localSheetId="0" hidden="1">2</definedName>
    <definedName name="solver_rhs1" localSheetId="0" hidden="1">'BIENES RELEVANTES'!#REF!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'[101]PxQ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[57]Tablas!$H$1:$H$65536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[22]!absc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[23]INST!#REF!</definedName>
    <definedName name="TKSLCI07">[11]EMPRESA!$F$22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'[11]NOMINA-1'!$E$37</definedName>
    <definedName name="TotAuxAlimentacion">'[41]NOMINA 1'!$E$38</definedName>
    <definedName name="TotAuxCom">'[11]NOMINA-1'!$E$39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'[11]NOMINA-1'!$E$41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'[11]NOMINA-1'!$N$39</definedName>
    <definedName name="TotPrimConvencional">'[41]NOMINA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9" i="1" l="1"/>
  <c r="Q10" i="1"/>
  <c r="H39" i="1"/>
  <c r="I39" i="1" s="1"/>
  <c r="H35" i="1"/>
  <c r="I35" i="1" s="1"/>
  <c r="H43" i="1"/>
  <c r="I43" i="1" s="1"/>
  <c r="H54" i="1"/>
  <c r="I54" i="1" s="1"/>
  <c r="H53" i="1"/>
  <c r="I53" i="1" s="1"/>
  <c r="H62" i="1"/>
  <c r="I62" i="1" s="1"/>
  <c r="H42" i="1"/>
  <c r="I42" i="1" s="1"/>
  <c r="H21" i="1"/>
  <c r="I21" i="1" s="1"/>
  <c r="H20" i="1"/>
  <c r="I20" i="1" s="1"/>
  <c r="H47" i="1"/>
  <c r="I47" i="1" s="1"/>
  <c r="H29" i="1"/>
  <c r="I29" i="1" s="1"/>
  <c r="H25" i="1"/>
  <c r="I25" i="1" s="1"/>
  <c r="H7" i="1"/>
  <c r="I7" i="1" s="1"/>
  <c r="H16" i="1"/>
  <c r="I16" i="1" s="1"/>
  <c r="H26" i="1"/>
  <c r="I26" i="1" s="1"/>
  <c r="H57" i="1"/>
  <c r="I57" i="1" s="1"/>
  <c r="H45" i="1"/>
  <c r="I45" i="1" s="1"/>
  <c r="H56" i="1"/>
  <c r="I56" i="1" s="1"/>
  <c r="H33" i="1"/>
  <c r="I33" i="1" s="1"/>
  <c r="H49" i="1"/>
  <c r="I49" i="1" s="1"/>
  <c r="H30" i="1"/>
  <c r="I30" i="1" s="1"/>
  <c r="H52" i="1"/>
  <c r="I52" i="1" s="1"/>
  <c r="H67" i="1"/>
  <c r="I67" i="1" s="1"/>
  <c r="H48" i="1"/>
  <c r="I48" i="1" s="1"/>
  <c r="H19" i="1"/>
  <c r="I19" i="1" s="1"/>
  <c r="H36" i="1"/>
  <c r="I36" i="1" s="1"/>
  <c r="H61" i="1"/>
  <c r="I61" i="1" s="1"/>
  <c r="H55" i="1"/>
  <c r="I55" i="1" s="1"/>
  <c r="H60" i="1"/>
  <c r="I60" i="1" s="1"/>
  <c r="H58" i="1"/>
  <c r="I58" i="1" s="1"/>
  <c r="H59" i="1"/>
  <c r="I59" i="1" s="1"/>
  <c r="H38" i="1"/>
  <c r="I38" i="1" s="1"/>
  <c r="H37" i="1"/>
  <c r="I37" i="1" s="1"/>
  <c r="H32" i="1"/>
  <c r="I32" i="1" s="1"/>
  <c r="H41" i="1"/>
  <c r="I41" i="1" s="1"/>
  <c r="H5" i="1"/>
  <c r="I5" i="1" s="1"/>
  <c r="H15" i="1"/>
  <c r="I15" i="1" s="1"/>
  <c r="H12" i="1"/>
  <c r="I12" i="1" s="1"/>
  <c r="H11" i="1"/>
  <c r="I11" i="1" s="1"/>
  <c r="H17" i="1"/>
  <c r="I17" i="1" s="1"/>
  <c r="H24" i="1"/>
  <c r="I24" i="1" s="1"/>
  <c r="H23" i="1"/>
  <c r="I23" i="1" s="1"/>
  <c r="H50" i="1"/>
  <c r="I50" i="1" s="1"/>
  <c r="H44" i="1"/>
  <c r="I44" i="1" s="1"/>
  <c r="H46" i="1"/>
  <c r="I46" i="1" s="1"/>
  <c r="H9" i="1"/>
  <c r="I9" i="1" s="1"/>
  <c r="H63" i="1"/>
  <c r="I63" i="1" s="1"/>
  <c r="H10" i="1"/>
  <c r="I10" i="1" s="1"/>
  <c r="H22" i="1"/>
  <c r="I22" i="1" s="1"/>
  <c r="H51" i="1"/>
  <c r="I51" i="1" s="1"/>
  <c r="H66" i="1"/>
  <c r="I66" i="1" s="1"/>
  <c r="H6" i="1"/>
  <c r="I6" i="1" s="1"/>
  <c r="H40" i="1"/>
  <c r="I40" i="1" s="1"/>
  <c r="H64" i="1"/>
  <c r="I64" i="1" s="1"/>
  <c r="H31" i="1"/>
  <c r="I31" i="1" s="1"/>
  <c r="H34" i="1"/>
  <c r="I34" i="1" s="1"/>
  <c r="H14" i="1"/>
  <c r="I14" i="1" s="1"/>
  <c r="H8" i="1"/>
  <c r="I8" i="1" s="1"/>
  <c r="H28" i="1"/>
  <c r="I28" i="1" s="1"/>
  <c r="H18" i="1"/>
  <c r="I18" i="1" s="1"/>
  <c r="H13" i="1"/>
  <c r="I13" i="1" s="1"/>
  <c r="H65" i="1"/>
  <c r="I65" i="1" s="1"/>
  <c r="H27" i="1"/>
  <c r="I27" i="1" s="1"/>
  <c r="L45" i="1" l="1"/>
  <c r="L20" i="1"/>
  <c r="L39" i="1"/>
  <c r="L30" i="1"/>
  <c r="L7" i="1"/>
  <c r="L53" i="1"/>
  <c r="L34" i="1"/>
  <c r="L49" i="1"/>
  <c r="L28" i="1"/>
  <c r="L11" i="1"/>
  <c r="L67" i="1"/>
  <c r="L42" i="1"/>
  <c r="L64" i="1"/>
  <c r="L12" i="1"/>
  <c r="L52" i="1"/>
  <c r="L62" i="1"/>
  <c r="L10" i="1"/>
  <c r="L57" i="1"/>
  <c r="L14" i="1"/>
  <c r="L24" i="1"/>
  <c r="L19" i="1"/>
  <c r="L5" i="1"/>
  <c r="M5" i="1" s="1"/>
  <c r="L63" i="1"/>
  <c r="L59" i="1"/>
  <c r="L26" i="1"/>
  <c r="L9" i="1"/>
  <c r="L16" i="1"/>
  <c r="L38" i="1"/>
  <c r="L22" i="1"/>
  <c r="L27" i="1"/>
  <c r="L50" i="1"/>
  <c r="L29" i="1"/>
  <c r="L23" i="1"/>
  <c r="L47" i="1"/>
  <c r="L48" i="1"/>
  <c r="L46" i="1"/>
  <c r="L44" i="1"/>
  <c r="L25" i="1"/>
  <c r="L66" i="1"/>
  <c r="L41" i="1"/>
  <c r="L33" i="1"/>
  <c r="L43" i="1"/>
  <c r="L51" i="1"/>
  <c r="L32" i="1"/>
  <c r="L56" i="1"/>
  <c r="L35" i="1"/>
  <c r="L17" i="1"/>
  <c r="L54" i="1"/>
  <c r="L40" i="1"/>
  <c r="L15" i="1"/>
  <c r="L21" i="1"/>
  <c r="L65" i="1"/>
  <c r="L58" i="1"/>
  <c r="L18" i="1"/>
  <c r="L31" i="1"/>
  <c r="L37" i="1"/>
  <c r="L55" i="1"/>
  <c r="L61" i="1"/>
  <c r="L8" i="1"/>
  <c r="L36" i="1"/>
  <c r="L6" i="1"/>
  <c r="L13" i="1"/>
  <c r="L60" i="1"/>
  <c r="M6" i="1" l="1"/>
  <c r="M7" i="1" s="1"/>
  <c r="M8" i="1" s="1"/>
  <c r="M9" i="1" s="1"/>
  <c r="M10" i="1" s="1"/>
  <c r="M11" i="1" s="1"/>
  <c r="M12" i="1" s="1"/>
  <c r="M13" i="1" s="1"/>
  <c r="M14" i="1" s="1"/>
  <c r="M15" i="1" l="1"/>
  <c r="P10" i="1"/>
  <c r="M16" i="1" l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N5" i="1"/>
</calcChain>
</file>

<file path=xl/sharedStrings.xml><?xml version="1.0" encoding="utf-8"?>
<sst xmlns="http://schemas.openxmlformats.org/spreadsheetml/2006/main" count="148" uniqueCount="84">
  <si>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</si>
  <si>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</si>
  <si>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</si>
  <si>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</si>
  <si>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</si>
  <si>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</si>
  <si>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</si>
  <si>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CERCA EN TELA VERDE H = 2.10 M</t>
  </si>
  <si>
    <t>ML</t>
  </si>
  <si>
    <t>RETIRO DE SOBRANTES A UNA DISTANCIA DE 5 KM (INCLUYE CARGUE)</t>
  </si>
  <si>
    <t>M3</t>
  </si>
  <si>
    <t xml:space="preserve">DUCTO ELÉCTRICO PVC 4" </t>
  </si>
  <si>
    <t>COLUMNAS 3500 PSI</t>
  </si>
  <si>
    <t>ESCALERA MACIZA 3500 PSI</t>
  </si>
  <si>
    <t>ACERO FIGURADO 60000 PSI</t>
  </si>
  <si>
    <t>KG</t>
  </si>
  <si>
    <t>VIGA AÉREA 3500 PSI</t>
  </si>
  <si>
    <t>VIGA  CINTA 3500 PSI</t>
  </si>
  <si>
    <t>ALFAJÍA EN LADRILLO PRENSADO MACIZO</t>
  </si>
  <si>
    <t>MESONES EN CONCRETO 2500 PSI, E=0.1M (INC. REFUERZO)</t>
  </si>
  <si>
    <t>M2</t>
  </si>
  <si>
    <t>MURO TOLETE COMÚN 0.12 M</t>
  </si>
  <si>
    <t>MURO LADRILLO REJILLA 0.12 M, DOS CARAS A LA VISTA</t>
  </si>
  <si>
    <t>FILOS O DILATACIONES S/MURO</t>
  </si>
  <si>
    <t xml:space="preserve">IMPERMEABILIZACIÓN INTEGRAL MORTERO SIKA </t>
  </si>
  <si>
    <t>PAÑETE LISO MUROS 1:4, E=1.5 CM</t>
  </si>
  <si>
    <t>CIELO RASO PLANO DRYWALL (INCLUYE PINTURA)</t>
  </si>
  <si>
    <t>BAJANTE PVC AGUAS LLUVIAS D=3"</t>
  </si>
  <si>
    <t>TEJA TERMOACÚSTICA TRAPEZOIDAL A360</t>
  </si>
  <si>
    <t>FLANCHE EN LÁMINA GALVANIZADA CAL. 22; DS=30</t>
  </si>
  <si>
    <t xml:space="preserve">ESPEJO BISELADO INCOLORO 4 MM </t>
  </si>
  <si>
    <t>VIDRIO ESMERILADO INCOLORO 4 MM</t>
  </si>
  <si>
    <t>VIDRIO TRANSPARENTE 4 MM</t>
  </si>
  <si>
    <t>MARCO PARA PUERTA EN LÁMINA CAL 18 -0.8</t>
  </si>
  <si>
    <t>UN</t>
  </si>
  <si>
    <t>PUERTA EN LÁMINA CAL 18 INC. ANTICORROSIVO</t>
  </si>
  <si>
    <t>DIVISIÓN PARA BAÑO EN ACERO INOXIDABLE 304 CAL.20 (INCLUYE PUERTAS Y ACCESORIOS)</t>
  </si>
  <si>
    <t>REJA  BANCARIA EN VARILLA CUADRADA DE 1/2" INC. ANTICORROSIVO</t>
  </si>
  <si>
    <t>VENTANA LÁMINA CALIBRE 18 INC. ANTICORROSIVO</t>
  </si>
  <si>
    <t>CELOSÍA TUBULAR PARA POLIDEPORTIVO, ASTM-4500 GRADO C, INCLUYE:CORREAS, CONTRAVIENTOS, TENSORES, COLUMNAS ,VIGAS DE AMARRE, ANCLAJES, TORNILLERÍA, PINTURA Y PLATINERÍA.CONTEMPLA TAMBIEN:FABRICACIÓN, SUMINISTRO, MONTAJE</t>
  </si>
  <si>
    <t>BAJANTE AGUAS RESIDUALES PVC 4"</t>
  </si>
  <si>
    <t>PUNTO HIDRÁULICO PVC-P/PARAL 1/2"</t>
  </si>
  <si>
    <t>SALIDA SANITARIA PVC-S/PARAL 2"</t>
  </si>
  <si>
    <t>SALIDA SANITARIA PVC-S/PARAL 4"</t>
  </si>
  <si>
    <t>SALIDA SANITARIA PVC-S/SIFON 3"</t>
  </si>
  <si>
    <t>RED SUMINISTRO PVC 1/2"</t>
  </si>
  <si>
    <t>RED SUMINISTRO PVC 3/4"</t>
  </si>
  <si>
    <t>RED SANITARIA PVC-S 2"</t>
  </si>
  <si>
    <t>RED SANITARIA PVC-S 3"</t>
  </si>
  <si>
    <t>RED SANITARIA PVC-S 4"</t>
  </si>
  <si>
    <t>RED SANITARIA PVC-S 6"</t>
  </si>
  <si>
    <t>REGISTRO 1/2"</t>
  </si>
  <si>
    <t>REGISTRO 3/4"</t>
  </si>
  <si>
    <t>ACOMETIDA AÉREA 10 M. PVC</t>
  </si>
  <si>
    <t>SALIDA LÁMPARA. CONMUTABLE PVC COMPLETA</t>
  </si>
  <si>
    <t>SALIDA TELÉFONO PVC COMPLETA</t>
  </si>
  <si>
    <t>SALIDA TOMA DOBLE PVC COMPLETA</t>
  </si>
  <si>
    <t>SALIDA T.V PVC COMPLETA.</t>
  </si>
  <si>
    <t>TABLERO PARCIALES 18 CIRCUITOS (INCLUYE TACOS DE 30A)</t>
  </si>
  <si>
    <t>LÍNEA A TIERRA TABLERO GENERAL (VARILLA COOPER WELL)</t>
  </si>
  <si>
    <t>LÁMPARA 2X48 BAJO PLACA LÁMINA LATERAL INDUSTRIAL</t>
  </si>
  <si>
    <t>ALISTADO PISOS 1:3, E=0.04</t>
  </si>
  <si>
    <t>BALDOSA CERÁMICA PISO-PARED 20X20 CALIDAD PRIMERA</t>
  </si>
  <si>
    <t xml:space="preserve">GUARDAESCOBA GRES Y CERÁMICA </t>
  </si>
  <si>
    <t>TABLÓN DE GRES LISO O RÚSTICO 33X 33</t>
  </si>
  <si>
    <t>JUEGOS INCRUSTAR (INCLUYE TOALLERO,PORTA ROLLO, JABONERA,CEPILLERA Y PERCHA SIMPLE)</t>
  </si>
  <si>
    <t>SUMINISTRO E INSTALACIÓN SANITARIO TANQUE (INCLUYE GRIFERÍA)</t>
  </si>
  <si>
    <t>SUMINISTRO E INSTALACIÓN LAVAMANOS DE EMPOTRAR(INCLUYE GRIFERÍA)</t>
  </si>
  <si>
    <t xml:space="preserve">SUMINISTRO E INSTALACIÓN ORINAL DE LLAVE (INCLUYE GRIFERÍA) </t>
  </si>
  <si>
    <t xml:space="preserve">SUMINISTRO E INSTALACIÓN DUCHA SENCILLA </t>
  </si>
  <si>
    <t>SUMINISTRO E INSTALACIÓN LAVAPLATOS DE SOBREPONER EN ACERO INOXIDABLE 120 X 60 cm (INCLUYE ACCESORIOS Y GRIFERÍA)</t>
  </si>
  <si>
    <t>VINILO SOBRE PAÑETE 2 MANOS</t>
  </si>
  <si>
    <t>VINILO SOBRE PAÑETE 2 MANOS (LINEAL)</t>
  </si>
  <si>
    <t xml:space="preserve">ESMALTE SOBRE LAMINA LLENA </t>
  </si>
  <si>
    <t xml:space="preserve">ESMALTE SOBRE LAMINA (LINEAL) </t>
  </si>
  <si>
    <t>SUBTOTAL OBRAS (INCLUYE IVA)</t>
  </si>
  <si>
    <t>%</t>
  </si>
  <si>
    <t>% ACUMULADO</t>
  </si>
  <si>
    <t>PROMEDIO</t>
  </si>
  <si>
    <t>BIENES RELEVANTES</t>
  </si>
  <si>
    <t>CEMENTO PORTLAN GRIS EMPACADO</t>
  </si>
  <si>
    <t>PARTIDA ARANCELARIA</t>
  </si>
  <si>
    <t>FECHA DE VENCIMIENTO</t>
  </si>
  <si>
    <t>BARRA CORRUGADA DE ACERO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</si>
</sst>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12"/>
      <color rgb="FF312E25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9" fontId="7" fillId="0" borderId="0" applyFont="0" applyFill="0" applyBorder="0" applyAlignment="0" applyProtection="0"/>
    <xf numFmtId="0" fontId="2" fillId="0" borderId="0"/>
    <xf numFmtId="0" fontId="1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7" fillId="0" borderId="0"/>
  </cellStyleXfs>
  <cellXfs count="66">
    <xf numFmtId="0" fontId="0" fillId="0" borderId="0" xfId="0"/>
    <xf numFmtId="0" fontId="3" fillId="0" borderId="0" xfId="2" applyFont="1"/>
    <xf numFmtId="0" fontId="4" fillId="0" borderId="0" xfId="2" applyFont="1"/>
    <xf numFmtId="0" fontId="3" fillId="0" borderId="1" xfId="2" applyFont="1" applyBorder="1"/>
    <xf numFmtId="0" fontId="3" fillId="0" borderId="2" xfId="2" applyFont="1" applyBorder="1"/>
    <xf numFmtId="0" fontId="3" fillId="0" borderId="3" xfId="2" applyFont="1" applyBorder="1"/>
    <xf numFmtId="0" fontId="3" fillId="0" borderId="4" xfId="2" applyFont="1" applyBorder="1"/>
    <xf numFmtId="0" fontId="3" fillId="0" borderId="5" xfId="2" applyFont="1" applyBorder="1"/>
    <xf numFmtId="0" fontId="5" fillId="2" borderId="12" xfId="4" applyFont="1" applyFill="1" applyBorder="1" applyAlignment="1">
      <alignment horizontal="center" vertical="center" wrapText="1"/>
    </xf>
    <xf numFmtId="0" fontId="5" fillId="2" borderId="13" xfId="4" applyFont="1" applyFill="1" applyBorder="1" applyAlignment="1">
      <alignment horizontal="center" vertical="center" wrapText="1"/>
    </xf>
    <xf numFmtId="4" fontId="5" fillId="2" borderId="13" xfId="4" applyNumberFormat="1" applyFont="1" applyFill="1" applyBorder="1" applyAlignment="1">
      <alignment horizontal="center" vertical="center" wrapText="1"/>
    </xf>
    <xf numFmtId="4" fontId="5" fillId="2" borderId="14" xfId="4" applyNumberFormat="1" applyFont="1" applyFill="1" applyBorder="1" applyAlignment="1">
      <alignment horizontal="center" vertical="center" wrapText="1"/>
    </xf>
    <xf numFmtId="0" fontId="5" fillId="2" borderId="15" xfId="4" applyFont="1" applyFill="1" applyBorder="1" applyAlignment="1">
      <alignment horizontal="center" vertical="center" wrapText="1"/>
    </xf>
    <xf numFmtId="0" fontId="5" fillId="2" borderId="16" xfId="4" applyFont="1" applyFill="1" applyBorder="1" applyAlignment="1">
      <alignment horizontal="center" vertical="center" wrapText="1"/>
    </xf>
    <xf numFmtId="4" fontId="5" fillId="2" borderId="16" xfId="4" applyNumberFormat="1" applyFont="1" applyFill="1" applyBorder="1" applyAlignment="1">
      <alignment horizontal="center" vertical="center" wrapText="1"/>
    </xf>
    <xf numFmtId="4" fontId="5" fillId="2" borderId="17" xfId="4" applyNumberFormat="1" applyFont="1" applyFill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/>
    </xf>
    <xf numFmtId="0" fontId="6" fillId="0" borderId="8" xfId="5" applyFont="1" applyBorder="1" applyAlignment="1">
      <alignment horizontal="center" vertical="center"/>
    </xf>
    <xf numFmtId="0" fontId="6" fillId="0" borderId="8" xfId="5" applyFont="1" applyBorder="1" applyAlignment="1">
      <alignment horizontal="left" vertical="center"/>
    </xf>
    <xf numFmtId="4" fontId="6" fillId="0" borderId="8" xfId="6" applyNumberFormat="1" applyFont="1" applyBorder="1" applyAlignment="1">
      <alignment vertical="center" wrapText="1"/>
    </xf>
    <xf numFmtId="166" fontId="6" fillId="0" borderId="8" xfId="7" applyNumberFormat="1" applyFont="1" applyBorder="1" applyAlignment="1">
      <alignment horizontal="right" vertical="center" wrapText="1"/>
    </xf>
    <xf numFmtId="166" fontId="6" fillId="0" borderId="7" xfId="7" applyNumberFormat="1" applyFont="1" applyBorder="1" applyAlignment="1">
      <alignment horizontal="right" vertical="center" wrapText="1"/>
    </xf>
    <xf numFmtId="0" fontId="6" fillId="0" borderId="8" xfId="8" applyFont="1" applyBorder="1" applyAlignment="1">
      <alignment horizontal="left" vertical="center"/>
    </xf>
    <xf numFmtId="166" fontId="6" fillId="0" borderId="9" xfId="7" applyNumberFormat="1" applyFont="1" applyBorder="1" applyAlignment="1">
      <alignment horizontal="right" vertical="center" wrapText="1"/>
    </xf>
    <xf numFmtId="0" fontId="6" fillId="0" borderId="12" xfId="4" applyFont="1" applyBorder="1" applyAlignment="1">
      <alignment horizontal="center" vertical="center"/>
    </xf>
    <xf numFmtId="0" fontId="6" fillId="0" borderId="13" xfId="8" applyFont="1" applyBorder="1" applyAlignment="1">
      <alignment horizontal="left" vertical="center"/>
    </xf>
    <xf numFmtId="0" fontId="6" fillId="0" borderId="13" xfId="5" applyFont="1" applyBorder="1" applyAlignment="1">
      <alignment horizontal="center" vertical="center"/>
    </xf>
    <xf numFmtId="166" fontId="6" fillId="0" borderId="13" xfId="7" applyNumberFormat="1" applyFont="1" applyBorder="1" applyAlignment="1">
      <alignment horizontal="right" vertical="center" wrapText="1"/>
    </xf>
    <xf numFmtId="166" fontId="6" fillId="0" borderId="14" xfId="7" applyNumberFormat="1" applyFont="1" applyBorder="1" applyAlignment="1">
      <alignment horizontal="right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6" xfId="8" applyFont="1" applyBorder="1" applyAlignment="1">
      <alignment horizontal="center" vertical="center"/>
    </xf>
    <xf numFmtId="166" fontId="6" fillId="0" borderId="8" xfId="7" applyNumberFormat="1" applyFont="1" applyFill="1" applyBorder="1" applyAlignment="1">
      <alignment horizontal="right" vertical="center" wrapText="1"/>
    </xf>
    <xf numFmtId="4" fontId="6" fillId="0" borderId="18" xfId="6" applyNumberFormat="1" applyFont="1" applyBorder="1" applyAlignment="1">
      <alignment vertical="center" wrapText="1"/>
    </xf>
    <xf numFmtId="166" fontId="6" fillId="0" borderId="18" xfId="7" applyNumberFormat="1" applyFont="1" applyBorder="1" applyAlignment="1">
      <alignment horizontal="right" vertical="center" wrapText="1"/>
    </xf>
    <xf numFmtId="0" fontId="6" fillId="0" borderId="8" xfId="8" applyFont="1" applyBorder="1" applyAlignment="1">
      <alignment horizontal="left" vertical="center" wrapText="1"/>
    </xf>
    <xf numFmtId="2" fontId="6" fillId="0" borderId="8" xfId="5" applyNumberFormat="1" applyFont="1" applyBorder="1" applyAlignment="1">
      <alignment horizontal="center" vertical="center"/>
    </xf>
    <xf numFmtId="0" fontId="3" fillId="0" borderId="0" xfId="9" applyFont="1"/>
    <xf numFmtId="0" fontId="3" fillId="0" borderId="4" xfId="9" applyFont="1" applyBorder="1"/>
    <xf numFmtId="0" fontId="3" fillId="0" borderId="5" xfId="9" applyFont="1" applyBorder="1"/>
    <xf numFmtId="0" fontId="8" fillId="0" borderId="0" xfId="9" applyFont="1"/>
    <xf numFmtId="49" fontId="5" fillId="0" borderId="0" xfId="10" applyNumberFormat="1" applyFont="1" applyAlignment="1">
      <alignment horizontal="right" vertical="center"/>
    </xf>
    <xf numFmtId="169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5" applyFont="1" applyAlignment="1">
      <alignment horizontal="center" vertical="center"/>
    </xf>
    <xf numFmtId="0" fontId="5" fillId="0" borderId="10" xfId="11" applyFont="1" applyBorder="1" applyAlignment="1">
      <alignment horizontal="left" vertical="center"/>
    </xf>
    <xf numFmtId="9" fontId="6" fillId="0" borderId="11" xfId="12" applyNumberFormat="1" applyFont="1" applyBorder="1" applyAlignment="1">
      <alignment horizontal="center" vertical="center"/>
    </xf>
    <xf numFmtId="171" fontId="6" fillId="0" borderId="11" xfId="12" applyNumberFormat="1" applyFont="1" applyBorder="1" applyAlignment="1">
      <alignment vertical="center"/>
    </xf>
    <xf numFmtId="0" fontId="6" fillId="0" borderId="19" xfId="11" applyFont="1" applyBorder="1" applyAlignment="1">
      <alignment vertical="center"/>
    </xf>
    <xf numFmtId="171" fontId="5" fillId="0" borderId="9" xfId="12" applyNumberFormat="1" applyFont="1" applyBorder="1" applyAlignment="1">
      <alignment vertical="center"/>
    </xf>
    <xf numFmtId="10" fontId="4" fillId="0" borderId="0" xfId="1" applyNumberFormat="1" applyFont="1"/>
    <xf numFmtId="10" fontId="8" fillId="0" borderId="0" xfId="1" applyNumberFormat="1" applyFont="1"/>
    <xf numFmtId="4" fontId="6" fillId="0" borderId="18" xfId="6" applyNumberFormat="1" applyFont="1" applyFill="1" applyBorder="1" applyAlignment="1">
      <alignment vertical="center" wrapText="1"/>
    </xf>
    <xf numFmtId="166" fontId="6" fillId="0" borderId="7" xfId="7" applyNumberFormat="1" applyFont="1" applyFill="1" applyBorder="1" applyAlignment="1">
      <alignment horizontal="right" vertical="center" wrapText="1"/>
    </xf>
    <xf numFmtId="10" fontId="4" fillId="0" borderId="0" xfId="2" applyNumberFormat="1" applyFont="1"/>
    <xf numFmtId="10" fontId="4" fillId="3" borderId="0" xfId="2" applyNumberFormat="1" applyFont="1" applyFill="1"/>
    <xf numFmtId="0" fontId="4" fillId="0" borderId="0" xfId="2" applyFont="1" applyAlignment="1">
      <alignment wrapText="1"/>
    </xf>
    <xf numFmtId="10" fontId="4" fillId="0" borderId="0" xfId="1" applyNumberFormat="1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9" fontId="4" fillId="0" borderId="0" xfId="1" applyFont="1" applyAlignment="1">
      <alignment horizontal="center" vertical="center"/>
    </xf>
    <xf numFmtId="0" fontId="8" fillId="0" borderId="0" xfId="9" applyFont="1" applyAlignment="1">
      <alignment wrapText="1"/>
    </xf>
    <xf numFmtId="0" fontId="4" fillId="0" borderId="8" xfId="8" applyFont="1" applyBorder="1" applyAlignment="1">
      <alignment horizontal="left" vertical="center" wrapText="1"/>
    </xf>
    <xf numFmtId="10" fontId="3" fillId="0" borderId="0" xfId="2" applyNumberFormat="1" applyFont="1"/>
    <xf numFmtId="0" fontId="10" fillId="0" borderId="0" xfId="2" applyFont="1" applyAlignment="1">
      <alignment horizontal="center" vertical="center" wrapText="1"/>
    </xf>
    <xf numFmtId="0" fontId="9" fillId="0" borderId="0" xfId="2" applyFont="1"/>
    <xf numFmtId="14" fontId="9" fillId="0" borderId="0" xfId="2" applyNumberFormat="1" applyFont="1"/>
    <xf numFmtId="1" fontId="11" fillId="0" borderId="0" xfId="0" applyNumberFormat="1" applyFont="1"/>
  </cellXfs>
  <cellStyles count="14">
    <cellStyle name="Millares 2" xfId="6" xr:uid="{CCD0543C-DB79-4BE0-A655-3350294AF722}"/>
    <cellStyle name="Moneda 2" xfId="7" xr:uid="{2990F438-9017-405F-9B6A-F0338780A971}"/>
    <cellStyle name="Moneda 2 2 2 2 2" xfId="12" xr:uid="{30380437-406A-4961-9390-8B916DDA1768}"/>
    <cellStyle name="Normal" xfId="0" builtinId="0"/>
    <cellStyle name="Normal 2" xfId="4" xr:uid="{820C2EDD-6199-4A39-BA41-E1F3DB6F5694}"/>
    <cellStyle name="Normal 2 10 2 2" xfId="8" xr:uid="{34C7EB5E-6E9B-44AD-8BC2-F96F23990865}"/>
    <cellStyle name="Normal 2 10 3" xfId="5" xr:uid="{856023D6-AEF7-4CD6-BBF8-E37CA616EA98}"/>
    <cellStyle name="Normal 2 2" xfId="13" xr:uid="{73272E9B-2BAA-499A-9420-B5F205943830}"/>
    <cellStyle name="Normal 3" xfId="2" xr:uid="{AD19AB8D-2DBA-4D60-9F44-903EBA9023DB}"/>
    <cellStyle name="Normal 3 11" xfId="3" xr:uid="{C19171CB-A64C-47B9-99B1-2E263D1E724B}"/>
    <cellStyle name="Normal 3 2" xfId="9" xr:uid="{A58A3A6F-FC52-4799-B903-32BC93E78829}"/>
    <cellStyle name="Normal 3 2 2" xfId="11" xr:uid="{2962EF99-C722-4B2C-A7F6-647965DB7194}"/>
    <cellStyle name="Normal_PTO OFICIAL PREPLIEGO (CORREGIDO) 2" xfId="10" xr:uid="{4D880AF4-E6FF-46EF-8FC0-AD27083E30B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92.168.110.24\Gerencia%20Infraestructura\GESTION%202024-2027\A&#209;O%202024\CONTRATOS\RESTAURANTE%20LA%20PLAZUELA\Formulario%201%20-%20Formulario%20de%20Presupuesto%20Oficial%20CCE-EICP-FM-116.xlsx" TargetMode="External"/><Relationship Id="rId1" Type="http://schemas.openxmlformats.org/officeDocument/2006/relationships/externalLinkPath" Target="Formulario%201%20-%20Formulario%20de%20Presupuesto%20Oficial%20CCE-EICP-FM-1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(Entidad)"/>
      <sheetName val="PROPUESTA ECONOMICA(Proponente)"/>
      <sheetName val="INDICAR CÓDIGO DEL ITEM DE PAGO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OMENTARIOS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1P COMPRADA"/>
      <sheetName val="450.2P COMPRADA"/>
      <sheetName val="450.3P COMPRADA"/>
      <sheetName val="450.4"/>
      <sheetName val="450.4P COMPRADA"/>
      <sheetName val="451.1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NSA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aCCIDENTES DE 19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V%C3%ADnculoExternoRecuperado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/>
      <sheetData sheetId="1460"/>
      <sheetData sheetId="1461">
        <row r="1">
          <cell r="A1" t="str">
            <v>INSTITUTO NACIONAL DE VIAS</v>
          </cell>
        </row>
      </sheetData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/>
      <sheetData sheetId="1500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/>
      <sheetData sheetId="1735">
        <row r="168">
          <cell r="D168">
            <v>0.16</v>
          </cell>
        </row>
      </sheetData>
      <sheetData sheetId="1736"/>
      <sheetData sheetId="1737">
        <row r="7">
          <cell r="B7">
            <v>1</v>
          </cell>
        </row>
      </sheetData>
      <sheetData sheetId="1738">
        <row r="33">
          <cell r="G33">
            <v>0.59504299999999999</v>
          </cell>
        </row>
      </sheetData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>
        <row r="8">
          <cell r="A8">
            <v>2.1</v>
          </cell>
        </row>
      </sheetData>
      <sheetData sheetId="2512">
        <row r="8">
          <cell r="A8">
            <v>3.1</v>
          </cell>
        </row>
      </sheetData>
      <sheetData sheetId="2513"/>
      <sheetData sheetId="2514"/>
      <sheetData sheetId="2515"/>
      <sheetData sheetId="2516"/>
      <sheetData sheetId="2517"/>
      <sheetData sheetId="2518">
        <row r="3">
          <cell r="A3">
            <v>1</v>
          </cell>
        </row>
      </sheetData>
      <sheetData sheetId="2519"/>
      <sheetData sheetId="2520"/>
      <sheetData sheetId="2521"/>
      <sheetData sheetId="2522"/>
      <sheetData sheetId="2523"/>
      <sheetData sheetId="2524" refreshError="1"/>
      <sheetData sheetId="2525">
        <row r="1">
          <cell r="A1" t="str">
            <v>LISTADO DE INSUMOS GENERAL</v>
          </cell>
        </row>
      </sheetData>
      <sheetData sheetId="2526" refreshError="1"/>
      <sheetData sheetId="2527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 refreshError="1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/>
      <sheetData sheetId="2793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[aCCIDENTES DE 1995 - 1996.xls]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precios-básicos2002"/>
      <sheetName val="APUs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_aCCIDENTES_DE_1995___1996_xl_5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_aCCIDENTES_DE_1995___1996_xl_6"/>
      <sheetName val="_aCCIDENTES_DE_1995___1996_xl_7"/>
      <sheetName val="aCCIDENTES_DE_1995_-_199638"/>
      <sheetName val="aCCIDENTES_DE_1995_-_1996_xls15"/>
      <sheetName val="SUB_APU4"/>
      <sheetName val="_aCCIDENTES_DE_1995___1996_xl_9"/>
      <sheetName val="ACTA No.1 "/>
      <sheetName val="ACTA No.5"/>
      <sheetName val="_aCCIDENTES_DE_1995___1996_x_14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_13"/>
      <sheetName val="_aCCIDENTES_DE_1995___1996_x_12"/>
      <sheetName val="_aCCIDENTES_DE_1995___1996_x_10"/>
      <sheetName val="LISTADO "/>
      <sheetName val="M.O."/>
      <sheetName val="_aCCIDENTES_DE_1995___1996_x_11"/>
      <sheetName val="INDICE"/>
      <sheetName val="_aCCIDENTES_DE_1995___1996_x_17"/>
      <sheetName val="_aCCIDENTES_DE_1995___1996_x_15"/>
      <sheetName val="_aCCIDENTES_DE_1995___1996_x_16"/>
      <sheetName val="\Users\ANDRES FELIPE MUÑOZ\Down"/>
      <sheetName val="Hoja2"/>
      <sheetName val=" ACTA FINAL + MODIFICATORIA 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HISTORICOS FUEL OIL EXP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_21"/>
      <sheetName val="_aCCIDENTES_DE_1995___1996_x_19"/>
      <sheetName val="_aCCIDENTES_DE_1995___1996_x_18"/>
      <sheetName val="_aCCIDENTES_DE_1995___1996_x_20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Users\rosalym\Desktop\BALANCE "/>
      <sheetName val="\Nuevos APU Córdoba\a  aaInform"/>
      <sheetName val="\E\Nuevos APU Córdoba\a  aaInfo"/>
      <sheetName val="\Users\JoseGabriel\Documents\Mi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ATERIAL"/>
      <sheetName val="_aCCIDENTES_DE_1995___1996_x_37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/>
      <sheetData sheetId="338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 refreshError="1"/>
      <sheetData sheetId="364"/>
      <sheetData sheetId="365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[a  aaInformación]__cceficien_4"/>
      <sheetName val="[a  aaInformación]__cceficien_3"/>
      <sheetName val="[a  aaInformación]//cceficiente"/>
      <sheetName val="[a  aaInformación]__cceficien_2"/>
      <sheetName val="Fornato 6"/>
      <sheetName val="\G\I\MANTENIMIENTO RUTA 1001_MA"/>
      <sheetName val="\D\MANTENIMIENTO RUTA 1001_MARZ"/>
      <sheetName val="\G\D\MANTENIMIENTO RUTA 1001_MA"/>
      <sheetName val="Datos"/>
      <sheetName val="Cuadrillas"/>
      <sheetName val="Jornal"/>
      <sheetName val="#REF"/>
      <sheetName val="\I\I\MANTENIMIENTO RUTA 1001_MA"/>
      <sheetName val="\Users\Personal\Downloads\MANTE"/>
      <sheetName val="TOTALES"/>
      <sheetName val="[a  aaInformación]__cceficien_5"/>
      <sheetName val="[a  aaInformación]__cceficien_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4"/>
      <sheetName val="[a  aaInformación]__cceficie_13"/>
      <sheetName val="[a  aaInformación]__cceficie_12"/>
      <sheetName val="[a  aaInformación]__cceficie_10"/>
      <sheetName val="[a  aaInformación]__cceficie_11"/>
      <sheetName val="M.O."/>
      <sheetName val="ITEMS"/>
      <sheetName val="[a  aaInformación]__cceficie_15"/>
      <sheetName val="[a  aaInformación]__cceficie_21"/>
      <sheetName val="[a  aaInformación]__cceficie_16"/>
      <sheetName val="[a  aaInformación]__cceficie_17"/>
      <sheetName val="[a  aaInformación]__cceficie_19"/>
      <sheetName val="[a  aaInformación]__cceficie_18"/>
      <sheetName val="[a  aaInformación]__cceficie_20"/>
      <sheetName val="[a  aaInformación]__cceficie_37"/>
      <sheetName val="[a  aaInformación]__cceficie_26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FIBRA ÓPTICA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días habiles 2015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ELECTRICO"/>
      <sheetName val="Vuelta"/>
      <sheetName val="2103mar%20.xls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Hoja1"/>
      <sheetName val="BASE"/>
      <sheetName val="1_Preliminares"/>
      <sheetName val="M.Obra"/>
      <sheetName val="ManoDeObra"/>
      <sheetName val="Precios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Cálcul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>
        <row r="2">
          <cell r="A2" t="str">
            <v>INVÍAS - TERRITORIAL CORDOBA - GRUPO 3</v>
          </cell>
        </row>
      </sheetData>
      <sheetData sheetId="76"/>
      <sheetData sheetId="77"/>
      <sheetData sheetId="78"/>
      <sheetData sheetId="79"/>
      <sheetData sheetId="80"/>
      <sheetData sheetId="81">
        <row r="2">
          <cell r="A2" t="str">
            <v>INVÍAS - TERRITORIAL CORDOBA - GRUPO 3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2">
          <cell r="A2" t="str">
            <v>INVÍAS - TERRITORIAL CORDOBA - GRUPO 3</v>
          </cell>
        </row>
      </sheetData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>
        <row r="2">
          <cell r="A2" t="str">
            <v>INVÍAS - TERRITORIAL CORDOBA - GRUPO 3</v>
          </cell>
        </row>
      </sheetData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 refreshError="1"/>
      <sheetData sheetId="234"/>
      <sheetData sheetId="235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TRANSPORTE"/>
      <sheetName val="Excavación Mat. Común Estacione"/>
      <sheetName val="Demolición Pavimento"/>
      <sheetName val="SUB APU"/>
      <sheetName val="Insum"/>
      <sheetName val="Listas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p"/>
      <sheetName val=" Liquidacion de Obra por Tramos"/>
      <sheetName val="LISTA DE PRECIOS"/>
      <sheetName val="062"/>
      <sheetName val="Listado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UNITARIOS"/>
      <sheetName val="THE"/>
      <sheetName val="ATHE"/>
      <sheetName val="PREACTA_61"/>
      <sheetName val="A_P_U1"/>
      <sheetName val="PREACTA_6"/>
      <sheetName val="A_P_U"/>
      <sheetName val="Requisición1"/>
      <sheetName val="Bajadas"/>
      <sheetName val="OCTUBRE"/>
      <sheetName val="NARIÑO"/>
      <sheetName val="5. ELECTRIC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ALARIOS"/>
      <sheetName val="APU NO PREVISTO"/>
      <sheetName val="PPTA (3)"/>
      <sheetName val="PPTA (2)"/>
      <sheetName val="PPTA"/>
      <sheetName val="2,2,6,1 Pilotes 0,30"/>
      <sheetName val="c2_5y2_613"/>
      <sheetName val="PREACTA_62"/>
      <sheetName val="TABLA_20082"/>
      <sheetName val="c2_5y2_612"/>
      <sheetName val="TABLA_20081"/>
      <sheetName val="c2_5y2_611"/>
      <sheetName val="TABLA_2008"/>
      <sheetName val="BALANCE"/>
      <sheetName val="ITEMS NO REVISTOS"/>
      <sheetName val="APU ELECTRICOS"/>
      <sheetName val="mdo"/>
      <sheetName val="equip"/>
      <sheetName val="mat"/>
      <sheetName val="CIRCUITOS CODENSA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 refreshError="1"/>
      <sheetData sheetId="14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>
        <row r="48">
          <cell r="E48">
            <v>0</v>
          </cell>
        </row>
      </sheetData>
      <sheetData sheetId="163"/>
      <sheetData sheetId="164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7FEB3-BED9-4BB1-A17F-227362FB5B03}">
  <dimension ref="A1:U69"/>
  <sheetViews>
    <sheetView showGridLines="0" tabSelected="1" view="pageBreakPreview" topLeftCell="F1" zoomScaleNormal="100" zoomScaleSheetLayoutView="100" zoomScalePageLayoutView="55" workbookViewId="0">
      <selection activeCell="U13" sqref="U13"/>
    </sheetView>
  </sheetViews>
  <sheetFormatPr baseColWidth="10" defaultColWidth="11.42578125" defaultRowHeight="16.5" x14ac:dyDescent="0.3"/>
  <cols>
    <col min="1" max="2" width="3.42578125" style="2" customWidth="1"/>
    <col min="3" max="3" width="5.140625" style="2" customWidth="1"/>
    <col min="4" max="4" width="15.42578125" style="2" customWidth="1"/>
    <col min="5" max="5" width="73.42578125" style="2" customWidth="1"/>
    <col min="6" max="6" width="8.5703125" style="2" customWidth="1"/>
    <col min="7" max="7" width="18.5703125" style="2" customWidth="1"/>
    <col min="8" max="8" width="23.5703125" style="2" customWidth="1"/>
    <col min="9" max="9" width="30" style="2" customWidth="1"/>
    <col min="10" max="10" width="3.42578125" style="2" customWidth="1"/>
    <col min="11" max="11" width="2.5703125" style="2" customWidth="1"/>
    <col min="12" max="12" width="11.42578125" style="49"/>
    <col min="13" max="13" width="11.42578125" style="2"/>
    <col min="14" max="14" width="14.85546875" style="2" customWidth="1"/>
    <col min="15" max="15" width="46.5703125" style="55" customWidth="1"/>
    <col min="16" max="16" width="11.42578125" style="2"/>
    <col min="17" max="17" width="12.5703125" style="2" customWidth="1"/>
    <col min="18" max="19" width="11.42578125" style="2"/>
    <col min="20" max="20" width="24.42578125" style="2" bestFit="1" customWidth="1"/>
    <col min="21" max="16384" width="11.42578125" style="2"/>
  </cols>
  <sheetData>
    <row r="1" spans="1:21" ht="17.2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18" thickTop="1" thickBot="1" x14ac:dyDescent="0.35">
      <c r="A2" s="1"/>
      <c r="B2" s="3"/>
      <c r="C2" s="4"/>
      <c r="D2" s="4"/>
      <c r="E2" s="4"/>
      <c r="F2" s="4"/>
      <c r="G2" s="4"/>
      <c r="H2" s="4"/>
      <c r="I2" s="4"/>
      <c r="J2" s="5"/>
      <c r="K2" s="1"/>
    </row>
    <row r="3" spans="1:21" ht="30" customHeight="1" x14ac:dyDescent="0.3">
      <c r="A3" s="1"/>
      <c r="B3" s="6"/>
      <c r="C3" s="8" t="s">
        <v>0</v>
      </c>
      <c r="D3" s="9" t="s">
        <v>1</v>
      </c>
      <c r="E3" s="8" t="s">
        <v>2</v>
      </c>
      <c r="F3" s="9" t="s">
        <v>3</v>
      </c>
      <c r="G3" s="9" t="s">
        <v>4</v>
      </c>
      <c r="H3" s="10" t="s">
        <v>5</v>
      </c>
      <c r="I3" s="11" t="s">
        <v>6</v>
      </c>
      <c r="J3" s="7"/>
      <c r="K3" s="1"/>
      <c r="L3" s="56" t="s">
        <v>76</v>
      </c>
      <c r="M3" s="57" t="s">
        <v>77</v>
      </c>
      <c r="N3" s="57" t="s">
        <v>78</v>
      </c>
      <c r="O3" s="62" t="s">
        <v>79</v>
      </c>
      <c r="P3" s="62"/>
      <c r="Q3" s="62"/>
      <c r="R3" s="62"/>
      <c r="S3" s="62"/>
      <c r="T3" s="62"/>
    </row>
    <row r="4" spans="1:21" ht="30" customHeight="1" thickBot="1" x14ac:dyDescent="0.35">
      <c r="A4" s="1"/>
      <c r="B4" s="6"/>
      <c r="C4" s="12"/>
      <c r="D4" s="13"/>
      <c r="E4" s="12"/>
      <c r="F4" s="13"/>
      <c r="G4" s="13"/>
      <c r="H4" s="14"/>
      <c r="I4" s="15"/>
      <c r="J4" s="7"/>
      <c r="K4" s="1"/>
      <c r="L4" s="56"/>
      <c r="M4" s="57"/>
      <c r="N4" s="57"/>
      <c r="O4" s="62"/>
      <c r="P4" s="62"/>
      <c r="Q4" s="62"/>
      <c r="R4" s="62"/>
      <c r="S4" s="62"/>
      <c r="T4" s="62"/>
    </row>
    <row r="5" spans="1:21" ht="71.25" x14ac:dyDescent="0.3">
      <c r="A5" s="1"/>
      <c r="B5" s="6"/>
      <c r="C5" s="16">
        <v>28</v>
      </c>
      <c r="D5" s="17">
        <v>8.6</v>
      </c>
      <c r="E5" s="34" t="s">
        <v>39</v>
      </c>
      <c r="F5" s="17" t="s">
        <v>15</v>
      </c>
      <c r="G5" s="19">
        <v>8265.7099999999991</v>
      </c>
      <c r="H5" s="20">
        <f>(21076*1.33)</f>
        <v>28031.08</v>
      </c>
      <c r="I5" s="21">
        <f>G5*H5</f>
        <v>231696778.26679999</v>
      </c>
      <c r="J5" s="7"/>
      <c r="K5" s="1"/>
      <c r="L5" s="49">
        <f>(I5/$I$69)</f>
        <v>0.30198727433150935</v>
      </c>
      <c r="M5" s="54">
        <f>L5</f>
        <v>0.30198727433150935</v>
      </c>
      <c r="N5" s="58">
        <f>(M5+M6+M7+M8+M9+M10+M11+M12+M13+M14+M15)/11</f>
        <v>0.59640673036478198</v>
      </c>
    </row>
    <row r="6" spans="1:21" ht="30" customHeight="1" x14ac:dyDescent="0.3">
      <c r="A6" s="1"/>
      <c r="B6" s="6"/>
      <c r="C6" s="16">
        <v>12</v>
      </c>
      <c r="D6" s="17">
        <v>4.4000000000000004</v>
      </c>
      <c r="E6" s="22" t="s">
        <v>22</v>
      </c>
      <c r="F6" s="17" t="s">
        <v>20</v>
      </c>
      <c r="G6" s="19">
        <v>509.71</v>
      </c>
      <c r="H6" s="20">
        <f>(97459*1.33)</f>
        <v>129620.47</v>
      </c>
      <c r="I6" s="21">
        <f>G6*H6</f>
        <v>66068849.763700001</v>
      </c>
      <c r="J6" s="7"/>
      <c r="K6" s="1"/>
      <c r="L6" s="49">
        <f>(I6/$I$69)</f>
        <v>8.6112340480552468E-2</v>
      </c>
      <c r="M6" s="54">
        <f>+M5+L6</f>
        <v>0.38809961481206179</v>
      </c>
      <c r="N6" s="58"/>
    </row>
    <row r="7" spans="1:21" ht="30" customHeight="1" thickBot="1" x14ac:dyDescent="0.35">
      <c r="A7" s="1"/>
      <c r="B7" s="6"/>
      <c r="C7" s="16">
        <v>51</v>
      </c>
      <c r="D7" s="17">
        <v>12.1</v>
      </c>
      <c r="E7" s="22" t="s">
        <v>62</v>
      </c>
      <c r="F7" s="17" t="s">
        <v>20</v>
      </c>
      <c r="G7" s="19">
        <v>511.87</v>
      </c>
      <c r="H7" s="20">
        <f>(79195*1.33)</f>
        <v>105329.35</v>
      </c>
      <c r="I7" s="23">
        <f>G7*H7</f>
        <v>53914934.384500004</v>
      </c>
      <c r="J7" s="7"/>
      <c r="K7" s="1"/>
      <c r="L7" s="49">
        <f>(I7/$I$69)</f>
        <v>7.0271257987838565E-2</v>
      </c>
      <c r="M7" s="54">
        <f>+M6+L7</f>
        <v>0.45837087279990035</v>
      </c>
      <c r="N7" s="58"/>
    </row>
    <row r="8" spans="1:21" ht="30" customHeight="1" x14ac:dyDescent="0.3">
      <c r="A8" s="1"/>
      <c r="B8" s="6"/>
      <c r="C8" s="24">
        <v>6</v>
      </c>
      <c r="D8" s="26">
        <v>3.3</v>
      </c>
      <c r="E8" s="25" t="s">
        <v>14</v>
      </c>
      <c r="F8" s="26" t="s">
        <v>15</v>
      </c>
      <c r="G8" s="19">
        <v>5299.143</v>
      </c>
      <c r="H8" s="27">
        <f>(7589*1.33)</f>
        <v>10093.370000000001</v>
      </c>
      <c r="I8" s="28">
        <f>G8*H8</f>
        <v>53486210.981910005</v>
      </c>
      <c r="J8" s="7"/>
      <c r="K8" s="1"/>
      <c r="L8" s="49">
        <f>(I8/$I$69)</f>
        <v>6.9712471574152654E-2</v>
      </c>
      <c r="M8" s="54">
        <f t="shared" ref="M8:M67" si="0">+M7+L8</f>
        <v>0.52808334437405302</v>
      </c>
      <c r="N8" s="58"/>
    </row>
    <row r="9" spans="1:21" ht="30" customHeight="1" x14ac:dyDescent="0.3">
      <c r="A9" s="1"/>
      <c r="B9" s="6"/>
      <c r="C9" s="16">
        <v>18</v>
      </c>
      <c r="D9" s="17">
        <v>6.2</v>
      </c>
      <c r="E9" s="22" t="s">
        <v>28</v>
      </c>
      <c r="F9" s="17" t="s">
        <v>20</v>
      </c>
      <c r="G9" s="19">
        <v>406.02</v>
      </c>
      <c r="H9" s="20">
        <f>(85322*1.33)</f>
        <v>113478.26000000001</v>
      </c>
      <c r="I9" s="21">
        <f>G9*H9</f>
        <v>46074443.125200003</v>
      </c>
      <c r="J9" s="7"/>
      <c r="K9" s="1"/>
      <c r="L9" s="49">
        <f>(I9/$I$69)</f>
        <v>6.0052175087645716E-2</v>
      </c>
      <c r="M9" s="54">
        <f t="shared" si="0"/>
        <v>0.58813551946169873</v>
      </c>
      <c r="N9" s="58"/>
      <c r="O9" s="2"/>
    </row>
    <row r="10" spans="1:21" s="1" customFormat="1" ht="30" customHeight="1" x14ac:dyDescent="0.3">
      <c r="B10" s="6"/>
      <c r="C10" s="16">
        <v>16</v>
      </c>
      <c r="D10" s="17">
        <v>5.4</v>
      </c>
      <c r="E10" s="22" t="s">
        <v>26</v>
      </c>
      <c r="F10" s="17" t="s">
        <v>20</v>
      </c>
      <c r="G10" s="19">
        <v>412.84</v>
      </c>
      <c r="H10" s="20">
        <f>(72522*1.33)</f>
        <v>96454.260000000009</v>
      </c>
      <c r="I10" s="21">
        <f>G10*H10</f>
        <v>39820176.698399998</v>
      </c>
      <c r="J10" s="7"/>
      <c r="L10" s="49">
        <f>(I10/$I$69)</f>
        <v>5.1900534459317492E-2</v>
      </c>
      <c r="M10" s="54">
        <f t="shared" si="0"/>
        <v>0.64003605392101626</v>
      </c>
      <c r="N10" s="58"/>
      <c r="O10" s="60" t="s">
        <v>26</v>
      </c>
      <c r="P10" s="61">
        <f>+M14</f>
        <v>0.75631868541124014</v>
      </c>
      <c r="Q10" s="1" t="str">
        <f>O14</f>
        <v>VIGA AÉREA 3500 PSI</v>
      </c>
      <c r="T10" s="63" t="s">
        <v>81</v>
      </c>
      <c r="U10" s="63" t="s">
        <v>82</v>
      </c>
    </row>
    <row r="11" spans="1:21" s="1" customFormat="1" ht="30" customHeight="1" x14ac:dyDescent="0.3">
      <c r="B11" s="6"/>
      <c r="C11" s="16">
        <v>25</v>
      </c>
      <c r="D11" s="17">
        <v>8.3000000000000007</v>
      </c>
      <c r="E11" s="34" t="s">
        <v>36</v>
      </c>
      <c r="F11" s="17" t="s">
        <v>20</v>
      </c>
      <c r="G11" s="19">
        <v>21.69</v>
      </c>
      <c r="H11" s="20">
        <f>(1046062*1.33)</f>
        <v>1391262.46</v>
      </c>
      <c r="I11" s="21">
        <f>G11*H11</f>
        <v>30176482.757400002</v>
      </c>
      <c r="J11" s="7"/>
      <c r="L11" s="49">
        <f>(I11/$I$69)</f>
        <v>3.9331206264445556E-2</v>
      </c>
      <c r="M11" s="54">
        <f t="shared" si="0"/>
        <v>0.67936726018546179</v>
      </c>
      <c r="N11" s="58"/>
      <c r="O11" s="60" t="s">
        <v>36</v>
      </c>
      <c r="Q11" s="1" t="s">
        <v>80</v>
      </c>
      <c r="T11" s="65">
        <v>2523290000</v>
      </c>
      <c r="U11" s="64">
        <v>45841</v>
      </c>
    </row>
    <row r="12" spans="1:21" ht="30" customHeight="1" x14ac:dyDescent="0.3">
      <c r="A12" s="1"/>
      <c r="B12" s="6"/>
      <c r="C12" s="16">
        <v>26</v>
      </c>
      <c r="D12" s="17">
        <v>8.4</v>
      </c>
      <c r="E12" s="22" t="s">
        <v>37</v>
      </c>
      <c r="F12" s="17" t="s">
        <v>20</v>
      </c>
      <c r="G12" s="19">
        <v>77.91</v>
      </c>
      <c r="H12" s="20">
        <f>(208056*1.33)</f>
        <v>276714.48000000004</v>
      </c>
      <c r="I12" s="21">
        <f>G12*H12</f>
        <v>21558825.136800002</v>
      </c>
      <c r="J12" s="7"/>
      <c r="K12" s="1"/>
      <c r="L12" s="49">
        <f>(I12/$I$69)</f>
        <v>2.8099185882312961E-2</v>
      </c>
      <c r="M12" s="54">
        <f t="shared" si="0"/>
        <v>0.70746644606777476</v>
      </c>
      <c r="N12" s="58"/>
      <c r="O12" s="60" t="s">
        <v>37</v>
      </c>
      <c r="Q12" s="2" t="s">
        <v>83</v>
      </c>
      <c r="T12" s="65">
        <v>7214200000</v>
      </c>
      <c r="U12" s="64">
        <v>45863</v>
      </c>
    </row>
    <row r="13" spans="1:21" ht="30" customHeight="1" x14ac:dyDescent="0.3">
      <c r="A13" s="1"/>
      <c r="B13" s="6"/>
      <c r="C13" s="16">
        <v>3</v>
      </c>
      <c r="D13" s="17">
        <v>2.1</v>
      </c>
      <c r="E13" s="22" t="s">
        <v>11</v>
      </c>
      <c r="F13" s="17" t="s">
        <v>8</v>
      </c>
      <c r="G13" s="32">
        <v>87</v>
      </c>
      <c r="H13" s="33">
        <f>(162260*1.33)</f>
        <v>215805.80000000002</v>
      </c>
      <c r="I13" s="21">
        <f>G13*H13</f>
        <v>18775104.600000001</v>
      </c>
      <c r="J13" s="7"/>
      <c r="K13" s="1"/>
      <c r="L13" s="49">
        <f>(I13/$I$69)</f>
        <v>2.4470960303617739E-2</v>
      </c>
      <c r="M13" s="54">
        <f t="shared" si="0"/>
        <v>0.73193740637139248</v>
      </c>
      <c r="N13" s="58"/>
      <c r="O13" s="60" t="s">
        <v>11</v>
      </c>
    </row>
    <row r="14" spans="1:21" ht="30" customHeight="1" x14ac:dyDescent="0.3">
      <c r="A14" s="1"/>
      <c r="B14" s="6"/>
      <c r="C14" s="30">
        <v>7</v>
      </c>
      <c r="D14" s="29">
        <v>3.4</v>
      </c>
      <c r="E14" s="22" t="s">
        <v>16</v>
      </c>
      <c r="F14" s="17" t="s">
        <v>10</v>
      </c>
      <c r="G14" s="32">
        <v>12.69</v>
      </c>
      <c r="H14" s="33">
        <f>(1108344*1.33)</f>
        <v>1474097.52</v>
      </c>
      <c r="I14" s="21">
        <f>G14*H14</f>
        <v>18706297.5288</v>
      </c>
      <c r="J14" s="7"/>
      <c r="K14" s="1"/>
      <c r="L14" s="49">
        <f>(I14/$I$69)</f>
        <v>2.4381279039847659E-2</v>
      </c>
      <c r="M14" s="54">
        <f t="shared" si="0"/>
        <v>0.75631868541124014</v>
      </c>
      <c r="N14" s="58"/>
      <c r="O14" s="60" t="s">
        <v>16</v>
      </c>
    </row>
    <row r="15" spans="1:21" ht="30" customHeight="1" x14ac:dyDescent="0.3">
      <c r="A15" s="1"/>
      <c r="B15" s="6"/>
      <c r="C15" s="16">
        <v>27</v>
      </c>
      <c r="D15" s="17">
        <v>8.5</v>
      </c>
      <c r="E15" s="22" t="s">
        <v>38</v>
      </c>
      <c r="F15" s="17" t="s">
        <v>20</v>
      </c>
      <c r="G15" s="32">
        <v>77.91</v>
      </c>
      <c r="H15" s="33">
        <f>(180317*1.33)</f>
        <v>239821.61000000002</v>
      </c>
      <c r="I15" s="21">
        <f>G15*H15</f>
        <v>18684501.6351</v>
      </c>
      <c r="J15" s="7"/>
      <c r="K15" s="1"/>
      <c r="L15" s="49">
        <f>(I15/$I$69)</f>
        <v>2.4352870865252747E-2</v>
      </c>
      <c r="M15" s="54">
        <f t="shared" si="0"/>
        <v>0.78067155627649287</v>
      </c>
      <c r="N15" s="58"/>
      <c r="O15" s="60" t="s">
        <v>38</v>
      </c>
    </row>
    <row r="16" spans="1:21" ht="30" customHeight="1" x14ac:dyDescent="0.3">
      <c r="A16" s="1"/>
      <c r="B16" s="6"/>
      <c r="C16" s="16">
        <v>50</v>
      </c>
      <c r="D16" s="17">
        <v>11.1</v>
      </c>
      <c r="E16" s="22" t="s">
        <v>61</v>
      </c>
      <c r="F16" s="17" t="s">
        <v>20</v>
      </c>
      <c r="G16" s="32">
        <v>411.73</v>
      </c>
      <c r="H16" s="20">
        <f>(31774*1.33)</f>
        <v>42259.420000000006</v>
      </c>
      <c r="I16" s="21">
        <f>G16*H16</f>
        <v>17399470.996600002</v>
      </c>
      <c r="J16" s="7"/>
      <c r="K16" s="1"/>
      <c r="L16" s="49">
        <f>(I16/$I$69)</f>
        <v>2.2677996907764061E-2</v>
      </c>
      <c r="M16" s="53">
        <f t="shared" si="0"/>
        <v>0.80334955318425694</v>
      </c>
    </row>
    <row r="17" spans="1:13" ht="30" customHeight="1" x14ac:dyDescent="0.3">
      <c r="A17" s="1"/>
      <c r="B17" s="6"/>
      <c r="C17" s="16">
        <v>24</v>
      </c>
      <c r="D17" s="17">
        <v>8.1999999999999993</v>
      </c>
      <c r="E17" s="22" t="s">
        <v>35</v>
      </c>
      <c r="F17" s="17" t="s">
        <v>20</v>
      </c>
      <c r="G17" s="32">
        <v>43.57</v>
      </c>
      <c r="H17" s="20">
        <f>(292496*1.33)</f>
        <v>389019.68</v>
      </c>
      <c r="I17" s="21">
        <f>G17*H17</f>
        <v>16949587.457600001</v>
      </c>
      <c r="J17" s="7"/>
      <c r="K17" s="1"/>
      <c r="L17" s="49">
        <f>(I17/$I$69)</f>
        <v>2.2091630948230603E-2</v>
      </c>
      <c r="M17" s="53">
        <f t="shared" si="0"/>
        <v>0.82544118413248757</v>
      </c>
    </row>
    <row r="18" spans="1:13" ht="30" customHeight="1" x14ac:dyDescent="0.3">
      <c r="A18" s="1"/>
      <c r="B18" s="6"/>
      <c r="C18" s="16">
        <v>4</v>
      </c>
      <c r="D18" s="29">
        <v>3.1</v>
      </c>
      <c r="E18" s="22" t="s">
        <v>12</v>
      </c>
      <c r="F18" s="17" t="s">
        <v>10</v>
      </c>
      <c r="G18" s="32">
        <v>12.32</v>
      </c>
      <c r="H18" s="20">
        <f>(1034108*1.33)</f>
        <v>1375363.6400000001</v>
      </c>
      <c r="I18" s="21">
        <f>G18*H18</f>
        <v>16944480.044800002</v>
      </c>
      <c r="J18" s="7"/>
      <c r="K18" s="1"/>
      <c r="L18" s="49">
        <f>(I18/$I$69)</f>
        <v>2.2084974085403698E-2</v>
      </c>
      <c r="M18" s="53">
        <f t="shared" si="0"/>
        <v>0.84752615821789123</v>
      </c>
    </row>
    <row r="19" spans="1:13" ht="30" customHeight="1" x14ac:dyDescent="0.3">
      <c r="A19" s="1"/>
      <c r="B19" s="6"/>
      <c r="C19" s="16">
        <v>39</v>
      </c>
      <c r="D19" s="35">
        <v>9.11</v>
      </c>
      <c r="E19" s="22" t="s">
        <v>50</v>
      </c>
      <c r="F19" s="17" t="s">
        <v>8</v>
      </c>
      <c r="G19" s="32">
        <v>85</v>
      </c>
      <c r="H19" s="20">
        <f>(119231*1.33)</f>
        <v>158577.23000000001</v>
      </c>
      <c r="I19" s="21">
        <f>G19*H19</f>
        <v>13479064.550000001</v>
      </c>
      <c r="J19" s="7"/>
      <c r="K19" s="1"/>
      <c r="L19" s="49">
        <f>(I19/$I$69)</f>
        <v>1.7568245853232217E-2</v>
      </c>
      <c r="M19" s="53">
        <f t="shared" si="0"/>
        <v>0.86509440407112348</v>
      </c>
    </row>
    <row r="20" spans="1:13" ht="30" customHeight="1" x14ac:dyDescent="0.3">
      <c r="A20" s="1"/>
      <c r="B20" s="6"/>
      <c r="C20" s="16">
        <v>55</v>
      </c>
      <c r="D20" s="17">
        <v>13.1</v>
      </c>
      <c r="E20" s="34" t="s">
        <v>66</v>
      </c>
      <c r="F20" s="17" t="s">
        <v>34</v>
      </c>
      <c r="G20" s="32">
        <v>19</v>
      </c>
      <c r="H20" s="20">
        <f>(403664*1.33)</f>
        <v>536873.12</v>
      </c>
      <c r="I20" s="21">
        <f>G20*H20</f>
        <v>10200589.279999999</v>
      </c>
      <c r="J20" s="7"/>
      <c r="K20" s="1"/>
      <c r="L20" s="49">
        <f>(I20/$I$69)</f>
        <v>1.3295170421814249E-2</v>
      </c>
      <c r="M20" s="53">
        <f t="shared" si="0"/>
        <v>0.87838957449293775</v>
      </c>
    </row>
    <row r="21" spans="1:13" ht="30" customHeight="1" x14ac:dyDescent="0.3">
      <c r="A21" s="1"/>
      <c r="B21" s="6"/>
      <c r="C21" s="16">
        <v>56</v>
      </c>
      <c r="D21" s="17">
        <v>13.2</v>
      </c>
      <c r="E21" s="34" t="s">
        <v>67</v>
      </c>
      <c r="F21" s="17" t="s">
        <v>34</v>
      </c>
      <c r="G21" s="32">
        <v>19</v>
      </c>
      <c r="H21" s="20">
        <f>(250096*1.33)</f>
        <v>332627.68</v>
      </c>
      <c r="I21" s="21">
        <f>G21*H21</f>
        <v>6319925.9199999999</v>
      </c>
      <c r="J21" s="7"/>
      <c r="K21" s="1"/>
      <c r="L21" s="49">
        <f>(I21/$I$69)</f>
        <v>8.2372194246057521E-3</v>
      </c>
      <c r="M21" s="53">
        <f t="shared" si="0"/>
        <v>0.88662679391754351</v>
      </c>
    </row>
    <row r="22" spans="1:13" ht="30" customHeight="1" x14ac:dyDescent="0.3">
      <c r="A22" s="1"/>
      <c r="B22" s="6"/>
      <c r="C22" s="16">
        <v>15</v>
      </c>
      <c r="D22" s="17">
        <v>5.3</v>
      </c>
      <c r="E22" s="22" t="s">
        <v>25</v>
      </c>
      <c r="F22" s="17" t="s">
        <v>20</v>
      </c>
      <c r="G22" s="32">
        <v>176.13</v>
      </c>
      <c r="H22" s="20">
        <f>(25135*1.33)</f>
        <v>33429.550000000003</v>
      </c>
      <c r="I22" s="21">
        <f>G22*H22</f>
        <v>5887946.6414999999</v>
      </c>
      <c r="J22" s="7"/>
      <c r="K22" s="1"/>
      <c r="L22" s="49">
        <f>(I22/$I$69)</f>
        <v>7.6741893908791265E-3</v>
      </c>
      <c r="M22" s="53">
        <f t="shared" si="0"/>
        <v>0.89430098330842267</v>
      </c>
    </row>
    <row r="23" spans="1:13" ht="30" customHeight="1" x14ac:dyDescent="0.3">
      <c r="A23" s="1"/>
      <c r="B23" s="6"/>
      <c r="C23" s="16">
        <v>22</v>
      </c>
      <c r="D23" s="17">
        <v>7.3</v>
      </c>
      <c r="E23" s="22" t="s">
        <v>32</v>
      </c>
      <c r="F23" s="17" t="s">
        <v>20</v>
      </c>
      <c r="G23" s="32">
        <v>70.06</v>
      </c>
      <c r="H23" s="20">
        <f>(59757*1.33)</f>
        <v>79476.81</v>
      </c>
      <c r="I23" s="21">
        <f>G23*H23</f>
        <v>5568145.3086000001</v>
      </c>
      <c r="J23" s="7"/>
      <c r="K23" s="1"/>
      <c r="L23" s="49">
        <f>(I23/$I$69)</f>
        <v>7.2573690381211482E-3</v>
      </c>
      <c r="M23" s="53">
        <f t="shared" si="0"/>
        <v>0.9015583523465438</v>
      </c>
    </row>
    <row r="24" spans="1:13" ht="30" customHeight="1" x14ac:dyDescent="0.3">
      <c r="A24" s="1"/>
      <c r="B24" s="6"/>
      <c r="C24" s="16">
        <v>23</v>
      </c>
      <c r="D24" s="17">
        <v>8.1</v>
      </c>
      <c r="E24" s="22" t="s">
        <v>33</v>
      </c>
      <c r="F24" s="17" t="s">
        <v>34</v>
      </c>
      <c r="G24" s="32">
        <v>19</v>
      </c>
      <c r="H24" s="20">
        <f>(213762*1.33)</f>
        <v>284303.46000000002</v>
      </c>
      <c r="I24" s="21">
        <f>G24*H24</f>
        <v>5401765.7400000002</v>
      </c>
      <c r="J24" s="7"/>
      <c r="K24" s="1"/>
      <c r="L24" s="49">
        <f>(I24/$I$69)</f>
        <v>7.0405144370264813E-3</v>
      </c>
      <c r="M24" s="53">
        <f t="shared" si="0"/>
        <v>0.90859886678357027</v>
      </c>
    </row>
    <row r="25" spans="1:13" ht="30" customHeight="1" x14ac:dyDescent="0.3">
      <c r="A25" s="1"/>
      <c r="B25" s="6"/>
      <c r="C25" s="16">
        <v>52</v>
      </c>
      <c r="D25" s="17">
        <v>12.2</v>
      </c>
      <c r="E25" s="22" t="s">
        <v>63</v>
      </c>
      <c r="F25" s="17" t="s">
        <v>8</v>
      </c>
      <c r="G25" s="32">
        <v>270.56</v>
      </c>
      <c r="H25" s="20">
        <f>(14759*1.33)</f>
        <v>19629.47</v>
      </c>
      <c r="I25" s="21">
        <f>G25*H25</f>
        <v>5310949.4032000005</v>
      </c>
      <c r="J25" s="7"/>
      <c r="K25" s="1"/>
      <c r="L25" s="49">
        <f>(I25/$I$69)</f>
        <v>6.9221468955347138E-3</v>
      </c>
      <c r="M25" s="53">
        <f t="shared" si="0"/>
        <v>0.91552101367910499</v>
      </c>
    </row>
    <row r="26" spans="1:13" ht="30" customHeight="1" x14ac:dyDescent="0.3">
      <c r="A26" s="1"/>
      <c r="B26" s="6"/>
      <c r="C26" s="16">
        <v>49</v>
      </c>
      <c r="D26" s="17">
        <v>10.8</v>
      </c>
      <c r="E26" s="22" t="s">
        <v>60</v>
      </c>
      <c r="F26" s="17" t="s">
        <v>34</v>
      </c>
      <c r="G26" s="32">
        <v>27</v>
      </c>
      <c r="H26" s="20">
        <f>(140456*1.33)</f>
        <v>186806.48</v>
      </c>
      <c r="I26" s="21">
        <f>G26*H26</f>
        <v>5043774.96</v>
      </c>
      <c r="J26" s="7"/>
      <c r="K26" s="1"/>
      <c r="L26" s="49">
        <f>(I26/$I$69)</f>
        <v>6.5739189983815664E-3</v>
      </c>
      <c r="M26" s="53">
        <f t="shared" si="0"/>
        <v>0.92209493267748655</v>
      </c>
    </row>
    <row r="27" spans="1:13" ht="30" customHeight="1" x14ac:dyDescent="0.3">
      <c r="A27" s="1"/>
      <c r="B27" s="6"/>
      <c r="C27" s="16">
        <v>1</v>
      </c>
      <c r="D27" s="17">
        <v>1.1000000000000001</v>
      </c>
      <c r="E27" s="18" t="s">
        <v>7</v>
      </c>
      <c r="F27" s="17" t="s">
        <v>8</v>
      </c>
      <c r="G27" s="32">
        <v>130</v>
      </c>
      <c r="H27" s="20">
        <f>(28865*1.33)</f>
        <v>38390.450000000004</v>
      </c>
      <c r="I27" s="21">
        <f>G27*H27</f>
        <v>4990758.5000000009</v>
      </c>
      <c r="J27" s="7"/>
      <c r="K27" s="1"/>
      <c r="L27" s="49">
        <f>(I27/$I$69)</f>
        <v>6.5048187874512733E-3</v>
      </c>
      <c r="M27" s="53">
        <f t="shared" si="0"/>
        <v>0.92859975146493778</v>
      </c>
    </row>
    <row r="28" spans="1:13" ht="30" customHeight="1" x14ac:dyDescent="0.3">
      <c r="A28" s="1"/>
      <c r="B28" s="6"/>
      <c r="C28" s="16">
        <v>5</v>
      </c>
      <c r="D28" s="29">
        <v>3.2</v>
      </c>
      <c r="E28" s="22" t="s">
        <v>13</v>
      </c>
      <c r="F28" s="17" t="s">
        <v>10</v>
      </c>
      <c r="G28" s="32">
        <v>2.95</v>
      </c>
      <c r="H28" s="20">
        <f>(1240256*1.33)</f>
        <v>1649540.48</v>
      </c>
      <c r="I28" s="21">
        <f>G28*H28</f>
        <v>4866144.4160000002</v>
      </c>
      <c r="J28" s="7"/>
      <c r="K28" s="1"/>
      <c r="L28" s="49">
        <f>(I28/$I$69)</f>
        <v>6.3424001821863153E-3</v>
      </c>
      <c r="M28" s="53">
        <f t="shared" si="0"/>
        <v>0.93494215164712413</v>
      </c>
    </row>
    <row r="29" spans="1:13" ht="30" customHeight="1" x14ac:dyDescent="0.3">
      <c r="A29" s="1"/>
      <c r="B29" s="6"/>
      <c r="C29" s="16">
        <v>53</v>
      </c>
      <c r="D29" s="17">
        <v>12.3</v>
      </c>
      <c r="E29" s="22" t="s">
        <v>64</v>
      </c>
      <c r="F29" s="17" t="s">
        <v>20</v>
      </c>
      <c r="G29" s="32">
        <v>41.83</v>
      </c>
      <c r="H29" s="20">
        <f>(76750*1.33)</f>
        <v>102077.5</v>
      </c>
      <c r="I29" s="21">
        <f>G29*H29</f>
        <v>4269901.8250000002</v>
      </c>
      <c r="J29" s="7"/>
      <c r="K29" s="1"/>
      <c r="L29" s="49">
        <f>(I29/$I$69)</f>
        <v>5.5652738179642388E-3</v>
      </c>
      <c r="M29" s="53">
        <f t="shared" si="0"/>
        <v>0.94050742546508836</v>
      </c>
    </row>
    <row r="30" spans="1:13" ht="30" customHeight="1" x14ac:dyDescent="0.3">
      <c r="A30" s="1"/>
      <c r="B30" s="6"/>
      <c r="C30" s="16">
        <v>43</v>
      </c>
      <c r="D30" s="17">
        <v>10.199999999999999</v>
      </c>
      <c r="E30" s="22" t="s">
        <v>54</v>
      </c>
      <c r="F30" s="17" t="s">
        <v>34</v>
      </c>
      <c r="G30" s="32">
        <v>31</v>
      </c>
      <c r="H30" s="20">
        <f>(102322*1.33)</f>
        <v>136088.26</v>
      </c>
      <c r="I30" s="21">
        <f>G30*H30</f>
        <v>4218736.0600000005</v>
      </c>
      <c r="J30" s="7"/>
      <c r="K30" s="1"/>
      <c r="L30" s="49">
        <f>(I30/$I$69)</f>
        <v>5.4985857525236218E-3</v>
      </c>
      <c r="M30" s="53">
        <f t="shared" si="0"/>
        <v>0.94600601121761196</v>
      </c>
    </row>
    <row r="31" spans="1:13" ht="30" customHeight="1" x14ac:dyDescent="0.3">
      <c r="A31" s="1"/>
      <c r="B31" s="6"/>
      <c r="C31" s="16">
        <v>9</v>
      </c>
      <c r="D31" s="17">
        <v>4.0999999999999996</v>
      </c>
      <c r="E31" s="22" t="s">
        <v>18</v>
      </c>
      <c r="F31" s="17" t="s">
        <v>8</v>
      </c>
      <c r="G31" s="32">
        <v>59</v>
      </c>
      <c r="H31" s="20">
        <f>(51759*1.33)</f>
        <v>68839.47</v>
      </c>
      <c r="I31" s="21">
        <f>G31*H31</f>
        <v>4061528.73</v>
      </c>
      <c r="J31" s="7"/>
      <c r="K31" s="1"/>
      <c r="L31" s="49">
        <f>(I31/$I$69)</f>
        <v>5.2936859975647203E-3</v>
      </c>
      <c r="M31" s="53">
        <f t="shared" si="0"/>
        <v>0.95129969721517671</v>
      </c>
    </row>
    <row r="32" spans="1:13" x14ac:dyDescent="0.3">
      <c r="A32" s="1"/>
      <c r="B32" s="6"/>
      <c r="C32" s="16">
        <v>30</v>
      </c>
      <c r="D32" s="17">
        <v>9.1999999999999993</v>
      </c>
      <c r="E32" s="22" t="s">
        <v>41</v>
      </c>
      <c r="F32" s="17" t="s">
        <v>34</v>
      </c>
      <c r="G32" s="32">
        <v>24</v>
      </c>
      <c r="H32" s="20">
        <f>(96126*1.33)</f>
        <v>127847.58</v>
      </c>
      <c r="I32" s="21">
        <f>G32*H32</f>
        <v>3068341.92</v>
      </c>
      <c r="J32" s="7"/>
      <c r="K32" s="1"/>
      <c r="L32" s="49">
        <f>(I32/$I$69)</f>
        <v>3.9991933425631209E-3</v>
      </c>
      <c r="M32" s="53">
        <f t="shared" si="0"/>
        <v>0.95529889055773987</v>
      </c>
    </row>
    <row r="33" spans="1:13" ht="30" customHeight="1" x14ac:dyDescent="0.3">
      <c r="A33" s="1"/>
      <c r="B33" s="6"/>
      <c r="C33" s="16">
        <v>45</v>
      </c>
      <c r="D33" s="17">
        <v>10.4</v>
      </c>
      <c r="E33" s="22" t="s">
        <v>56</v>
      </c>
      <c r="F33" s="17" t="s">
        <v>34</v>
      </c>
      <c r="G33" s="32">
        <v>26</v>
      </c>
      <c r="H33" s="20">
        <f>(75296*1.33)</f>
        <v>100143.68000000001</v>
      </c>
      <c r="I33" s="21">
        <f>G33*H33</f>
        <v>2603735.6800000002</v>
      </c>
      <c r="J33" s="7"/>
      <c r="K33" s="1"/>
      <c r="L33" s="49">
        <f>(I33/$I$69)</f>
        <v>3.3936382152775406E-3</v>
      </c>
      <c r="M33" s="53">
        <f t="shared" si="0"/>
        <v>0.95869252877301736</v>
      </c>
    </row>
    <row r="34" spans="1:13" ht="30" customHeight="1" x14ac:dyDescent="0.3">
      <c r="A34" s="1"/>
      <c r="B34" s="6"/>
      <c r="C34" s="16">
        <v>8</v>
      </c>
      <c r="D34" s="17">
        <v>3.5</v>
      </c>
      <c r="E34" s="22" t="s">
        <v>17</v>
      </c>
      <c r="F34" s="17" t="s">
        <v>10</v>
      </c>
      <c r="G34" s="51">
        <v>1.82</v>
      </c>
      <c r="H34" s="31">
        <f>(1074756*1.33)</f>
        <v>1429425.48</v>
      </c>
      <c r="I34" s="21">
        <f>G34*H34</f>
        <v>2601554.3736</v>
      </c>
      <c r="J34" s="7"/>
      <c r="K34" s="1"/>
      <c r="L34" s="49">
        <f>(I34/$I$69)</f>
        <v>3.3907951598878823E-3</v>
      </c>
      <c r="M34" s="53">
        <f t="shared" si="0"/>
        <v>0.96208332393290519</v>
      </c>
    </row>
    <row r="35" spans="1:13" ht="30" customHeight="1" x14ac:dyDescent="0.3">
      <c r="A35" s="1"/>
      <c r="B35" s="6"/>
      <c r="C35" s="16">
        <v>62</v>
      </c>
      <c r="D35" s="17">
        <v>14.3</v>
      </c>
      <c r="E35" s="34" t="s">
        <v>73</v>
      </c>
      <c r="F35" s="17" t="s">
        <v>20</v>
      </c>
      <c r="G35" s="32">
        <v>87.16</v>
      </c>
      <c r="H35" s="20">
        <f>(21105*1.33)</f>
        <v>28069.65</v>
      </c>
      <c r="I35" s="52">
        <f>G35*H35</f>
        <v>2446550.6940000001</v>
      </c>
      <c r="J35" s="7"/>
      <c r="K35" s="1"/>
      <c r="L35" s="49">
        <f>(I35/$I$69)</f>
        <v>3.188767582880067E-3</v>
      </c>
      <c r="M35" s="53">
        <f t="shared" si="0"/>
        <v>0.9652720915157853</v>
      </c>
    </row>
    <row r="36" spans="1:13" ht="30" customHeight="1" x14ac:dyDescent="0.3">
      <c r="A36" s="1"/>
      <c r="B36" s="6"/>
      <c r="C36" s="16">
        <v>38</v>
      </c>
      <c r="D36" s="35">
        <v>9.1</v>
      </c>
      <c r="E36" s="22" t="s">
        <v>49</v>
      </c>
      <c r="F36" s="17" t="s">
        <v>8</v>
      </c>
      <c r="G36" s="32">
        <v>27</v>
      </c>
      <c r="H36" s="20">
        <f>(66279*1.33)</f>
        <v>88151.07</v>
      </c>
      <c r="I36" s="21">
        <f>G36*H36</f>
        <v>2380078.89</v>
      </c>
      <c r="J36" s="7"/>
      <c r="K36" s="1"/>
      <c r="L36" s="49">
        <f>(I36/$I$69)</f>
        <v>3.1021300428157707E-3</v>
      </c>
      <c r="M36" s="53">
        <f t="shared" si="0"/>
        <v>0.96837422155860109</v>
      </c>
    </row>
    <row r="37" spans="1:13" ht="30" customHeight="1" x14ac:dyDescent="0.3">
      <c r="A37" s="1"/>
      <c r="B37" s="6"/>
      <c r="C37" s="16">
        <v>31</v>
      </c>
      <c r="D37" s="17">
        <v>9.3000000000000007</v>
      </c>
      <c r="E37" s="22" t="s">
        <v>42</v>
      </c>
      <c r="F37" s="17" t="s">
        <v>34</v>
      </c>
      <c r="G37" s="32">
        <v>14</v>
      </c>
      <c r="H37" s="20">
        <f>(101065*1.33)</f>
        <v>134416.45000000001</v>
      </c>
      <c r="I37" s="21">
        <f>G37*H37</f>
        <v>1881830.3000000003</v>
      </c>
      <c r="J37" s="7"/>
      <c r="K37" s="1"/>
      <c r="L37" s="49">
        <f>(I37/$I$69)</f>
        <v>2.4527263922377862E-3</v>
      </c>
      <c r="M37" s="53">
        <f t="shared" si="0"/>
        <v>0.9708269479508389</v>
      </c>
    </row>
    <row r="38" spans="1:13" x14ac:dyDescent="0.3">
      <c r="A38" s="1"/>
      <c r="B38" s="6"/>
      <c r="C38" s="16">
        <v>32</v>
      </c>
      <c r="D38" s="17">
        <v>9.4</v>
      </c>
      <c r="E38" s="22" t="s">
        <v>43</v>
      </c>
      <c r="F38" s="17" t="s">
        <v>34</v>
      </c>
      <c r="G38" s="32">
        <v>10</v>
      </c>
      <c r="H38" s="20">
        <f>(129968*1.33)</f>
        <v>172857.44</v>
      </c>
      <c r="I38" s="21">
        <f>G38*H38</f>
        <v>1728574.4</v>
      </c>
      <c r="J38" s="7"/>
      <c r="K38" s="1"/>
      <c r="L38" s="49">
        <f>(I38/$I$69)</f>
        <v>2.2529768235885006E-3</v>
      </c>
      <c r="M38" s="53">
        <f t="shared" si="0"/>
        <v>0.9730799247744274</v>
      </c>
    </row>
    <row r="39" spans="1:13" x14ac:dyDescent="0.3">
      <c r="A39" s="1"/>
      <c r="B39" s="6"/>
      <c r="C39" s="16">
        <v>63</v>
      </c>
      <c r="D39" s="17">
        <v>14.4</v>
      </c>
      <c r="E39" s="34" t="s">
        <v>74</v>
      </c>
      <c r="F39" s="17" t="s">
        <v>8</v>
      </c>
      <c r="G39" s="32">
        <v>308.10000000000002</v>
      </c>
      <c r="H39" s="20">
        <f>(4099*1.33)</f>
        <v>5451.67</v>
      </c>
      <c r="I39" s="21">
        <f>G39*H39</f>
        <v>1679659.5270000002</v>
      </c>
      <c r="J39" s="7"/>
      <c r="K39" s="1"/>
      <c r="L39" s="49">
        <f>(I39/$I$69)</f>
        <v>2.1892225095145597E-3</v>
      </c>
      <c r="M39" s="53">
        <f t="shared" si="0"/>
        <v>0.97526914728394198</v>
      </c>
    </row>
    <row r="40" spans="1:13" x14ac:dyDescent="0.3">
      <c r="A40" s="1"/>
      <c r="B40" s="6"/>
      <c r="C40" s="16">
        <v>11</v>
      </c>
      <c r="D40" s="17">
        <v>4.3</v>
      </c>
      <c r="E40" s="22" t="s">
        <v>21</v>
      </c>
      <c r="F40" s="17" t="s">
        <v>20</v>
      </c>
      <c r="G40" s="32">
        <v>18.059999999999999</v>
      </c>
      <c r="H40" s="20">
        <f>(68775*1.33)</f>
        <v>91470.75</v>
      </c>
      <c r="I40" s="21">
        <f>G40*H40</f>
        <v>1651961.7449999999</v>
      </c>
      <c r="J40" s="7"/>
      <c r="K40" s="1"/>
      <c r="L40" s="49">
        <f>(I40/$I$69)</f>
        <v>2.1531219743505495E-3</v>
      </c>
      <c r="M40" s="53">
        <f t="shared" si="0"/>
        <v>0.97742226925829256</v>
      </c>
    </row>
    <row r="41" spans="1:13" x14ac:dyDescent="0.3">
      <c r="A41" s="1"/>
      <c r="B41" s="6"/>
      <c r="C41" s="16">
        <v>29</v>
      </c>
      <c r="D41" s="17">
        <v>9.1</v>
      </c>
      <c r="E41" s="22" t="s">
        <v>40</v>
      </c>
      <c r="F41" s="17" t="s">
        <v>8</v>
      </c>
      <c r="G41" s="32">
        <v>23.799999999999997</v>
      </c>
      <c r="H41" s="20">
        <f>(48916*1.33)</f>
        <v>65058.280000000006</v>
      </c>
      <c r="I41" s="21">
        <f>G41*H41</f>
        <v>1548387.064</v>
      </c>
      <c r="J41" s="7"/>
      <c r="K41" s="1"/>
      <c r="L41" s="49">
        <f>(I41/$I$69)</f>
        <v>2.0181255542927423E-3</v>
      </c>
      <c r="M41" s="53">
        <f t="shared" si="0"/>
        <v>0.97944039481258527</v>
      </c>
    </row>
    <row r="42" spans="1:13" x14ac:dyDescent="0.3">
      <c r="A42" s="1"/>
      <c r="B42" s="6"/>
      <c r="C42" s="16">
        <v>57</v>
      </c>
      <c r="D42" s="17">
        <v>13.3</v>
      </c>
      <c r="E42" s="34" t="s">
        <v>68</v>
      </c>
      <c r="F42" s="17" t="s">
        <v>34</v>
      </c>
      <c r="G42" s="32">
        <v>2</v>
      </c>
      <c r="H42" s="20">
        <f>(529294*1.33)</f>
        <v>703961.02</v>
      </c>
      <c r="I42" s="21">
        <f>G42*H42</f>
        <v>1407922.04</v>
      </c>
      <c r="J42" s="7"/>
      <c r="K42" s="1"/>
      <c r="L42" s="49">
        <f>(I42/$I$69)</f>
        <v>1.8350472652721469E-3</v>
      </c>
      <c r="M42" s="53">
        <f t="shared" si="0"/>
        <v>0.98127544207785744</v>
      </c>
    </row>
    <row r="43" spans="1:13" x14ac:dyDescent="0.3">
      <c r="A43" s="1"/>
      <c r="B43" s="6"/>
      <c r="C43" s="16">
        <v>61</v>
      </c>
      <c r="D43" s="17">
        <v>14.2</v>
      </c>
      <c r="E43" s="34" t="s">
        <v>72</v>
      </c>
      <c r="F43" s="17" t="s">
        <v>8</v>
      </c>
      <c r="G43" s="32">
        <v>120</v>
      </c>
      <c r="H43" s="20">
        <f>(6914*1.33)</f>
        <v>9195.6200000000008</v>
      </c>
      <c r="I43" s="21">
        <f>G43*H43</f>
        <v>1103474.4000000001</v>
      </c>
      <c r="J43" s="7"/>
      <c r="K43" s="1"/>
      <c r="L43" s="49">
        <f>(I43/$I$69)</f>
        <v>1.4382384979340357E-3</v>
      </c>
      <c r="M43" s="53">
        <f t="shared" si="0"/>
        <v>0.98271368057579145</v>
      </c>
    </row>
    <row r="44" spans="1:13" x14ac:dyDescent="0.3">
      <c r="A44" s="1"/>
      <c r="B44" s="6"/>
      <c r="C44" s="16">
        <v>20</v>
      </c>
      <c r="D44" s="17">
        <v>7.1</v>
      </c>
      <c r="E44" s="22" t="s">
        <v>30</v>
      </c>
      <c r="F44" s="17" t="s">
        <v>20</v>
      </c>
      <c r="G44" s="32">
        <v>8.2200000000000006</v>
      </c>
      <c r="H44" s="20">
        <f>(97478*1.33)</f>
        <v>129645.74</v>
      </c>
      <c r="I44" s="21">
        <f>G44*H44</f>
        <v>1065687.9828000001</v>
      </c>
      <c r="J44" s="7"/>
      <c r="K44" s="1"/>
      <c r="L44" s="49">
        <f>(I44/$I$69)</f>
        <v>1.3889887102488509E-3</v>
      </c>
      <c r="M44" s="53">
        <f t="shared" si="0"/>
        <v>0.98410266928604029</v>
      </c>
    </row>
    <row r="45" spans="1:13" x14ac:dyDescent="0.3">
      <c r="A45" s="1"/>
      <c r="B45" s="6"/>
      <c r="C45" s="16">
        <v>47</v>
      </c>
      <c r="D45" s="17">
        <v>10.6</v>
      </c>
      <c r="E45" s="22" t="s">
        <v>58</v>
      </c>
      <c r="F45" s="17" t="s">
        <v>34</v>
      </c>
      <c r="G45" s="32">
        <v>1</v>
      </c>
      <c r="H45" s="20">
        <f>(745212*1.33)</f>
        <v>991131.96000000008</v>
      </c>
      <c r="I45" s="21">
        <f>G45*H45</f>
        <v>991131.96000000008</v>
      </c>
      <c r="J45" s="7"/>
      <c r="K45" s="1"/>
      <c r="L45" s="49">
        <f>(I45/$I$69)</f>
        <v>1.2918144194417349E-3</v>
      </c>
      <c r="M45" s="53">
        <f t="shared" si="0"/>
        <v>0.98539448370548199</v>
      </c>
    </row>
    <row r="46" spans="1:13" ht="30" customHeight="1" x14ac:dyDescent="0.3">
      <c r="A46" s="1"/>
      <c r="B46" s="6"/>
      <c r="C46" s="16">
        <v>19</v>
      </c>
      <c r="D46" s="17">
        <v>6.3</v>
      </c>
      <c r="E46" s="22" t="s">
        <v>29</v>
      </c>
      <c r="F46" s="17" t="s">
        <v>8</v>
      </c>
      <c r="G46" s="32">
        <v>20.149999999999999</v>
      </c>
      <c r="H46" s="20">
        <f>(35337*1.33)</f>
        <v>46998.21</v>
      </c>
      <c r="I46" s="21">
        <f>G46*H46</f>
        <v>947013.93149999995</v>
      </c>
      <c r="J46" s="7"/>
      <c r="K46" s="1"/>
      <c r="L46" s="49">
        <f>(I46/$I$69)</f>
        <v>1.2343121819257117E-3</v>
      </c>
      <c r="M46" s="53">
        <f t="shared" si="0"/>
        <v>0.98662879588740771</v>
      </c>
    </row>
    <row r="47" spans="1:13" ht="30" customHeight="1" x14ac:dyDescent="0.3">
      <c r="A47" s="1"/>
      <c r="B47" s="6"/>
      <c r="C47" s="16">
        <v>54</v>
      </c>
      <c r="D47" s="17">
        <v>12.4</v>
      </c>
      <c r="E47" s="34" t="s">
        <v>65</v>
      </c>
      <c r="F47" s="17" t="s">
        <v>34</v>
      </c>
      <c r="G47" s="32">
        <v>4</v>
      </c>
      <c r="H47" s="20">
        <f>(167239*1.33)</f>
        <v>222427.87000000002</v>
      </c>
      <c r="I47" s="21">
        <f>G47*H47</f>
        <v>889711.4800000001</v>
      </c>
      <c r="J47" s="7"/>
      <c r="K47" s="1"/>
      <c r="L47" s="49">
        <f>(I47/$I$69)</f>
        <v>1.1596257263329969E-3</v>
      </c>
      <c r="M47" s="53">
        <f t="shared" si="0"/>
        <v>0.9877884216137407</v>
      </c>
    </row>
    <row r="48" spans="1:13" ht="30" customHeight="1" x14ac:dyDescent="0.3">
      <c r="A48" s="1"/>
      <c r="B48" s="6"/>
      <c r="C48" s="16">
        <v>40</v>
      </c>
      <c r="D48" s="35">
        <v>9.1199999999999992</v>
      </c>
      <c r="E48" s="22" t="s">
        <v>51</v>
      </c>
      <c r="F48" s="17" t="s">
        <v>34</v>
      </c>
      <c r="G48" s="32">
        <v>8</v>
      </c>
      <c r="H48" s="20">
        <f>(81917*1.33)</f>
        <v>108949.61</v>
      </c>
      <c r="I48" s="21">
        <f>G48*H48</f>
        <v>871596.88</v>
      </c>
      <c r="J48" s="7"/>
      <c r="K48" s="1"/>
      <c r="L48" s="49">
        <f>(I48/$I$69)</f>
        <v>1.1360156497470099E-3</v>
      </c>
      <c r="M48" s="53">
        <f t="shared" si="0"/>
        <v>0.98892443726348767</v>
      </c>
    </row>
    <row r="49" spans="1:13" ht="30" customHeight="1" x14ac:dyDescent="0.3">
      <c r="A49" s="1"/>
      <c r="B49" s="6"/>
      <c r="C49" s="16">
        <v>44</v>
      </c>
      <c r="D49" s="17">
        <v>10.3</v>
      </c>
      <c r="E49" s="22" t="s">
        <v>55</v>
      </c>
      <c r="F49" s="17" t="s">
        <v>34</v>
      </c>
      <c r="G49" s="32">
        <v>7</v>
      </c>
      <c r="H49" s="20">
        <f>(73665*1.33)</f>
        <v>97974.450000000012</v>
      </c>
      <c r="I49" s="21">
        <f>G49*H49</f>
        <v>685821.15000000014</v>
      </c>
      <c r="J49" s="7"/>
      <c r="K49" s="1"/>
      <c r="L49" s="49">
        <f>(I49/$I$69)</f>
        <v>8.938806198199007E-4</v>
      </c>
      <c r="M49" s="53">
        <f t="shared" si="0"/>
        <v>0.98981831788330754</v>
      </c>
    </row>
    <row r="50" spans="1:13" ht="30" customHeight="1" x14ac:dyDescent="0.3">
      <c r="A50" s="1"/>
      <c r="B50" s="6"/>
      <c r="C50" s="16">
        <v>21</v>
      </c>
      <c r="D50" s="17">
        <v>7.2</v>
      </c>
      <c r="E50" s="22" t="s">
        <v>31</v>
      </c>
      <c r="F50" s="17" t="s">
        <v>20</v>
      </c>
      <c r="G50" s="32">
        <v>6</v>
      </c>
      <c r="H50" s="20">
        <f>(85428*1.33)</f>
        <v>113619.24</v>
      </c>
      <c r="I50" s="21">
        <f>G50*H50</f>
        <v>681715.44000000006</v>
      </c>
      <c r="J50" s="7"/>
      <c r="K50" s="1"/>
      <c r="L50" s="49">
        <f>(I50/$I$69)</f>
        <v>8.8852934915757014E-4</v>
      </c>
      <c r="M50" s="53">
        <f t="shared" si="0"/>
        <v>0.99070684723246516</v>
      </c>
    </row>
    <row r="51" spans="1:13" x14ac:dyDescent="0.3">
      <c r="A51" s="1"/>
      <c r="B51" s="6"/>
      <c r="C51" s="16">
        <v>14</v>
      </c>
      <c r="D51" s="17">
        <v>5.2</v>
      </c>
      <c r="E51" s="22" t="s">
        <v>24</v>
      </c>
      <c r="F51" s="17" t="s">
        <v>20</v>
      </c>
      <c r="G51" s="32">
        <v>52.2</v>
      </c>
      <c r="H51" s="20">
        <f>(9624*1.33)</f>
        <v>12799.92</v>
      </c>
      <c r="I51" s="21">
        <f>G51*H51</f>
        <v>668155.82400000002</v>
      </c>
      <c r="J51" s="7"/>
      <c r="K51" s="1"/>
      <c r="L51" s="49">
        <f>(I51/$I$69)</f>
        <v>8.7085611473690545E-4</v>
      </c>
      <c r="M51" s="53">
        <f t="shared" si="0"/>
        <v>0.99157770334720208</v>
      </c>
    </row>
    <row r="52" spans="1:13" x14ac:dyDescent="0.3">
      <c r="A52" s="1"/>
      <c r="B52" s="6"/>
      <c r="C52" s="16">
        <v>42</v>
      </c>
      <c r="D52" s="17">
        <v>10.1</v>
      </c>
      <c r="E52" s="22" t="s">
        <v>53</v>
      </c>
      <c r="F52" s="17" t="s">
        <v>34</v>
      </c>
      <c r="G52" s="32">
        <v>1</v>
      </c>
      <c r="H52" s="20">
        <f>(489487*1.33)</f>
        <v>651017.71000000008</v>
      </c>
      <c r="I52" s="21">
        <f>G52*H52</f>
        <v>651017.71000000008</v>
      </c>
      <c r="J52" s="7"/>
      <c r="K52" s="1"/>
      <c r="L52" s="49">
        <f>(I52/$I$69)</f>
        <v>8.4851876342473883E-4</v>
      </c>
      <c r="M52" s="53">
        <f t="shared" si="0"/>
        <v>0.99242622211062681</v>
      </c>
    </row>
    <row r="53" spans="1:13" ht="28.5" x14ac:dyDescent="0.3">
      <c r="A53" s="1"/>
      <c r="B53" s="6"/>
      <c r="C53" s="16">
        <v>59</v>
      </c>
      <c r="D53" s="17">
        <v>13.5</v>
      </c>
      <c r="E53" s="34" t="s">
        <v>70</v>
      </c>
      <c r="F53" s="17" t="s">
        <v>34</v>
      </c>
      <c r="G53" s="32">
        <v>1</v>
      </c>
      <c r="H53" s="20">
        <f>(487272*1.33)</f>
        <v>648071.76</v>
      </c>
      <c r="I53" s="21">
        <f>G53*H53</f>
        <v>648071.76</v>
      </c>
      <c r="J53" s="7"/>
      <c r="K53" s="1"/>
      <c r="L53" s="49">
        <f>(I53/$I$69)</f>
        <v>8.4467909237936716E-4</v>
      </c>
      <c r="M53" s="53">
        <f t="shared" si="0"/>
        <v>0.99327090120300621</v>
      </c>
    </row>
    <row r="54" spans="1:13" ht="30" customHeight="1" x14ac:dyDescent="0.3">
      <c r="A54" s="1"/>
      <c r="B54" s="6"/>
      <c r="C54" s="16">
        <v>60</v>
      </c>
      <c r="D54" s="17">
        <v>14.1</v>
      </c>
      <c r="E54" s="34" t="s">
        <v>71</v>
      </c>
      <c r="F54" s="17" t="s">
        <v>20</v>
      </c>
      <c r="G54" s="32">
        <v>43.9</v>
      </c>
      <c r="H54" s="20">
        <f>(10764*1.33)</f>
        <v>14316.12</v>
      </c>
      <c r="I54" s="23">
        <f>G54*H54</f>
        <v>628477.66800000006</v>
      </c>
      <c r="J54" s="7"/>
      <c r="K54" s="1"/>
      <c r="L54" s="49">
        <f>(I54/$I$69)</f>
        <v>8.191406861902782E-4</v>
      </c>
      <c r="M54" s="53">
        <f t="shared" si="0"/>
        <v>0.99409004188919647</v>
      </c>
    </row>
    <row r="55" spans="1:13" ht="30" customHeight="1" x14ac:dyDescent="0.3">
      <c r="A55" s="1"/>
      <c r="B55" s="6"/>
      <c r="C55" s="16">
        <v>36</v>
      </c>
      <c r="D55" s="17">
        <v>9.8000000000000007</v>
      </c>
      <c r="E55" s="22" t="s">
        <v>47</v>
      </c>
      <c r="F55" s="17" t="s">
        <v>8</v>
      </c>
      <c r="G55" s="32">
        <v>12</v>
      </c>
      <c r="H55" s="20">
        <f>(35809*1.33)</f>
        <v>47625.97</v>
      </c>
      <c r="I55" s="21">
        <f>G55*H55</f>
        <v>571511.64</v>
      </c>
      <c r="J55" s="7"/>
      <c r="K55" s="1"/>
      <c r="L55" s="49">
        <f>(I55/$I$69)</f>
        <v>7.4489271583048715E-4</v>
      </c>
      <c r="M55" s="53">
        <f t="shared" si="0"/>
        <v>0.99483493460502692</v>
      </c>
    </row>
    <row r="56" spans="1:13" ht="30" customHeight="1" x14ac:dyDescent="0.3">
      <c r="A56" s="1"/>
      <c r="B56" s="6"/>
      <c r="C56" s="16">
        <v>46</v>
      </c>
      <c r="D56" s="17">
        <v>10.5</v>
      </c>
      <c r="E56" s="22" t="s">
        <v>57</v>
      </c>
      <c r="F56" s="17" t="s">
        <v>34</v>
      </c>
      <c r="G56" s="32">
        <v>4</v>
      </c>
      <c r="H56" s="20">
        <f>(103638*1.33)</f>
        <v>137838.54</v>
      </c>
      <c r="I56" s="21">
        <f>G56*H56</f>
        <v>551354.16</v>
      </c>
      <c r="J56" s="7"/>
      <c r="K56" s="1"/>
      <c r="L56" s="49">
        <f>(I56/$I$69)</f>
        <v>7.1862000505682952E-4</v>
      </c>
      <c r="M56" s="53">
        <f t="shared" si="0"/>
        <v>0.99555355461008377</v>
      </c>
    </row>
    <row r="57" spans="1:13" ht="30" customHeight="1" x14ac:dyDescent="0.3">
      <c r="A57" s="1"/>
      <c r="B57" s="6"/>
      <c r="C57" s="16">
        <v>48</v>
      </c>
      <c r="D57" s="17">
        <v>10.7</v>
      </c>
      <c r="E57" s="22" t="s">
        <v>59</v>
      </c>
      <c r="F57" s="17" t="s">
        <v>34</v>
      </c>
      <c r="G57" s="32">
        <v>1</v>
      </c>
      <c r="H57" s="20">
        <f>(368696*1.33)</f>
        <v>490365.68000000005</v>
      </c>
      <c r="I57" s="21">
        <f>G57*H57</f>
        <v>490365.68000000005</v>
      </c>
      <c r="J57" s="7"/>
      <c r="K57" s="1"/>
      <c r="L57" s="49">
        <f>(I57/$I$69)</f>
        <v>6.3912928024574198E-4</v>
      </c>
      <c r="M57" s="53">
        <f t="shared" si="0"/>
        <v>0.99619268389032956</v>
      </c>
    </row>
    <row r="58" spans="1:13" ht="30" customHeight="1" x14ac:dyDescent="0.3">
      <c r="A58" s="1"/>
      <c r="B58" s="6"/>
      <c r="C58" s="16">
        <v>34</v>
      </c>
      <c r="D58" s="17">
        <v>9.6</v>
      </c>
      <c r="E58" s="22" t="s">
        <v>45</v>
      </c>
      <c r="F58" s="17" t="s">
        <v>8</v>
      </c>
      <c r="G58" s="32">
        <v>26</v>
      </c>
      <c r="H58" s="20">
        <f>(12326*1.33)</f>
        <v>16393.580000000002</v>
      </c>
      <c r="I58" s="21">
        <f>G58*H58</f>
        <v>426233.08000000007</v>
      </c>
      <c r="J58" s="7"/>
      <c r="K58" s="1"/>
      <c r="L58" s="49">
        <f>(I58/$I$69)</f>
        <v>5.5554059500519245E-4</v>
      </c>
      <c r="M58" s="53">
        <f t="shared" si="0"/>
        <v>0.99674822448533473</v>
      </c>
    </row>
    <row r="59" spans="1:13" ht="30" customHeight="1" x14ac:dyDescent="0.3">
      <c r="A59" s="1"/>
      <c r="B59" s="6"/>
      <c r="C59" s="16">
        <v>33</v>
      </c>
      <c r="D59" s="17">
        <v>9.5</v>
      </c>
      <c r="E59" s="22" t="s">
        <v>44</v>
      </c>
      <c r="F59" s="17" t="s">
        <v>34</v>
      </c>
      <c r="G59" s="32">
        <v>3</v>
      </c>
      <c r="H59" s="20">
        <f>(103744*1.33)</f>
        <v>137979.52000000002</v>
      </c>
      <c r="I59" s="21">
        <f>G59*H59</f>
        <v>413938.56000000006</v>
      </c>
      <c r="J59" s="7"/>
      <c r="K59" s="1"/>
      <c r="L59" s="49">
        <f>(I59/$I$69)</f>
        <v>5.3951625227678841E-4</v>
      </c>
      <c r="M59" s="53">
        <f t="shared" si="0"/>
        <v>0.99728774073761151</v>
      </c>
    </row>
    <row r="60" spans="1:13" ht="30" customHeight="1" x14ac:dyDescent="0.3">
      <c r="A60" s="1"/>
      <c r="B60" s="6"/>
      <c r="C60" s="16">
        <v>35</v>
      </c>
      <c r="D60" s="17">
        <v>9.6999999999999993</v>
      </c>
      <c r="E60" s="22" t="s">
        <v>46</v>
      </c>
      <c r="F60" s="17" t="s">
        <v>8</v>
      </c>
      <c r="G60" s="32">
        <v>20</v>
      </c>
      <c r="H60" s="20">
        <f>(15241*1.33)</f>
        <v>20270.530000000002</v>
      </c>
      <c r="I60" s="21">
        <f>G60*H60</f>
        <v>405410.60000000003</v>
      </c>
      <c r="J60" s="7"/>
      <c r="K60" s="1"/>
      <c r="L60" s="49">
        <f>(I60/$I$69)</f>
        <v>5.2840114133190241E-4</v>
      </c>
      <c r="M60" s="53">
        <f t="shared" si="0"/>
        <v>0.99781614187894341</v>
      </c>
    </row>
    <row r="61" spans="1:13" ht="30" customHeight="1" x14ac:dyDescent="0.3">
      <c r="A61" s="1"/>
      <c r="B61" s="6"/>
      <c r="C61" s="16">
        <v>37</v>
      </c>
      <c r="D61" s="17">
        <v>9.9</v>
      </c>
      <c r="E61" s="22" t="s">
        <v>48</v>
      </c>
      <c r="F61" s="17" t="s">
        <v>8</v>
      </c>
      <c r="G61" s="32">
        <v>6</v>
      </c>
      <c r="H61" s="20">
        <f>(49016*1.33)</f>
        <v>65191.280000000006</v>
      </c>
      <c r="I61" s="21">
        <f>G61*H61</f>
        <v>391147.68000000005</v>
      </c>
      <c r="J61" s="7"/>
      <c r="K61" s="1"/>
      <c r="L61" s="49">
        <f>(I61/$I$69)</f>
        <v>5.0981123962058649E-4</v>
      </c>
      <c r="M61" s="53">
        <f t="shared" si="0"/>
        <v>0.99832595311856398</v>
      </c>
    </row>
    <row r="62" spans="1:13" ht="30" customHeight="1" x14ac:dyDescent="0.3">
      <c r="A62" s="1"/>
      <c r="B62" s="6"/>
      <c r="C62" s="16">
        <v>58</v>
      </c>
      <c r="D62" s="17">
        <v>13.4</v>
      </c>
      <c r="E62" s="34" t="s">
        <v>69</v>
      </c>
      <c r="F62" s="17" t="s">
        <v>34</v>
      </c>
      <c r="G62" s="32">
        <v>2</v>
      </c>
      <c r="H62" s="20">
        <f>(122456*1.33)</f>
        <v>162866.48000000001</v>
      </c>
      <c r="I62" s="21">
        <f>G62*H62</f>
        <v>325732.96000000002</v>
      </c>
      <c r="J62" s="7"/>
      <c r="K62" s="1"/>
      <c r="L62" s="49">
        <f>(I62/$I$69)</f>
        <v>4.2455147406954551E-4</v>
      </c>
      <c r="M62" s="53">
        <f t="shared" si="0"/>
        <v>0.99875050459263348</v>
      </c>
    </row>
    <row r="63" spans="1:13" ht="30" customHeight="1" x14ac:dyDescent="0.3">
      <c r="A63" s="1"/>
      <c r="B63" s="6"/>
      <c r="C63" s="16">
        <v>17</v>
      </c>
      <c r="D63" s="17">
        <v>6.1</v>
      </c>
      <c r="E63" s="22" t="s">
        <v>27</v>
      </c>
      <c r="F63" s="17" t="s">
        <v>8</v>
      </c>
      <c r="G63" s="32">
        <v>5.9</v>
      </c>
      <c r="H63" s="20">
        <f>(31617*1.33)</f>
        <v>42050.61</v>
      </c>
      <c r="I63" s="21">
        <f>G63*H63</f>
        <v>248098.59900000002</v>
      </c>
      <c r="J63" s="7"/>
      <c r="K63" s="1"/>
      <c r="L63" s="49">
        <f>(I63/$I$69)</f>
        <v>3.2336496104059924E-4</v>
      </c>
      <c r="M63" s="53">
        <f t="shared" si="0"/>
        <v>0.99907386955367405</v>
      </c>
    </row>
    <row r="64" spans="1:13" ht="30" customHeight="1" x14ac:dyDescent="0.3">
      <c r="A64" s="1"/>
      <c r="B64" s="6"/>
      <c r="C64" s="16">
        <v>10</v>
      </c>
      <c r="D64" s="17">
        <v>4.2</v>
      </c>
      <c r="E64" s="22" t="s">
        <v>19</v>
      </c>
      <c r="F64" s="17" t="s">
        <v>20</v>
      </c>
      <c r="G64" s="32">
        <v>1.35</v>
      </c>
      <c r="H64" s="20">
        <f>(129893*1.33)</f>
        <v>172757.69</v>
      </c>
      <c r="I64" s="23">
        <f>G64*H64</f>
        <v>233222.88150000002</v>
      </c>
      <c r="J64" s="7"/>
      <c r="K64" s="1"/>
      <c r="L64" s="49">
        <f>(I64/$I$69)</f>
        <v>3.0397635574727205E-4</v>
      </c>
      <c r="M64" s="53">
        <f t="shared" si="0"/>
        <v>0.99937784590942136</v>
      </c>
    </row>
    <row r="65" spans="1:15" ht="30" customHeight="1" x14ac:dyDescent="0.3">
      <c r="A65" s="1"/>
      <c r="B65" s="6"/>
      <c r="C65" s="16">
        <v>2</v>
      </c>
      <c r="D65" s="17">
        <v>1.2</v>
      </c>
      <c r="E65" s="22" t="s">
        <v>9</v>
      </c>
      <c r="F65" s="17" t="s">
        <v>10</v>
      </c>
      <c r="G65" s="32">
        <v>12</v>
      </c>
      <c r="H65" s="20">
        <f>(11760*1.33)</f>
        <v>15640.800000000001</v>
      </c>
      <c r="I65" s="23">
        <f>G65*H65</f>
        <v>187689.60000000001</v>
      </c>
      <c r="J65" s="7"/>
      <c r="K65" s="1"/>
      <c r="L65" s="49">
        <f>(I65/$I$69)</f>
        <v>2.4462951599225137E-4</v>
      </c>
      <c r="M65" s="53">
        <f t="shared" si="0"/>
        <v>0.9996224754254136</v>
      </c>
    </row>
    <row r="66" spans="1:15" ht="30" customHeight="1" x14ac:dyDescent="0.3">
      <c r="A66" s="1"/>
      <c r="B66" s="6"/>
      <c r="C66" s="16">
        <v>13</v>
      </c>
      <c r="D66" s="17">
        <v>5.0999999999999996</v>
      </c>
      <c r="E66" s="22" t="s">
        <v>23</v>
      </c>
      <c r="F66" s="17" t="s">
        <v>8</v>
      </c>
      <c r="G66" s="32">
        <v>11.2</v>
      </c>
      <c r="H66" s="20">
        <f>(10267*1.33)</f>
        <v>13655.11</v>
      </c>
      <c r="I66" s="23">
        <f>G66*H66</f>
        <v>152937.23199999999</v>
      </c>
      <c r="J66" s="7"/>
      <c r="K66" s="1"/>
      <c r="L66" s="49">
        <f>(I66/$I$69)</f>
        <v>1.9933422545178131E-4</v>
      </c>
      <c r="M66" s="53">
        <f t="shared" si="0"/>
        <v>0.99982180965086542</v>
      </c>
    </row>
    <row r="67" spans="1:15" ht="30" customHeight="1" x14ac:dyDescent="0.3">
      <c r="A67" s="1"/>
      <c r="B67" s="6"/>
      <c r="C67" s="16">
        <v>41</v>
      </c>
      <c r="D67" s="35">
        <v>9.1300000000000008</v>
      </c>
      <c r="E67" s="22" t="s">
        <v>52</v>
      </c>
      <c r="F67" s="17" t="s">
        <v>34</v>
      </c>
      <c r="G67" s="32">
        <v>1</v>
      </c>
      <c r="H67" s="20">
        <f>(102793*1.33)</f>
        <v>136714.69</v>
      </c>
      <c r="I67" s="23">
        <f>G67*H67</f>
        <v>136714.69</v>
      </c>
      <c r="J67" s="7"/>
      <c r="K67" s="1"/>
      <c r="L67" s="49">
        <f>(I67/$I$69)</f>
        <v>1.7819020576382861E-4</v>
      </c>
      <c r="M67" s="53">
        <f t="shared" si="0"/>
        <v>0.99999999985662924</v>
      </c>
    </row>
    <row r="68" spans="1:15" s="39" customFormat="1" ht="15.75" x14ac:dyDescent="0.25">
      <c r="A68" s="36"/>
      <c r="B68" s="37"/>
      <c r="C68" s="40"/>
      <c r="D68" s="40"/>
      <c r="E68" s="40"/>
      <c r="F68" s="40"/>
      <c r="G68" s="40"/>
      <c r="H68" s="40"/>
      <c r="I68" s="41"/>
      <c r="J68" s="38"/>
      <c r="K68" s="36"/>
      <c r="L68" s="50"/>
      <c r="O68" s="59"/>
    </row>
    <row r="69" spans="1:15" s="39" customFormat="1" ht="30" customHeight="1" x14ac:dyDescent="0.25">
      <c r="A69" s="36"/>
      <c r="B69" s="37"/>
      <c r="C69" s="42"/>
      <c r="D69" s="43"/>
      <c r="E69" s="44" t="s">
        <v>75</v>
      </c>
      <c r="F69" s="45"/>
      <c r="G69" s="46"/>
      <c r="H69" s="47"/>
      <c r="I69" s="48">
        <f>SUM(I5:I68)+0.11</f>
        <v>767240205.00430977</v>
      </c>
      <c r="J69" s="38"/>
      <c r="K69" s="36"/>
      <c r="L69" s="50"/>
      <c r="O69" s="59"/>
    </row>
  </sheetData>
  <autoFilter ref="C3:L4" xr:uid="{E407FEB3-BED9-4BB1-A17F-227362FB5B03}">
    <sortState xmlns:xlrd2="http://schemas.microsoft.com/office/spreadsheetml/2017/richdata2" ref="C6:L67">
      <sortCondition descending="1" ref="L3:L4"/>
    </sortState>
  </autoFilter>
  <mergeCells count="12">
    <mergeCell ref="L3:L4"/>
    <mergeCell ref="M3:M4"/>
    <mergeCell ref="N3:N4"/>
    <mergeCell ref="N5:N15"/>
    <mergeCell ref="O3:T4"/>
    <mergeCell ref="H3:H4"/>
    <mergeCell ref="I3:I4"/>
    <mergeCell ref="C3:C4"/>
    <mergeCell ref="D3:D4"/>
    <mergeCell ref="E3:E4"/>
    <mergeCell ref="F3:F4"/>
    <mergeCell ref="G3:G4"/>
  </mergeCells>
  <pageMargins left="0.11811023622047245" right="0.11811023622047245" top="0.15748031496062992" bottom="0.15748031496062992" header="0.31496062992125984" footer="0.31496062992125984"/>
  <pageSetup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RELEVANTES</vt:lpstr>
      <vt:lpstr>'BIENES RELEVANTES'!Área_de_impresión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Infra_SubG</dc:creator>
  <cp:lastModifiedBy>Infra_SubG</cp:lastModifiedBy>
  <dcterms:created xsi:type="dcterms:W3CDTF">2024-09-20T17:46:29Z</dcterms:created>
  <dcterms:modified xsi:type="dcterms:W3CDTF">2024-09-20T19:58:08Z</dcterms:modified>
</cp:coreProperties>
</file>