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https://mcultura-my.sharepoint.com/personal/mescobars_mincultura_gov_co/Documents/@2024/TORRE CENTRAL PRIMEROS AUXILIOS/ESTRUCTURACION/VERSION 6 241127 PREPLIEGOS/"/>
    </mc:Choice>
  </mc:AlternateContent>
  <xr:revisionPtr revIDLastSave="6" documentId="8_{A9783B75-1346-4463-9B55-FD6A25E54797}" xr6:coauthVersionLast="47" xr6:coauthVersionMax="47" xr10:uidLastSave="{FB6B1772-496E-474E-AC3C-704FBC6506E8}"/>
  <bookViews>
    <workbookView xWindow="-120" yWindow="-120" windowWidth="29040" windowHeight="15720" xr2:uid="{7BEED356-9248-4B0D-B676-1995A2526601}"/>
  </bookViews>
  <sheets>
    <sheet name="EST. MERCADO" sheetId="1" r:id="rId1"/>
    <sheet name="Hoja1" sheetId="2" state="hidden" r:id="rId2"/>
  </sheets>
  <definedNames>
    <definedName name="Acero">#REF!</definedName>
    <definedName name="Agregados">#REF!</definedName>
    <definedName name="Apar.Sanitarios">#REF!</definedName>
    <definedName name="_xlnm.Print_Area" localSheetId="0">'EST. MERCADO'!$A$1:$Q$42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7" i="1" l="1"/>
  <c r="O27" i="1" s="1"/>
  <c r="M26" i="1"/>
  <c r="O26" i="1" s="1"/>
  <c r="O14" i="1"/>
  <c r="P14" i="1" s="1"/>
  <c r="O11" i="1"/>
  <c r="O12" i="1"/>
  <c r="O13" i="1"/>
  <c r="O15" i="1"/>
  <c r="O17" i="1"/>
  <c r="O18" i="1"/>
  <c r="O20" i="1"/>
  <c r="O21" i="1"/>
  <c r="O22" i="1"/>
  <c r="B5" i="2" l="1"/>
  <c r="F17" i="1"/>
  <c r="F19" i="1"/>
  <c r="F20" i="1"/>
  <c r="F22" i="1"/>
  <c r="F12" i="1"/>
  <c r="F13" i="1"/>
  <c r="F14" i="1"/>
  <c r="F15" i="1"/>
  <c r="M25" i="1"/>
  <c r="M11" i="1"/>
  <c r="M22" i="1"/>
  <c r="M21" i="1"/>
  <c r="M20" i="1"/>
  <c r="M18" i="1"/>
  <c r="M17" i="1"/>
  <c r="M15" i="1"/>
  <c r="M14" i="1"/>
  <c r="M13" i="1"/>
  <c r="M12" i="1"/>
  <c r="P20" i="1" l="1"/>
  <c r="Q20" i="1" s="1"/>
  <c r="P22" i="1"/>
  <c r="Q22" i="1" s="1"/>
  <c r="P17" i="1"/>
  <c r="Q17" i="1" s="1"/>
  <c r="P15" i="1"/>
  <c r="Q15" i="1" s="1"/>
  <c r="Q14" i="1"/>
  <c r="P13" i="1"/>
  <c r="Q13" i="1" s="1"/>
  <c r="P12" i="1"/>
  <c r="Q12" i="1" s="1"/>
  <c r="N15" i="1" l="1"/>
  <c r="J20" i="1"/>
  <c r="J15" i="1"/>
  <c r="L20" i="1"/>
  <c r="L15" i="1"/>
  <c r="N20" i="1"/>
  <c r="H15" i="1"/>
  <c r="H20" i="1"/>
  <c r="J22" i="1" l="1"/>
  <c r="D21" i="1"/>
  <c r="F21" i="1" s="1"/>
  <c r="J17" i="1"/>
  <c r="J14" i="1"/>
  <c r="J13" i="1"/>
  <c r="J12" i="1"/>
  <c r="D11" i="1"/>
  <c r="F11" i="1" s="1"/>
  <c r="P21" i="1" l="1"/>
  <c r="Q21" i="1" s="1"/>
  <c r="P11" i="1"/>
  <c r="J11" i="1"/>
  <c r="J21" i="1"/>
  <c r="H14" i="1"/>
  <c r="N14" i="1"/>
  <c r="L14" i="1"/>
  <c r="D18" i="1"/>
  <c r="F18" i="1" s="1"/>
  <c r="F24" i="1" s="1"/>
  <c r="B6" i="2" s="1"/>
  <c r="N17" i="1"/>
  <c r="L17" i="1"/>
  <c r="H17" i="1"/>
  <c r="H21" i="1"/>
  <c r="N21" i="1"/>
  <c r="L21" i="1"/>
  <c r="N11" i="1"/>
  <c r="L11" i="1"/>
  <c r="H11" i="1"/>
  <c r="L12" i="1"/>
  <c r="H12" i="1"/>
  <c r="N12" i="1"/>
  <c r="H22" i="1"/>
  <c r="N22" i="1"/>
  <c r="L22" i="1"/>
  <c r="L13" i="1"/>
  <c r="N13" i="1"/>
  <c r="H13" i="1"/>
  <c r="Q11" i="1" l="1"/>
  <c r="F25" i="1"/>
  <c r="F27" i="1"/>
  <c r="F28" i="1" s="1"/>
  <c r="F26" i="1"/>
  <c r="P18" i="1"/>
  <c r="Q18" i="1" s="1"/>
  <c r="J18" i="1"/>
  <c r="J24" i="1" s="1"/>
  <c r="J27" i="1" s="1"/>
  <c r="J28" i="1" s="1"/>
  <c r="H18" i="1"/>
  <c r="H24" i="1" s="1"/>
  <c r="L18" i="1"/>
  <c r="L24" i="1" s="1"/>
  <c r="N18" i="1"/>
  <c r="P24" i="1" l="1"/>
  <c r="B7" i="2" s="1"/>
  <c r="F29" i="1"/>
  <c r="C6" i="2" s="1"/>
  <c r="J25" i="1"/>
  <c r="J26" i="1"/>
  <c r="N24" i="1"/>
  <c r="N26" i="1" s="1"/>
  <c r="Q24" i="1"/>
  <c r="L27" i="1"/>
  <c r="L28" i="1" s="1"/>
  <c r="L26" i="1"/>
  <c r="L25" i="1"/>
  <c r="H27" i="1"/>
  <c r="H28" i="1" s="1"/>
  <c r="H25" i="1"/>
  <c r="H26" i="1"/>
  <c r="Q27" i="1" l="1"/>
  <c r="Q28" i="1" s="1"/>
  <c r="B8" i="2"/>
  <c r="Q25" i="1"/>
  <c r="Q26" i="1"/>
  <c r="P27" i="1"/>
  <c r="P28" i="1" s="1"/>
  <c r="P26" i="1"/>
  <c r="P25" i="1"/>
  <c r="J29" i="1"/>
  <c r="N25" i="1"/>
  <c r="N27" i="1"/>
  <c r="N28" i="1" s="1"/>
  <c r="L29" i="1"/>
  <c r="H29" i="1"/>
  <c r="P29" i="1" l="1"/>
  <c r="C7" i="2" s="1"/>
  <c r="Q29" i="1"/>
  <c r="C8" i="2" s="1"/>
  <c r="N29" i="1"/>
  <c r="C5" i="2" s="1"/>
</calcChain>
</file>

<file path=xl/sharedStrings.xml><?xml version="1.0" encoding="utf-8"?>
<sst xmlns="http://schemas.openxmlformats.org/spreadsheetml/2006/main" count="74" uniqueCount="55">
  <si>
    <t>REF</t>
  </si>
  <si>
    <t>ÍTEM</t>
  </si>
  <si>
    <t>UN</t>
  </si>
  <si>
    <t xml:space="preserve">CANT </t>
  </si>
  <si>
    <t xml:space="preserve">LIMPIEZA, RETIROS Y DESMONTES </t>
  </si>
  <si>
    <t>ml</t>
  </si>
  <si>
    <t>m2</t>
  </si>
  <si>
    <t>Retiro de cuerpos vegetales de todas las tallas, con motosierra o retiro manual con extracción, y carga manual a camión.</t>
  </si>
  <si>
    <t>Acopio y manejo  de escombros dentro de la obra. Contempla posterior  retiro a escombrera certificada.</t>
  </si>
  <si>
    <t>m3</t>
  </si>
  <si>
    <t xml:space="preserve">SOBRECUBIERTA </t>
  </si>
  <si>
    <t xml:space="preserve">Suministro y construcción de sobrecubierta del área a cubrir. Estructura de guadua conformada por columnas de apoyo, puntales y riostras en vara de guadua y correas en repisa de madera pino Radiatta 4X6. cubierta en teja de zinc calibre 35. H=1,70 hasta 2,20M. </t>
  </si>
  <si>
    <t xml:space="preserve">m2 </t>
  </si>
  <si>
    <t xml:space="preserve">OTRAS ACTIVIDADES </t>
  </si>
  <si>
    <t xml:space="preserve">Und </t>
  </si>
  <si>
    <t>Hr</t>
  </si>
  <si>
    <t xml:space="preserve">Viajes en Volqueta para retiro de material </t>
  </si>
  <si>
    <t>Viaj</t>
  </si>
  <si>
    <t>COSTO DIRECTO</t>
  </si>
  <si>
    <t>ADMINISTRACIÓN</t>
  </si>
  <si>
    <t>IMPREVISTOS</t>
  </si>
  <si>
    <t>UTILIDAD</t>
  </si>
  <si>
    <t>IVA (SOBRE UTILIDAD)</t>
  </si>
  <si>
    <t>VALOR TOTAL</t>
  </si>
  <si>
    <t>DATOS DEL PROVEEDOR:</t>
  </si>
  <si>
    <t>VALOR UNITARIO</t>
  </si>
  <si>
    <t>ENTIDAD</t>
  </si>
  <si>
    <t xml:space="preserve">Retiro del manto asfaltico existente en las cubiertas del volumen de hospitalización y de urgencias del Edificio Central </t>
  </si>
  <si>
    <t xml:space="preserve">Limpieza y desinfección del piso 4 y del piso 9 del Edificio Central por control de vectores </t>
  </si>
  <si>
    <t>Estudios y diseños estructurales de la sobrecubierta y trámite del permiso ante el Ministerio de las Culturas, las Artes y los Saberes.</t>
  </si>
  <si>
    <t>Taponamiento de las ventanas que se encuentran faltantes de vidrios con superboard RH en el piso 9 del Edificio Central</t>
  </si>
  <si>
    <t xml:space="preserve">Acarreo de material, ingreso y retiro desde los pisos cubierta, piso 9 y piso 4 del edificio Central </t>
  </si>
  <si>
    <t>VALOR INDEXADO 2025</t>
  </si>
  <si>
    <t>PROMEDIO DEL MERCADO</t>
  </si>
  <si>
    <t>PRESUPUESTO OFICIAL</t>
  </si>
  <si>
    <t>PROVEEDOR 1</t>
  </si>
  <si>
    <t>PROVEEDOR 2</t>
  </si>
  <si>
    <t>PROVEEDOR 3</t>
  </si>
  <si>
    <t>VALOR COSTO DIRECTO</t>
  </si>
  <si>
    <t>PROVEEDOR</t>
  </si>
  <si>
    <t>PRESUPUESTO ENTIDAD</t>
  </si>
  <si>
    <t>PRESUPUESTO OFICIAL 2024</t>
  </si>
  <si>
    <t>PRESUPUESTO OFICIAL INDEXADO 2025</t>
  </si>
  <si>
    <t>PROVEEDOR 1:</t>
  </si>
  <si>
    <t>NOMBRE: MaRo Arquitectura SAS BIC</t>
  </si>
  <si>
    <t>NIT: 901 608 621-3</t>
  </si>
  <si>
    <t>NOMBRE: ARQUITECTOS RESTAURADORES SAS</t>
  </si>
  <si>
    <t>NIT: 900.674.423 - 9</t>
  </si>
  <si>
    <t>PROVEEDOR 2:</t>
  </si>
  <si>
    <t>NOMBRE:Estudios Geotécnicos Colombianos SAS</t>
  </si>
  <si>
    <t>NIT: 901469284-7</t>
  </si>
  <si>
    <t>PROVEEDOR 3:</t>
  </si>
  <si>
    <t>Desmonte del revoque cornisa perimetral de concreto que hace parte de las adiciones realizadas a la cubierta del volumen de Hospitalización por riesgo de desprendimientos, con medios manuales, sin deteriorar los elementos constructivos contiguos, y carga manual sobre camión o contenedor.</t>
  </si>
  <si>
    <t>ANÁLISIS DEL ESTUDIO DE MERCADO Y PROYECCIÓN DEL PRESUPUESTO OFICIAL</t>
  </si>
  <si>
    <t>OBJETO: Realizar las obras de primeros auxilios y reparaciones locativas para los inmuebles denominados Edifico Central y Torre Docente en el Hospital San juan de Dios e Instituto Materno Infantil.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</si>
</sst>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0.0"/>
    <numFmt numFmtId="166" formatCode="_-&quot;$&quot;\ * #,##0_-;\-&quot;$&quot;\ * #,##0_-;_-&quot;$&quot;\ * &quot;-&quot;??_-;_-@_-"/>
    <numFmt numFmtId="167" formatCode="0.0%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Aptos Narrow"/>
      <family val="2"/>
      <scheme val="minor"/>
    </font>
    <font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4" fontId="3" fillId="0" borderId="0" xfId="1" applyFont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9" fontId="3" fillId="3" borderId="1" xfId="1" applyNumberFormat="1" applyFont="1" applyFill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9" fontId="3" fillId="3" borderId="1" xfId="2" applyFont="1" applyFill="1" applyBorder="1" applyAlignment="1">
      <alignment horizontal="center" vertical="center"/>
    </xf>
    <xf numFmtId="10" fontId="3" fillId="0" borderId="1" xfId="2" applyNumberFormat="1" applyFont="1" applyBorder="1" applyAlignment="1">
      <alignment horizontal="center" vertical="center" wrapText="1"/>
    </xf>
    <xf numFmtId="166" fontId="3" fillId="3" borderId="1" xfId="1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left" vertical="center"/>
    </xf>
    <xf numFmtId="166" fontId="3" fillId="0" borderId="1" xfId="0" applyNumberFormat="1" applyFont="1" applyBorder="1" applyAlignment="1">
      <alignment horizontal="left" vertical="center"/>
    </xf>
    <xf numFmtId="166" fontId="0" fillId="0" borderId="0" xfId="1" applyNumberFormat="1" applyFont="1"/>
    <xf numFmtId="166" fontId="5" fillId="0" borderId="0" xfId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/>
    <xf numFmtId="0" fontId="3" fillId="0" borderId="1" xfId="0" applyFont="1" applyBorder="1"/>
    <xf numFmtId="167" fontId="3" fillId="3" borderId="1" xfId="2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ESTUDIO DE MERCADO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Hoja1!$B$1</c:f>
              <c:strCache>
                <c:ptCount val="1"/>
                <c:pt idx="0">
                  <c:v> VALOR COSTO DIRECTO </c:v>
                </c:pt>
              </c:strCache>
            </c:strRef>
          </c:tx>
          <c:spPr>
            <a:solidFill>
              <a:schemeClr val="accent5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Hoja1!$A$2:$A$5</c:f>
              <c:strCache>
                <c:ptCount val="4"/>
                <c:pt idx="0">
                  <c:v>PROVEEDOR 1</c:v>
                </c:pt>
                <c:pt idx="1">
                  <c:v>PROVEEDOR 2</c:v>
                </c:pt>
                <c:pt idx="2">
                  <c:v>PROVEEDOR 3</c:v>
                </c:pt>
                <c:pt idx="3">
                  <c:v>PROMEDIO DEL MERCADO</c:v>
                </c:pt>
              </c:strCache>
            </c:strRef>
          </c:cat>
          <c:val>
            <c:numRef>
              <c:f>Hoja1!$B$2:$B$5</c:f>
              <c:numCache>
                <c:formatCode>_-"$"\ * #,##0_-;\-"$"\ * #,##0_-;_-"$"\ * "-"??_-;_-@_-</c:formatCode>
                <c:ptCount val="4"/>
                <c:pt idx="0">
                  <c:v>299844763</c:v>
                </c:pt>
                <c:pt idx="1">
                  <c:v>961596800</c:v>
                </c:pt>
                <c:pt idx="2">
                  <c:v>745014488</c:v>
                </c:pt>
                <c:pt idx="3">
                  <c:v>668818683.66666663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A6-44DC-ADE5-9BDBDAFE7BA7}"/>
            </c:ext>
          </c:extLst>
        </c:ser>
        <c:ser>
          <c:idx val="1"/>
          <c:order val="1"/>
          <c:tx>
            <c:strRef>
              <c:f>Hoja1!$C$1</c:f>
              <c:strCache>
                <c:ptCount val="1"/>
                <c:pt idx="0">
                  <c:v>VALOR TOTAL</c:v>
                </c:pt>
              </c:strCache>
            </c:strRef>
          </c:tx>
          <c:spPr>
            <a:solidFill>
              <a:schemeClr val="accent5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Hoja1!$A$2:$A$5</c:f>
              <c:strCache>
                <c:ptCount val="4"/>
                <c:pt idx="0">
                  <c:v>PROVEEDOR 1</c:v>
                </c:pt>
                <c:pt idx="1">
                  <c:v>PROVEEDOR 2</c:v>
                </c:pt>
                <c:pt idx="2">
                  <c:v>PROVEEDOR 3</c:v>
                </c:pt>
                <c:pt idx="3">
                  <c:v>PROMEDIO DEL MERCADO</c:v>
                </c:pt>
              </c:strCache>
            </c:strRef>
          </c:cat>
          <c:val>
            <c:numRef>
              <c:f>Hoja1!$C$2:$C$5</c:f>
              <c:numCache>
                <c:formatCode>_-"$"\ * #,##0_-;\-"$"\ * #,##0_-;_-"$"\ * "-"??_-;_-@_-</c:formatCode>
                <c:ptCount val="4"/>
                <c:pt idx="0">
                  <c:v>403351175.18760002</c:v>
                </c:pt>
                <c:pt idx="1">
                  <c:v>1124587457.5999999</c:v>
                </c:pt>
                <c:pt idx="2">
                  <c:v>954661564.92320001</c:v>
                </c:pt>
                <c:pt idx="3">
                  <c:v>847277343.63383102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A6-44DC-ADE5-9BDBDAFE7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5437951"/>
        <c:axId val="1295438367"/>
      </c:barChart>
      <c:catAx>
        <c:axId val="1295437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95438367"/>
        <c:crosses val="autoZero"/>
        <c:auto val="1"/>
        <c:lblAlgn val="ctr"/>
        <c:lblOffset val="100"/>
        <c:noMultiLvlLbl val="0"/>
      </c:catAx>
      <c:valAx>
        <c:axId val="1295438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\ * #,##0_-;\-&quot;$&quot;\ * #,##0_-;_-&quot;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95437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PRESUPUESTO OFICIAL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Hoja1!$B$1</c:f>
              <c:strCache>
                <c:ptCount val="1"/>
                <c:pt idx="0">
                  <c:v> VALOR COSTO DIRECTO </c:v>
                </c:pt>
              </c:strCache>
            </c:strRef>
          </c:tx>
          <c:spPr>
            <a:solidFill>
              <a:schemeClr val="accent5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Hoja1!$A$5:$A$8</c:f>
              <c:strCache>
                <c:ptCount val="4"/>
                <c:pt idx="0">
                  <c:v>PROMEDIO DEL MERCADO</c:v>
                </c:pt>
                <c:pt idx="1">
                  <c:v>PRESUPUESTO ENTIDAD</c:v>
                </c:pt>
                <c:pt idx="2">
                  <c:v>PRESUPUESTO OFICIAL 2024</c:v>
                </c:pt>
                <c:pt idx="3">
                  <c:v>PRESUPUESTO OFICIAL INDEXADO 2025</c:v>
                </c:pt>
              </c:strCache>
            </c:strRef>
          </c:cat>
          <c:val>
            <c:numRef>
              <c:f>Hoja1!$B$5:$B$8</c:f>
              <c:numCache>
                <c:formatCode>_-"$"\ * #,##0_-;\-"$"\ * #,##0_-;_-"$"\ * "-"??_-;_-@_-</c:formatCode>
                <c:ptCount val="4"/>
                <c:pt idx="0">
                  <c:v>668818683.66666663</c:v>
                </c:pt>
                <c:pt idx="1">
                  <c:v>670488812</c:v>
                </c:pt>
                <c:pt idx="2">
                  <c:v>669236219</c:v>
                </c:pt>
                <c:pt idx="3">
                  <c:v>707382688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59-4B3D-9D12-68719A76493E}"/>
            </c:ext>
          </c:extLst>
        </c:ser>
        <c:ser>
          <c:idx val="1"/>
          <c:order val="1"/>
          <c:tx>
            <c:strRef>
              <c:f>Hoja1!$C$1</c:f>
              <c:strCache>
                <c:ptCount val="1"/>
                <c:pt idx="0">
                  <c:v>VALOR TOTAL</c:v>
                </c:pt>
              </c:strCache>
            </c:strRef>
          </c:tx>
          <c:spPr>
            <a:solidFill>
              <a:schemeClr val="accent5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Hoja1!$A$5:$A$8</c:f>
              <c:strCache>
                <c:ptCount val="4"/>
                <c:pt idx="0">
                  <c:v>PROMEDIO DEL MERCADO</c:v>
                </c:pt>
                <c:pt idx="1">
                  <c:v>PRESUPUESTO ENTIDAD</c:v>
                </c:pt>
                <c:pt idx="2">
                  <c:v>PRESUPUESTO OFICIAL 2024</c:v>
                </c:pt>
                <c:pt idx="3">
                  <c:v>PRESUPUESTO OFICIAL INDEXADO 2025</c:v>
                </c:pt>
              </c:strCache>
            </c:strRef>
          </c:cat>
          <c:val>
            <c:numRef>
              <c:f>Hoja1!$C$5:$C$8</c:f>
              <c:numCache>
                <c:formatCode>_-"$"\ * #,##0_-;\-"$"\ * #,##0_-;_-"$"\ * "-"??_-;_-@_-</c:formatCode>
                <c:ptCount val="4"/>
                <c:pt idx="0">
                  <c:v>847277343.63383102</c:v>
                </c:pt>
                <c:pt idx="1">
                  <c:v>922257360.90600002</c:v>
                </c:pt>
                <c:pt idx="2">
                  <c:v>927668477.32904005</c:v>
                </c:pt>
                <c:pt idx="3">
                  <c:v>980545586.79807997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59-4B3D-9D12-68719A7649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5437951"/>
        <c:axId val="1295438367"/>
      </c:barChart>
      <c:catAx>
        <c:axId val="1295437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95438367"/>
        <c:crosses val="autoZero"/>
        <c:auto val="1"/>
        <c:lblAlgn val="ctr"/>
        <c:lblOffset val="100"/>
        <c:noMultiLvlLbl val="0"/>
      </c:catAx>
      <c:valAx>
        <c:axId val="1295438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\ * #,##0_-;\-&quot;$&quot;\ * #,##0_-;_-&quot;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95437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0</xdr:row>
      <xdr:rowOff>130629</xdr:rowOff>
    </xdr:from>
    <xdr:to>
      <xdr:col>1</xdr:col>
      <xdr:colOff>1415143</xdr:colOff>
      <xdr:row>5</xdr:row>
      <xdr:rowOff>89770</xdr:rowOff>
    </xdr:to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7A6C26A7-FFE0-ECA2-553B-7EBE4645D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743" y="130629"/>
          <a:ext cx="881743" cy="818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719137</xdr:colOff>
      <xdr:row>10</xdr:row>
      <xdr:rowOff>76200</xdr:rowOff>
    </xdr:from>
    <xdr:to>
      <xdr:col>10</xdr:col>
      <xdr:colOff>261937</xdr:colOff>
      <xdr:row>24</xdr:row>
      <xdr:rowOff>152400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54BA9FC-A7F9-8B75-2435-A4B0A4250F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1150620</xdr:colOff>
      <xdr:row>9</xdr:row>
      <xdr:rowOff>76200</xdr:rowOff>
    </xdr:from>
    <xdr:to>
      <xdr:col>3</xdr:col>
      <xdr:colOff>160020</xdr:colOff>
      <xdr:row>23</xdr:row>
      <xdr:rowOff>152400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7A67580-324B-46B2-8EEC-C60BA64E18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561AD-42CD-4395-B2B2-4EB3DE2DBB70}">
  <sheetPr>
    <pageSetUpPr fitToPage="1"/>
  </sheetPr>
  <dimension ref="A4:Q41"/>
  <sheetViews>
    <sheetView tabSelected="1" view="pageBreakPreview" zoomScale="70" zoomScaleNormal="70" zoomScaleSheetLayoutView="70" workbookViewId="0">
      <selection activeCell="B8" sqref="B8"/>
    </sheetView>
  </sheetViews>
  <sheetFormatPr baseColWidth="10" defaultColWidth="11.42578125" defaultRowHeight="12.75" x14ac:dyDescent="0.2"/>
  <cols>
    <col min="1" max="1" width="5" style="1" bestFit="1" customWidth="1"/>
    <col min="2" max="2" width="58.7109375" style="1" customWidth="1"/>
    <col min="3" max="3" width="5.42578125" style="1" bestFit="1" customWidth="1"/>
    <col min="4" max="4" width="8.28515625" style="1" bestFit="1" customWidth="1"/>
    <col min="5" max="5" width="15.7109375" style="1" customWidth="1"/>
    <col min="6" max="6" width="23.140625" style="1" customWidth="1"/>
    <col min="7" max="7" width="20.42578125" style="1" customWidth="1"/>
    <col min="8" max="8" width="23.140625" style="1" customWidth="1"/>
    <col min="9" max="9" width="22.28515625" style="1" customWidth="1"/>
    <col min="10" max="10" width="26.85546875" style="1" customWidth="1"/>
    <col min="11" max="13" width="22.28515625" style="1" customWidth="1"/>
    <col min="14" max="14" width="25.28515625" style="1" customWidth="1"/>
    <col min="15" max="15" width="22.28515625" style="1" customWidth="1"/>
    <col min="16" max="16" width="25.28515625" style="1" bestFit="1" customWidth="1"/>
    <col min="17" max="17" width="26" style="1" customWidth="1"/>
    <col min="18" max="16384" width="11.42578125" style="1"/>
  </cols>
  <sheetData>
    <row r="4" spans="1:17" ht="15" customHeight="1" x14ac:dyDescent="0.2">
      <c r="A4" s="45" t="s">
        <v>53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</row>
    <row r="5" spans="1:17" ht="14.25" customHeight="1" x14ac:dyDescent="0.2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</row>
    <row r="6" spans="1:17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ht="54" customHeight="1" x14ac:dyDescent="0.2">
      <c r="A7" s="2"/>
      <c r="B7" s="21" t="s">
        <v>54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7" ht="14.45" customHeight="1" x14ac:dyDescent="0.2">
      <c r="E8" s="42" t="s">
        <v>26</v>
      </c>
      <c r="F8" s="42"/>
      <c r="G8" s="42" t="s">
        <v>35</v>
      </c>
      <c r="H8" s="42"/>
      <c r="I8" s="42" t="s">
        <v>36</v>
      </c>
      <c r="J8" s="42"/>
      <c r="K8" s="42" t="s">
        <v>37</v>
      </c>
      <c r="L8" s="42"/>
      <c r="M8" s="42" t="s">
        <v>33</v>
      </c>
      <c r="N8" s="42"/>
      <c r="O8" s="43" t="s">
        <v>34</v>
      </c>
      <c r="P8" s="44"/>
      <c r="Q8" s="44"/>
    </row>
    <row r="9" spans="1:17" ht="25.5" x14ac:dyDescent="0.2">
      <c r="A9" s="3" t="s">
        <v>0</v>
      </c>
      <c r="B9" s="4" t="s">
        <v>1</v>
      </c>
      <c r="C9" s="3" t="s">
        <v>2</v>
      </c>
      <c r="D9" s="3" t="s">
        <v>3</v>
      </c>
      <c r="E9" s="5" t="s">
        <v>25</v>
      </c>
      <c r="F9" s="3" t="s">
        <v>23</v>
      </c>
      <c r="G9" s="5" t="s">
        <v>25</v>
      </c>
      <c r="H9" s="3" t="s">
        <v>23</v>
      </c>
      <c r="I9" s="5" t="s">
        <v>25</v>
      </c>
      <c r="J9" s="3" t="s">
        <v>23</v>
      </c>
      <c r="K9" s="5" t="s">
        <v>25</v>
      </c>
      <c r="L9" s="3" t="s">
        <v>23</v>
      </c>
      <c r="M9" s="5" t="s">
        <v>25</v>
      </c>
      <c r="N9" s="3" t="s">
        <v>23</v>
      </c>
      <c r="O9" s="5" t="s">
        <v>25</v>
      </c>
      <c r="P9" s="3" t="s">
        <v>23</v>
      </c>
      <c r="Q9" s="3" t="s">
        <v>32</v>
      </c>
    </row>
    <row r="10" spans="1:17" x14ac:dyDescent="0.2">
      <c r="A10" s="6">
        <v>1</v>
      </c>
      <c r="B10" s="7" t="s">
        <v>4</v>
      </c>
      <c r="C10" s="8"/>
      <c r="D10" s="9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23">
        <v>5.7000000000000002E-2</v>
      </c>
    </row>
    <row r="11" spans="1:17" ht="76.5" x14ac:dyDescent="0.2">
      <c r="A11" s="8">
        <v>1.1000000000000001</v>
      </c>
      <c r="B11" s="12" t="s">
        <v>52</v>
      </c>
      <c r="C11" s="8" t="s">
        <v>5</v>
      </c>
      <c r="D11" s="8">
        <f>84.9+114.6+65.69</f>
        <v>265.19</v>
      </c>
      <c r="E11" s="24">
        <v>41925</v>
      </c>
      <c r="F11" s="25">
        <f>+ROUNDUP(D11*E11,0)</f>
        <v>11118091</v>
      </c>
      <c r="G11" s="24">
        <v>12700</v>
      </c>
      <c r="H11" s="25">
        <f>+$D11*G11</f>
        <v>3367913</v>
      </c>
      <c r="I11" s="24">
        <v>35000</v>
      </c>
      <c r="J11" s="25">
        <f>+$D11*I11</f>
        <v>9281650</v>
      </c>
      <c r="K11" s="24">
        <v>41000</v>
      </c>
      <c r="L11" s="25">
        <f>+$D11*K11</f>
        <v>10872790</v>
      </c>
      <c r="M11" s="24">
        <f>AVERAGE(G11,I11,K11)</f>
        <v>29566.666666666668</v>
      </c>
      <c r="N11" s="25">
        <f>+$D11*M11</f>
        <v>7840784.333333334</v>
      </c>
      <c r="O11" s="24">
        <f>AVERAGE(G11,I11,K11,E11)</f>
        <v>32656.25</v>
      </c>
      <c r="P11" s="25">
        <f>ROUNDUP($D11*O11,0)</f>
        <v>8660111</v>
      </c>
      <c r="Q11" s="26">
        <f>ROUNDUP(P11*(1+$Q$10),0)</f>
        <v>9153738</v>
      </c>
    </row>
    <row r="12" spans="1:17" ht="38.25" x14ac:dyDescent="0.2">
      <c r="A12" s="8">
        <v>1.2</v>
      </c>
      <c r="B12" s="12" t="s">
        <v>27</v>
      </c>
      <c r="C12" s="8" t="s">
        <v>6</v>
      </c>
      <c r="D12" s="8">
        <v>3446</v>
      </c>
      <c r="E12" s="24">
        <v>5870</v>
      </c>
      <c r="F12" s="25">
        <f t="shared" ref="F12:F22" si="0">+ROUNDUP(D12*E12,0)</f>
        <v>20228020</v>
      </c>
      <c r="G12" s="24">
        <v>8200</v>
      </c>
      <c r="H12" s="25">
        <f t="shared" ref="H12:N22" si="1">+$D12*G12</f>
        <v>28257200</v>
      </c>
      <c r="I12" s="24">
        <v>16500</v>
      </c>
      <c r="J12" s="25">
        <f t="shared" ref="J12:L12" si="2">+$D12*I12</f>
        <v>56859000</v>
      </c>
      <c r="K12" s="24">
        <v>4800</v>
      </c>
      <c r="L12" s="25">
        <f t="shared" si="2"/>
        <v>16540800</v>
      </c>
      <c r="M12" s="24">
        <f t="shared" ref="M12:M22" si="3">AVERAGE(G12,I12,K12)</f>
        <v>9833.3333333333339</v>
      </c>
      <c r="N12" s="25">
        <f t="shared" si="1"/>
        <v>33885666.666666672</v>
      </c>
      <c r="O12" s="24">
        <f>AVERAGE(G12,I12,K12,E12)</f>
        <v>8842.5</v>
      </c>
      <c r="P12" s="25">
        <f t="shared" ref="P12:P15" si="4">ROUNDUP($D12*O12,0)</f>
        <v>30471255</v>
      </c>
      <c r="Q12" s="26">
        <f t="shared" ref="Q12:Q15" si="5">ROUNDUP(P12*(1+$Q$10),0)</f>
        <v>32208117</v>
      </c>
    </row>
    <row r="13" spans="1:17" ht="38.25" x14ac:dyDescent="0.2">
      <c r="A13" s="8">
        <v>1.3</v>
      </c>
      <c r="B13" s="12" t="s">
        <v>7</v>
      </c>
      <c r="C13" s="8" t="s">
        <v>6</v>
      </c>
      <c r="D13" s="8">
        <v>6892</v>
      </c>
      <c r="E13" s="24">
        <v>3955</v>
      </c>
      <c r="F13" s="25">
        <f t="shared" si="0"/>
        <v>27257860</v>
      </c>
      <c r="G13" s="24">
        <v>4200</v>
      </c>
      <c r="H13" s="25">
        <f t="shared" si="1"/>
        <v>28946400</v>
      </c>
      <c r="I13" s="24">
        <v>8500</v>
      </c>
      <c r="J13" s="25">
        <f t="shared" ref="J13:L13" si="6">+$D13*I13</f>
        <v>58582000</v>
      </c>
      <c r="K13" s="24">
        <v>3800</v>
      </c>
      <c r="L13" s="25">
        <f t="shared" si="6"/>
        <v>26189600</v>
      </c>
      <c r="M13" s="24">
        <f t="shared" si="3"/>
        <v>5500</v>
      </c>
      <c r="N13" s="25">
        <f t="shared" si="1"/>
        <v>37906000</v>
      </c>
      <c r="O13" s="24">
        <f>AVERAGE(G13,I13,K13,E13)</f>
        <v>5113.75</v>
      </c>
      <c r="P13" s="25">
        <f t="shared" si="4"/>
        <v>35243965</v>
      </c>
      <c r="Q13" s="26">
        <f t="shared" si="5"/>
        <v>37252872</v>
      </c>
    </row>
    <row r="14" spans="1:17" ht="25.5" x14ac:dyDescent="0.2">
      <c r="A14" s="8">
        <v>1.4</v>
      </c>
      <c r="B14" s="12" t="s">
        <v>8</v>
      </c>
      <c r="C14" s="8" t="s">
        <v>9</v>
      </c>
      <c r="D14" s="13">
        <v>26.51</v>
      </c>
      <c r="E14" s="24">
        <v>79794</v>
      </c>
      <c r="F14" s="25">
        <f t="shared" si="0"/>
        <v>2115339</v>
      </c>
      <c r="G14" s="24">
        <v>55000</v>
      </c>
      <c r="H14" s="25">
        <f t="shared" si="1"/>
        <v>1458050</v>
      </c>
      <c r="I14" s="24">
        <v>65000</v>
      </c>
      <c r="J14" s="25">
        <f t="shared" ref="J14:L14" si="7">+$D14*I14</f>
        <v>1723150</v>
      </c>
      <c r="K14" s="24">
        <v>79800</v>
      </c>
      <c r="L14" s="25">
        <f t="shared" si="7"/>
        <v>2115498</v>
      </c>
      <c r="M14" s="24">
        <f t="shared" si="3"/>
        <v>66600</v>
      </c>
      <c r="N14" s="25">
        <f t="shared" si="1"/>
        <v>1765566</v>
      </c>
      <c r="O14" s="24">
        <f>AVERAGE(G14,I14,K14,E14)</f>
        <v>69898.5</v>
      </c>
      <c r="P14" s="25">
        <f>ROUNDUP($D14*O14,0)</f>
        <v>1853010</v>
      </c>
      <c r="Q14" s="26">
        <f t="shared" si="5"/>
        <v>1958632</v>
      </c>
    </row>
    <row r="15" spans="1:17" ht="25.5" x14ac:dyDescent="0.2">
      <c r="A15" s="8">
        <v>1.5</v>
      </c>
      <c r="B15" s="12" t="s">
        <v>28</v>
      </c>
      <c r="C15" s="8" t="s">
        <v>6</v>
      </c>
      <c r="D15" s="8">
        <v>2966</v>
      </c>
      <c r="E15" s="24">
        <v>4727</v>
      </c>
      <c r="F15" s="25">
        <f t="shared" si="0"/>
        <v>14020282</v>
      </c>
      <c r="G15" s="24">
        <v>5200</v>
      </c>
      <c r="H15" s="25">
        <f t="shared" si="1"/>
        <v>15423200</v>
      </c>
      <c r="I15" s="24">
        <v>38500</v>
      </c>
      <c r="J15" s="25">
        <f t="shared" ref="J15:L15" si="8">+$D15*I15</f>
        <v>114191000</v>
      </c>
      <c r="K15" s="24">
        <v>3800</v>
      </c>
      <c r="L15" s="25">
        <f t="shared" si="8"/>
        <v>11270800</v>
      </c>
      <c r="M15" s="24">
        <f t="shared" si="3"/>
        <v>15833.333333333334</v>
      </c>
      <c r="N15" s="25">
        <f t="shared" si="1"/>
        <v>46961666.666666672</v>
      </c>
      <c r="O15" s="24">
        <f>AVERAGE(G15,I15,K15,E15)</f>
        <v>13056.75</v>
      </c>
      <c r="P15" s="25">
        <f t="shared" si="4"/>
        <v>38726321</v>
      </c>
      <c r="Q15" s="26">
        <f t="shared" si="5"/>
        <v>40933722</v>
      </c>
    </row>
    <row r="16" spans="1:17" ht="14.25" x14ac:dyDescent="0.2">
      <c r="A16" s="6">
        <v>2</v>
      </c>
      <c r="B16" s="7" t="s">
        <v>10</v>
      </c>
      <c r="C16" s="8"/>
      <c r="D16" s="9"/>
      <c r="E16" s="27"/>
      <c r="F16" s="25"/>
      <c r="G16" s="27"/>
      <c r="H16" s="25"/>
      <c r="I16" s="27"/>
      <c r="J16" s="25"/>
      <c r="K16" s="27"/>
      <c r="L16" s="25"/>
      <c r="M16" s="24"/>
      <c r="N16" s="25"/>
      <c r="O16" s="24"/>
      <c r="P16" s="25"/>
      <c r="Q16" s="26"/>
    </row>
    <row r="17" spans="1:17" ht="63.75" x14ac:dyDescent="0.2">
      <c r="A17" s="8">
        <v>2.1</v>
      </c>
      <c r="B17" s="12" t="s">
        <v>11</v>
      </c>
      <c r="C17" s="8" t="s">
        <v>12</v>
      </c>
      <c r="D17" s="8">
        <v>3081</v>
      </c>
      <c r="E17" s="24">
        <v>174050</v>
      </c>
      <c r="F17" s="25">
        <f t="shared" si="0"/>
        <v>536248050</v>
      </c>
      <c r="G17" s="24">
        <v>58000</v>
      </c>
      <c r="H17" s="25">
        <f t="shared" si="1"/>
        <v>178698000</v>
      </c>
      <c r="I17" s="24">
        <v>220000</v>
      </c>
      <c r="J17" s="25">
        <f t="shared" ref="J17:L17" si="9">+$D17*I17</f>
        <v>677820000</v>
      </c>
      <c r="K17" s="24">
        <v>195000</v>
      </c>
      <c r="L17" s="25">
        <f t="shared" si="9"/>
        <v>600795000</v>
      </c>
      <c r="M17" s="24">
        <f t="shared" si="3"/>
        <v>157666.66666666666</v>
      </c>
      <c r="N17" s="25">
        <f t="shared" si="1"/>
        <v>485770999.99999994</v>
      </c>
      <c r="O17" s="24">
        <f>AVERAGE(G17,I17,K17,E17)</f>
        <v>161762.5</v>
      </c>
      <c r="P17" s="25">
        <f t="shared" ref="P17:P18" si="10">ROUNDUP($D17*O17,0)</f>
        <v>498390263</v>
      </c>
      <c r="Q17" s="26">
        <f>ROUNDUP(P17*(1+$Q$10),0)</f>
        <v>526798508</v>
      </c>
    </row>
    <row r="18" spans="1:17" ht="38.25" x14ac:dyDescent="0.2">
      <c r="A18" s="8">
        <v>2.2000000000000002</v>
      </c>
      <c r="B18" s="12" t="s">
        <v>29</v>
      </c>
      <c r="C18" s="8" t="s">
        <v>6</v>
      </c>
      <c r="D18" s="8">
        <f>D17</f>
        <v>3081</v>
      </c>
      <c r="E18" s="24">
        <v>15390</v>
      </c>
      <c r="F18" s="25">
        <f t="shared" si="0"/>
        <v>47416590</v>
      </c>
      <c r="G18" s="24">
        <v>12000</v>
      </c>
      <c r="H18" s="25">
        <f>+$D18*G18</f>
        <v>36972000</v>
      </c>
      <c r="I18" s="24">
        <v>10000</v>
      </c>
      <c r="J18" s="25">
        <f>+$D18*I18</f>
        <v>30810000</v>
      </c>
      <c r="K18" s="24">
        <v>20000</v>
      </c>
      <c r="L18" s="25">
        <f>+$D18*K18</f>
        <v>61620000</v>
      </c>
      <c r="M18" s="24">
        <f t="shared" si="3"/>
        <v>14000</v>
      </c>
      <c r="N18" s="25">
        <f>+$D18*M18</f>
        <v>43134000</v>
      </c>
      <c r="O18" s="24">
        <f>AVERAGE(G18,I18,K18,E18)</f>
        <v>14347.5</v>
      </c>
      <c r="P18" s="25">
        <f t="shared" si="10"/>
        <v>44204648</v>
      </c>
      <c r="Q18" s="26">
        <f>ROUNDUP(P18*(1+$Q$10),0)</f>
        <v>46724313</v>
      </c>
    </row>
    <row r="19" spans="1:17" ht="14.25" x14ac:dyDescent="0.2">
      <c r="A19" s="6">
        <v>3</v>
      </c>
      <c r="B19" s="7" t="s">
        <v>13</v>
      </c>
      <c r="C19" s="8"/>
      <c r="D19" s="9"/>
      <c r="E19" s="27"/>
      <c r="F19" s="25">
        <f t="shared" si="0"/>
        <v>0</v>
      </c>
      <c r="G19" s="27"/>
      <c r="H19" s="25"/>
      <c r="I19" s="27"/>
      <c r="J19" s="25"/>
      <c r="K19" s="27"/>
      <c r="L19" s="25"/>
      <c r="M19" s="24"/>
      <c r="N19" s="25"/>
      <c r="O19" s="24"/>
      <c r="P19" s="25"/>
      <c r="Q19" s="26"/>
    </row>
    <row r="20" spans="1:17" ht="34.15" customHeight="1" x14ac:dyDescent="0.2">
      <c r="A20" s="8">
        <v>3.1</v>
      </c>
      <c r="B20" s="12" t="s">
        <v>30</v>
      </c>
      <c r="C20" s="8" t="s">
        <v>14</v>
      </c>
      <c r="D20" s="8">
        <v>15</v>
      </c>
      <c r="E20" s="24">
        <v>205729</v>
      </c>
      <c r="F20" s="25">
        <f t="shared" si="0"/>
        <v>3085935</v>
      </c>
      <c r="G20" s="24">
        <v>250000</v>
      </c>
      <c r="H20" s="25">
        <f t="shared" si="1"/>
        <v>3750000</v>
      </c>
      <c r="I20" s="24">
        <v>110000</v>
      </c>
      <c r="J20" s="25">
        <f t="shared" ref="J20" si="11">+$D20*I20</f>
        <v>1650000</v>
      </c>
      <c r="K20" s="24">
        <v>192000</v>
      </c>
      <c r="L20" s="25">
        <f>+$D20*K20</f>
        <v>2880000</v>
      </c>
      <c r="M20" s="24">
        <f t="shared" si="3"/>
        <v>184000</v>
      </c>
      <c r="N20" s="25">
        <f t="shared" si="1"/>
        <v>2760000</v>
      </c>
      <c r="O20" s="24">
        <f>AVERAGE(G20,I20,K20,E20)</f>
        <v>189432.25</v>
      </c>
      <c r="P20" s="25">
        <f t="shared" ref="P20:P22" si="12">ROUNDUP($D20*O20,0)</f>
        <v>2841484</v>
      </c>
      <c r="Q20" s="26">
        <f t="shared" ref="Q20:Q22" si="13">ROUNDUP(P20*(1+$Q$10),0)</f>
        <v>3003449</v>
      </c>
    </row>
    <row r="21" spans="1:17" ht="12.6" customHeight="1" x14ac:dyDescent="0.2">
      <c r="A21" s="8">
        <v>3.2</v>
      </c>
      <c r="B21" s="12" t="s">
        <v>31</v>
      </c>
      <c r="C21" s="8" t="s">
        <v>15</v>
      </c>
      <c r="D21" s="8">
        <f>8*30</f>
        <v>240</v>
      </c>
      <c r="E21" s="24">
        <v>30185</v>
      </c>
      <c r="F21" s="25">
        <f t="shared" si="0"/>
        <v>7244400</v>
      </c>
      <c r="G21" s="24">
        <v>7800</v>
      </c>
      <c r="H21" s="25">
        <f t="shared" si="1"/>
        <v>1872000</v>
      </c>
      <c r="I21" s="24">
        <v>32000</v>
      </c>
      <c r="J21" s="25">
        <f t="shared" ref="J21:L21" si="14">+$D21*I21</f>
        <v>7680000</v>
      </c>
      <c r="K21" s="24">
        <v>39500</v>
      </c>
      <c r="L21" s="25">
        <f t="shared" si="14"/>
        <v>9480000</v>
      </c>
      <c r="M21" s="24">
        <f t="shared" si="3"/>
        <v>26433.333333333332</v>
      </c>
      <c r="N21" s="25">
        <f t="shared" si="1"/>
        <v>6344000</v>
      </c>
      <c r="O21" s="24">
        <f>AVERAGE(G21,I21,K21,E21)</f>
        <v>27371.25</v>
      </c>
      <c r="P21" s="25">
        <f t="shared" si="12"/>
        <v>6569100</v>
      </c>
      <c r="Q21" s="26">
        <f t="shared" si="13"/>
        <v>6943539</v>
      </c>
    </row>
    <row r="22" spans="1:17" ht="14.25" x14ac:dyDescent="0.2">
      <c r="A22" s="8">
        <v>3.3</v>
      </c>
      <c r="B22" s="12" t="s">
        <v>16</v>
      </c>
      <c r="C22" s="8" t="s">
        <v>17</v>
      </c>
      <c r="D22" s="14">
        <v>5</v>
      </c>
      <c r="E22" s="24">
        <v>350849</v>
      </c>
      <c r="F22" s="25">
        <f t="shared" si="0"/>
        <v>1754245</v>
      </c>
      <c r="G22" s="24">
        <v>220000</v>
      </c>
      <c r="H22" s="25">
        <f t="shared" si="1"/>
        <v>1100000</v>
      </c>
      <c r="I22" s="24">
        <v>600000</v>
      </c>
      <c r="J22" s="25">
        <f t="shared" ref="J22:L22" si="15">+$D22*I22</f>
        <v>3000000</v>
      </c>
      <c r="K22" s="24">
        <v>650000</v>
      </c>
      <c r="L22" s="25">
        <f t="shared" si="15"/>
        <v>3250000</v>
      </c>
      <c r="M22" s="24">
        <f t="shared" si="3"/>
        <v>490000</v>
      </c>
      <c r="N22" s="25">
        <f t="shared" si="1"/>
        <v>2450000</v>
      </c>
      <c r="O22" s="24">
        <f>AVERAGE(G22,I22,K22,E22)</f>
        <v>455212.25</v>
      </c>
      <c r="P22" s="25">
        <f t="shared" si="12"/>
        <v>2276062</v>
      </c>
      <c r="Q22" s="26">
        <f t="shared" si="13"/>
        <v>2405798</v>
      </c>
    </row>
    <row r="23" spans="1:17" x14ac:dyDescent="0.2">
      <c r="A23" s="15"/>
      <c r="B23" s="16"/>
      <c r="C23" s="15"/>
      <c r="D23" s="15"/>
      <c r="E23" s="17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17" x14ac:dyDescent="0.2">
      <c r="A24" s="15"/>
      <c r="B24" s="34" t="s">
        <v>18</v>
      </c>
      <c r="C24" s="35"/>
      <c r="D24" s="35"/>
      <c r="E24" s="35"/>
      <c r="F24" s="28">
        <f>SUM(F11:F22)</f>
        <v>670488812</v>
      </c>
      <c r="G24" s="18"/>
      <c r="H24" s="28">
        <f>SUM(H11:H22)</f>
        <v>299844763</v>
      </c>
      <c r="I24" s="18"/>
      <c r="J24" s="28">
        <f>SUM(J11:J22)</f>
        <v>961596800</v>
      </c>
      <c r="K24" s="18"/>
      <c r="L24" s="28">
        <f>SUM(L11:L22)</f>
        <v>745014488</v>
      </c>
      <c r="M24" s="18"/>
      <c r="N24" s="28">
        <f>SUM(N11:N22)</f>
        <v>668818683.66666663</v>
      </c>
      <c r="O24" s="18"/>
      <c r="P24" s="28">
        <f>SUM(P11:P22)</f>
        <v>669236219</v>
      </c>
      <c r="Q24" s="28">
        <f>SUM(Q11:Q22)</f>
        <v>707382688</v>
      </c>
    </row>
    <row r="25" spans="1:17" x14ac:dyDescent="0.2">
      <c r="A25" s="15"/>
      <c r="B25" s="39" t="s">
        <v>19</v>
      </c>
      <c r="C25" s="40"/>
      <c r="D25" s="41"/>
      <c r="E25" s="19">
        <v>0.29599999999999999</v>
      </c>
      <c r="F25" s="29">
        <f>F24*E25</f>
        <v>198464688.352</v>
      </c>
      <c r="G25" s="19">
        <v>0.23</v>
      </c>
      <c r="H25" s="29">
        <f>H24*G25</f>
        <v>68964295.49000001</v>
      </c>
      <c r="I25" s="19">
        <v>0.1</v>
      </c>
      <c r="J25" s="29">
        <f>J24*I25</f>
        <v>96159680</v>
      </c>
      <c r="K25" s="19">
        <v>0.2</v>
      </c>
      <c r="L25" s="29">
        <f>L24*K25</f>
        <v>149002897.59999999</v>
      </c>
      <c r="M25" s="22">
        <f>AVERAGE(G25,I25,K25)</f>
        <v>0.17666666666666667</v>
      </c>
      <c r="N25" s="29">
        <f>N24*M25</f>
        <v>118157967.44777778</v>
      </c>
      <c r="O25" s="38">
        <v>0.29599999999999999</v>
      </c>
      <c r="P25" s="29">
        <f>P24*O25</f>
        <v>198093920.824</v>
      </c>
      <c r="Q25" s="29">
        <f>+Q24*O25</f>
        <v>209385275.648</v>
      </c>
    </row>
    <row r="26" spans="1:17" x14ac:dyDescent="0.2">
      <c r="A26" s="15"/>
      <c r="B26" s="39" t="s">
        <v>20</v>
      </c>
      <c r="C26" s="40"/>
      <c r="D26" s="41"/>
      <c r="E26" s="19">
        <v>0.02</v>
      </c>
      <c r="F26" s="29">
        <f>F24*E26</f>
        <v>13409776.24</v>
      </c>
      <c r="G26" s="19">
        <v>0.02</v>
      </c>
      <c r="H26" s="29">
        <f>H24*G26</f>
        <v>5996895.2599999998</v>
      </c>
      <c r="I26" s="19">
        <v>0.01</v>
      </c>
      <c r="J26" s="29">
        <f>J24*I26</f>
        <v>9615968</v>
      </c>
      <c r="K26" s="19">
        <v>0.01</v>
      </c>
      <c r="L26" s="29">
        <f>L24*K26</f>
        <v>7450144.8799999999</v>
      </c>
      <c r="M26" s="38">
        <f>ROUNDUP(AVERAGE(G26,I26,K26),3)</f>
        <v>1.3999999999999999E-2</v>
      </c>
      <c r="N26" s="29">
        <f>N24*M26</f>
        <v>9363461.571333332</v>
      </c>
      <c r="O26" s="38">
        <f>+M26</f>
        <v>1.3999999999999999E-2</v>
      </c>
      <c r="P26" s="29">
        <f>P24*O26</f>
        <v>9369307.0659999996</v>
      </c>
      <c r="Q26" s="29">
        <f>+Q24*O26</f>
        <v>9903357.6319999993</v>
      </c>
    </row>
    <row r="27" spans="1:17" x14ac:dyDescent="0.2">
      <c r="A27" s="15"/>
      <c r="B27" s="39" t="s">
        <v>21</v>
      </c>
      <c r="C27" s="40"/>
      <c r="D27" s="41"/>
      <c r="E27" s="19">
        <v>0.05</v>
      </c>
      <c r="F27" s="29">
        <f>F24*E27</f>
        <v>33524440.600000001</v>
      </c>
      <c r="G27" s="19">
        <v>0.08</v>
      </c>
      <c r="H27" s="29">
        <f>H24*G27</f>
        <v>23987581.039999999</v>
      </c>
      <c r="I27" s="19">
        <v>0.05</v>
      </c>
      <c r="J27" s="29">
        <f>J24*I27</f>
        <v>48079840</v>
      </c>
      <c r="K27" s="19">
        <v>0.06</v>
      </c>
      <c r="L27" s="29">
        <f>L24*K27</f>
        <v>44700869.280000001</v>
      </c>
      <c r="M27" s="38">
        <f>ROUNDUP(AVERAGE(G27,I27,K27),3)</f>
        <v>6.4000000000000001E-2</v>
      </c>
      <c r="N27" s="29">
        <f>N24*M27</f>
        <v>42804395.754666664</v>
      </c>
      <c r="O27" s="38">
        <f>+M27</f>
        <v>6.4000000000000001E-2</v>
      </c>
      <c r="P27" s="29">
        <f>P24*O27</f>
        <v>42831118.016000003</v>
      </c>
      <c r="Q27" s="29">
        <f>+Q24*O27</f>
        <v>45272492.031999998</v>
      </c>
    </row>
    <row r="28" spans="1:17" x14ac:dyDescent="0.2">
      <c r="A28" s="15"/>
      <c r="B28" s="39" t="s">
        <v>22</v>
      </c>
      <c r="C28" s="40"/>
      <c r="D28" s="41"/>
      <c r="E28" s="20">
        <v>0.19</v>
      </c>
      <c r="F28" s="29">
        <f>F27*E28</f>
        <v>6369643.7140000006</v>
      </c>
      <c r="G28" s="20">
        <v>0.19</v>
      </c>
      <c r="H28" s="29">
        <f>H27*G28</f>
        <v>4557640.3975999998</v>
      </c>
      <c r="I28" s="20">
        <v>0.19</v>
      </c>
      <c r="J28" s="29">
        <f>J27*I28</f>
        <v>9135169.5999999996</v>
      </c>
      <c r="K28" s="20">
        <v>0.19</v>
      </c>
      <c r="L28" s="29">
        <f>L27*K28</f>
        <v>8493165.1632000003</v>
      </c>
      <c r="M28" s="20">
        <v>0.19</v>
      </c>
      <c r="N28" s="29">
        <f>N27*M28</f>
        <v>8132835.1933866665</v>
      </c>
      <c r="O28" s="20">
        <v>0.19</v>
      </c>
      <c r="P28" s="29">
        <f>P27*O28</f>
        <v>8137912.4230400007</v>
      </c>
      <c r="Q28" s="29">
        <f>+Q27*O28</f>
        <v>8601773.4860800002</v>
      </c>
    </row>
    <row r="29" spans="1:17" x14ac:dyDescent="0.2">
      <c r="A29" s="15"/>
      <c r="B29" s="34" t="s">
        <v>23</v>
      </c>
      <c r="C29" s="35"/>
      <c r="D29" s="35"/>
      <c r="E29" s="35"/>
      <c r="F29" s="28">
        <f>SUM(F24:F28)</f>
        <v>922257360.90600002</v>
      </c>
      <c r="G29" s="18"/>
      <c r="H29" s="28">
        <f>SUM(H24:H28)</f>
        <v>403351175.18760002</v>
      </c>
      <c r="I29" s="18"/>
      <c r="J29" s="28">
        <f>SUM(J24:J28)</f>
        <v>1124587457.5999999</v>
      </c>
      <c r="K29" s="18"/>
      <c r="L29" s="28">
        <f>SUM(L24:L28)</f>
        <v>954661564.92320001</v>
      </c>
      <c r="M29" s="18"/>
      <c r="N29" s="28">
        <f>SUM(N24:N28)</f>
        <v>847277343.63383102</v>
      </c>
      <c r="O29" s="18"/>
      <c r="P29" s="28">
        <f>SUM(P24:P28)</f>
        <v>927668477.32904005</v>
      </c>
      <c r="Q29" s="28">
        <f>SUM(Q24:Q28)</f>
        <v>980545586.79807997</v>
      </c>
    </row>
    <row r="32" spans="1:17" x14ac:dyDescent="0.2">
      <c r="B32" s="36" t="s">
        <v>24</v>
      </c>
    </row>
    <row r="33" spans="2:2" x14ac:dyDescent="0.2">
      <c r="B33" s="36" t="s">
        <v>43</v>
      </c>
    </row>
    <row r="34" spans="2:2" x14ac:dyDescent="0.2">
      <c r="B34" s="37" t="s">
        <v>44</v>
      </c>
    </row>
    <row r="35" spans="2:2" x14ac:dyDescent="0.2">
      <c r="B35" s="37" t="s">
        <v>45</v>
      </c>
    </row>
    <row r="36" spans="2:2" x14ac:dyDescent="0.2">
      <c r="B36" s="36" t="s">
        <v>48</v>
      </c>
    </row>
    <row r="37" spans="2:2" x14ac:dyDescent="0.2">
      <c r="B37" s="37" t="s">
        <v>46</v>
      </c>
    </row>
    <row r="38" spans="2:2" x14ac:dyDescent="0.2">
      <c r="B38" s="37" t="s">
        <v>47</v>
      </c>
    </row>
    <row r="39" spans="2:2" x14ac:dyDescent="0.2">
      <c r="B39" s="36" t="s">
        <v>51</v>
      </c>
    </row>
    <row r="40" spans="2:2" x14ac:dyDescent="0.2">
      <c r="B40" s="37" t="s">
        <v>49</v>
      </c>
    </row>
    <row r="41" spans="2:2" x14ac:dyDescent="0.2">
      <c r="B41" s="37" t="s">
        <v>50</v>
      </c>
    </row>
  </sheetData>
  <sheetProtection algorithmName="SHA-512" hashValue="CMt7f2tEcSqGZifABMbTpS7hsK9zmbHuZR9o+dWNH5rPNkxDCqoLcK7Azeo42Uc4szhWMDXtzZ7ZdJ0hBcZJAA==" saltValue="1yInQqZh7kxJzFLyVzlG7A==" spinCount="100000" sheet="1" objects="1" scenarios="1"/>
  <mergeCells count="11">
    <mergeCell ref="O8:Q8"/>
    <mergeCell ref="B28:D28"/>
    <mergeCell ref="G8:H8"/>
    <mergeCell ref="M8:N8"/>
    <mergeCell ref="K8:L8"/>
    <mergeCell ref="I8:J8"/>
    <mergeCell ref="B25:D25"/>
    <mergeCell ref="B26:D26"/>
    <mergeCell ref="B27:D27"/>
    <mergeCell ref="E8:F8"/>
    <mergeCell ref="A4:Q5"/>
  </mergeCells>
  <pageMargins left="0.7" right="0.7" top="0.75" bottom="0.75" header="0.3" footer="0.3"/>
  <pageSetup paperSize="5" scale="4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6ACED-C03D-41DE-B357-2FBEF8DEAFAC}">
  <dimension ref="A1:C8"/>
  <sheetViews>
    <sheetView workbookViewId="0">
      <selection activeCell="D21" sqref="D21"/>
    </sheetView>
  </sheetViews>
  <sheetFormatPr baseColWidth="10" defaultRowHeight="15" x14ac:dyDescent="0.25"/>
  <cols>
    <col min="1" max="1" width="34.28515625" style="33" bestFit="1" customWidth="1"/>
    <col min="2" max="2" width="25.140625" style="30" bestFit="1" customWidth="1"/>
    <col min="3" max="3" width="17.7109375" bestFit="1" customWidth="1"/>
  </cols>
  <sheetData>
    <row r="1" spans="1:3" x14ac:dyDescent="0.25">
      <c r="A1" s="32" t="s">
        <v>39</v>
      </c>
      <c r="B1" s="31" t="s">
        <v>38</v>
      </c>
      <c r="C1" s="32" t="s">
        <v>23</v>
      </c>
    </row>
    <row r="2" spans="1:3" x14ac:dyDescent="0.25">
      <c r="A2" s="33" t="s">
        <v>35</v>
      </c>
      <c r="B2" s="30">
        <v>299844763</v>
      </c>
      <c r="C2" s="30">
        <v>403351175.18760002</v>
      </c>
    </row>
    <row r="3" spans="1:3" x14ac:dyDescent="0.25">
      <c r="A3" s="33" t="s">
        <v>36</v>
      </c>
      <c r="B3" s="30">
        <v>961596800</v>
      </c>
      <c r="C3" s="30">
        <v>1124587457.5999999</v>
      </c>
    </row>
    <row r="4" spans="1:3" x14ac:dyDescent="0.25">
      <c r="A4" s="33" t="s">
        <v>37</v>
      </c>
      <c r="B4" s="30">
        <v>745014488</v>
      </c>
      <c r="C4" s="30">
        <v>954661564.92320001</v>
      </c>
    </row>
    <row r="5" spans="1:3" x14ac:dyDescent="0.25">
      <c r="A5" s="33" t="s">
        <v>33</v>
      </c>
      <c r="B5" s="30">
        <f>AVERAGE(B2:B4)</f>
        <v>668818683.66666663</v>
      </c>
      <c r="C5" s="30">
        <f>+'EST. MERCADO'!N29</f>
        <v>847277343.63383102</v>
      </c>
    </row>
    <row r="6" spans="1:3" x14ac:dyDescent="0.25">
      <c r="A6" s="33" t="s">
        <v>40</v>
      </c>
      <c r="B6" s="30">
        <f>+'EST. MERCADO'!F24</f>
        <v>670488812</v>
      </c>
      <c r="C6" s="30">
        <f>+'EST. MERCADO'!F29</f>
        <v>922257360.90600002</v>
      </c>
    </row>
    <row r="7" spans="1:3" x14ac:dyDescent="0.25">
      <c r="A7" s="33" t="s">
        <v>41</v>
      </c>
      <c r="B7" s="30">
        <f>+'EST. MERCADO'!P24</f>
        <v>669236219</v>
      </c>
      <c r="C7" s="30">
        <f>+'EST. MERCADO'!P29</f>
        <v>927668477.32904005</v>
      </c>
    </row>
    <row r="8" spans="1:3" x14ac:dyDescent="0.25">
      <c r="A8" s="33" t="s">
        <v>42</v>
      </c>
      <c r="B8" s="30">
        <f>+'EST. MERCADO'!Q24</f>
        <v>707382688</v>
      </c>
      <c r="C8" s="30">
        <f>+'EST. MERCADO'!Q29</f>
        <v>980545586.79807997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EST. MERCADO</vt:lpstr>
      <vt:lpstr>Hoja1</vt:lpstr>
      <vt:lpstr>'EST.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Carolina Escobar Solano</dc:creator>
  <cp:lastModifiedBy>Maria Carolina Escobar Solano</cp:lastModifiedBy>
  <dcterms:created xsi:type="dcterms:W3CDTF">2024-10-29T15:25:19Z</dcterms:created>
  <dcterms:modified xsi:type="dcterms:W3CDTF">2024-11-28T17:00:02Z</dcterms:modified>
</cp:coreProperties>
</file>