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VEICCON SAS\2023\DOCUMENTOS ESCRITORIO\CONTRATO  EN EJECUCION\2024\DIAN-FLORENCIA\"/>
    </mc:Choice>
  </mc:AlternateContent>
  <xr:revisionPtr revIDLastSave="0" documentId="13_ncr:1_{0B9EE48B-6B32-49B1-8AC8-7866AD8E3152}" xr6:coauthVersionLast="47" xr6:coauthVersionMax="47" xr10:uidLastSave="{00000000-0000-0000-0000-000000000000}"/>
  <bookViews>
    <workbookView xWindow="-120" yWindow="-120" windowWidth="20730" windowHeight="11040" tabRatio="908" firstSheet="1" activeTab="3" xr2:uid="{00000000-000D-0000-FFFF-FFFF00000000}"/>
  </bookViews>
  <sheets>
    <sheet name="PRESUPUESTO " sheetId="1" state="hidden" r:id="rId1"/>
    <sheet name="PRESUPUESTO FINAL " sheetId="3" r:id="rId2"/>
    <sheet name="MATERIALES" sheetId="2" state="hidden" r:id="rId3"/>
    <sheet name="MAYORES" sheetId="34" r:id="rId4"/>
    <sheet name="ITEM 1.1.1" sheetId="4" r:id="rId5"/>
    <sheet name="ITEM 1.1.2" sheetId="5" r:id="rId6"/>
    <sheet name="ITEM 1.1.3" sheetId="6" r:id="rId7"/>
    <sheet name="ITEM 1.1.4" sheetId="7" r:id="rId8"/>
    <sheet name="ITEM 2.01" sheetId="8" r:id="rId9"/>
    <sheet name="ITEM 2.02" sheetId="9" r:id="rId10"/>
    <sheet name="ITEM 2.03" sheetId="10" r:id="rId11"/>
    <sheet name="ITEM 2.04" sheetId="11" r:id="rId12"/>
    <sheet name="ITEM 2.05" sheetId="12" r:id="rId13"/>
    <sheet name="ITEM 2.06" sheetId="13" r:id="rId14"/>
    <sheet name="ITEM 2.07" sheetId="14" r:id="rId15"/>
    <sheet name="ITEM 2.08" sheetId="15" r:id="rId16"/>
    <sheet name="ITEM 2.09" sheetId="16" r:id="rId17"/>
    <sheet name="ITEM 2.10" sheetId="17" r:id="rId18"/>
    <sheet name="ITEM 2.11" sheetId="18" r:id="rId19"/>
    <sheet name="ITEM 2.12" sheetId="19" r:id="rId20"/>
    <sheet name="ITEM 3.01" sheetId="20" r:id="rId21"/>
    <sheet name="ITEM 3.02" sheetId="21" r:id="rId22"/>
    <sheet name="ITEM 3.03" sheetId="22" r:id="rId23"/>
    <sheet name="ITEM 3.04" sheetId="23" r:id="rId24"/>
    <sheet name="ITEM 3.05" sheetId="24" r:id="rId25"/>
    <sheet name="NP-01" sheetId="25" r:id="rId26"/>
    <sheet name="NP-02" sheetId="26" r:id="rId27"/>
    <sheet name="NP-03" sheetId="27" r:id="rId28"/>
    <sheet name="NP-04" sheetId="28" r:id="rId29"/>
    <sheet name="NP-05" sheetId="29" r:id="rId30"/>
    <sheet name="NP-06" sheetId="30" r:id="rId31"/>
    <sheet name="NP-07" sheetId="31" r:id="rId32"/>
    <sheet name="NP-08" sheetId="32" r:id="rId33"/>
    <sheet name="NP-09" sheetId="33" r:id="rId34"/>
  </sheets>
  <externalReferences>
    <externalReference r:id="rId35"/>
    <externalReference r:id="rId36"/>
    <externalReference r:id="rId37"/>
    <externalReference r:id="rId38"/>
    <externalReference r:id="rId39"/>
  </externalReferences>
  <definedNames>
    <definedName name="\a">[1]Insumos!#REF!</definedName>
    <definedName name="\b">[2]INSUMOS!#REF!</definedName>
    <definedName name="\i">[2]INSUMOS!#REF!</definedName>
    <definedName name="\m">[2]INSUMOS!#REF!</definedName>
    <definedName name="\r">[2]INSUMOS!#REF!</definedName>
    <definedName name="\t">[2]INSUMOS!#REF!</definedName>
    <definedName name="\x">[2]INSUMOS!#REF!</definedName>
    <definedName name="_Key1" hidden="1">[2]INSUMOS!#REF!</definedName>
    <definedName name="_Order1" hidden="1">255</definedName>
    <definedName name="_Sort" hidden="1">[2]INSUMOS!#REF!</definedName>
    <definedName name="a">[1]Insumos!#REF!</definedName>
    <definedName name="ACERO">#REF!</definedName>
    <definedName name="adfasfadfa">[1]Insumos!#REF!</definedName>
    <definedName name="ADMON">#REF!</definedName>
    <definedName name="adsfadsfasdfafdasfdasfd">[2]INSUMOS!#REF!</definedName>
    <definedName name="adsfadsfasfasdfasfdasdfadsfdsafdsa">[1]Insumos!#REF!</definedName>
    <definedName name="afdaffaf">[1]Insumos!#REF!</definedName>
    <definedName name="AGUA">[3]INSUMOS!$D$4</definedName>
    <definedName name="ALAMB">[3]INSUMOS!$D$169</definedName>
    <definedName name="ALAMBRE">#REF!</definedName>
    <definedName name="ANDENESV">#REF!</definedName>
    <definedName name="ANTISB">[3]INSUMOS!$D$181</definedName>
    <definedName name="_xlnm.Print_Area" localSheetId="4">'ITEM 1.1.1'!$A$1:$G$57</definedName>
    <definedName name="_xlnm.Print_Area" localSheetId="5">'ITEM 1.1.2'!$A$1:$G$57</definedName>
    <definedName name="_xlnm.Print_Area" localSheetId="6">'ITEM 1.1.3'!$A$1:$G$57</definedName>
    <definedName name="_xlnm.Print_Area" localSheetId="7">'ITEM 1.1.4'!$A$1:$G$57</definedName>
    <definedName name="_xlnm.Print_Area" localSheetId="8">'ITEM 2.01'!$A$1:$G$57</definedName>
    <definedName name="_xlnm.Print_Area" localSheetId="9">'ITEM 2.02'!$A$1:$G$57</definedName>
    <definedName name="_xlnm.Print_Area" localSheetId="10">'ITEM 2.03'!$A$1:$G$57</definedName>
    <definedName name="_xlnm.Print_Area" localSheetId="11">'ITEM 2.04'!$A$1:$G$57</definedName>
    <definedName name="_xlnm.Print_Area" localSheetId="12">'ITEM 2.05'!$A$1:$G$57</definedName>
    <definedName name="_xlnm.Print_Area" localSheetId="13">'ITEM 2.06'!$A$1:$G$57</definedName>
    <definedName name="_xlnm.Print_Area" localSheetId="14">'ITEM 2.07'!$A$1:$G$57</definedName>
    <definedName name="_xlnm.Print_Area" localSheetId="15">'ITEM 2.08'!$A$1:$G$57</definedName>
    <definedName name="_xlnm.Print_Area" localSheetId="16">'ITEM 2.09'!$A$1:$G$57</definedName>
    <definedName name="_xlnm.Print_Area" localSheetId="17">'ITEM 2.10'!$A$1:$G$57</definedName>
    <definedName name="_xlnm.Print_Area" localSheetId="18">'ITEM 2.11'!$A$1:$G$57</definedName>
    <definedName name="_xlnm.Print_Area" localSheetId="19">'ITEM 2.12'!$A$1:$G$57</definedName>
    <definedName name="_xlnm.Print_Area" localSheetId="20">'ITEM 3.01'!$A$1:$G$57</definedName>
    <definedName name="_xlnm.Print_Area" localSheetId="21">'ITEM 3.02'!$A$1:$G$57</definedName>
    <definedName name="_xlnm.Print_Area" localSheetId="22">'ITEM 3.03'!$A$1:$G$57</definedName>
    <definedName name="_xlnm.Print_Area" localSheetId="23">'ITEM 3.04'!$A$1:$G$57</definedName>
    <definedName name="_xlnm.Print_Area" localSheetId="24">'ITEM 3.05'!$A$1:$G$57</definedName>
    <definedName name="_xlnm.Print_Area" localSheetId="25">'NP-01'!$A$1:$G$56</definedName>
    <definedName name="_xlnm.Print_Area" localSheetId="26">'NP-02'!$A$1:$G$56</definedName>
    <definedName name="_xlnm.Print_Area" localSheetId="27">'NP-03'!$A$1:$G$56</definedName>
    <definedName name="_xlnm.Print_Area" localSheetId="28">'NP-04'!$A$1:$G$55</definedName>
    <definedName name="_xlnm.Print_Area" localSheetId="29">'NP-05'!$A$1:$G$55</definedName>
    <definedName name="_xlnm.Print_Area" localSheetId="30">'NP-06'!$A$1:$G$55</definedName>
    <definedName name="_xlnm.Print_Area" localSheetId="31">'NP-07'!$A$1:$G$55</definedName>
    <definedName name="_xlnm.Print_Area" localSheetId="32">'NP-08'!$A$1:$G$55</definedName>
    <definedName name="_xlnm.Print_Area" localSheetId="33">'NP-09'!$A$1:$G$55</definedName>
    <definedName name="ARENA">#REF!</definedName>
    <definedName name="asdasd">#REF!</definedName>
    <definedName name="asdfasdf">[2]INSUMOS!#REF!</definedName>
    <definedName name="ASS">[1]Insumos!#REF!</definedName>
    <definedName name="AYU">#REF!</definedName>
    <definedName name="b">[1]Insumos!#REF!</definedName>
    <definedName name="BASE">#REF!</definedName>
    <definedName name="Base_datos_IM">[1]Insumos!#REF!</definedName>
    <definedName name="_xlnm.Database">[1]Insumos!#REF!</definedName>
    <definedName name="BASEGRAV">#REF!</definedName>
    <definedName name="BEXE">[2]INSUMOS!#REF!</definedName>
    <definedName name="BORDE1">#N/A</definedName>
    <definedName name="BUENAVENTURAS">[1]Insumos!#REF!</definedName>
    <definedName name="CANGURO">#REF!</definedName>
    <definedName name="Capitulo">[4]Capitulos!$B$1:$B$65536</definedName>
    <definedName name="CEM">[3]INSUMOS!$D$275</definedName>
    <definedName name="CEMENTO">#REF!</definedName>
    <definedName name="cesped">[5]Mater!#REF!</definedName>
    <definedName name="COMPRE">#REF!</definedName>
    <definedName name="CONCRETO25">#REF!</definedName>
    <definedName name="Concreto2500v">#REF!</definedName>
    <definedName name="CONCRETO3">#REF!</definedName>
    <definedName name="concreto5">#REF!</definedName>
    <definedName name="Concreto5500v">#REF!</definedName>
    <definedName name="concretomuro">#REF!</definedName>
    <definedName name="COTA">#REF!</definedName>
    <definedName name="_xlnm.Criteria">[2]INSUMOS!#REF!</definedName>
    <definedName name="Criterios_IM">[2]INSUMOS!#REF!</definedName>
    <definedName name="CUAD">#REF!</definedName>
    <definedName name="Cuadrilla">'[4]Mano Obra'!$B$1:$B$65536</definedName>
    <definedName name="dad">[1]Insumos!#REF!</definedName>
    <definedName name="DEMOLICIONANDEN">#REF!</definedName>
    <definedName name="demolicionladrillo">#REF!</definedName>
    <definedName name="DEMOLICIONMURO">#REF!</definedName>
    <definedName name="demolicionpav">#REF!</definedName>
    <definedName name="DIA">#REF!</definedName>
    <definedName name="espejo">[1]Insumos!#REF!</definedName>
    <definedName name="ESTACA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PL">#REF!</definedName>
    <definedName name="filtrov">#REF!</definedName>
    <definedName name="FORMA">#REF!</definedName>
    <definedName name="formato">[2]INSUMOS!#REF!</definedName>
    <definedName name="GALON">#REF!</definedName>
    <definedName name="GEO">#REF!</definedName>
    <definedName name="GRAVILLA">#REF!</definedName>
    <definedName name="hierro60v">#REF!</definedName>
    <definedName name="HMEN">#REF!</definedName>
    <definedName name="IMP">#REF!</definedName>
    <definedName name="INSUMOS">#N/A</definedName>
    <definedName name="Lavamanos">[1]Insumos!#REF!</definedName>
    <definedName name="LLANTAS">#REF!</definedName>
    <definedName name="llenov">#REF!</definedName>
    <definedName name="LOCALIZACIONV">#REF!</definedName>
    <definedName name="localizamuro">#REF!</definedName>
    <definedName name="MALLA">#REF!</definedName>
    <definedName name="Maquinaria">'[4]Maqui Equip'!$B$1:$B$65536</definedName>
    <definedName name="MDC">#REF!</definedName>
    <definedName name="memorias">[2]INSUMOS!#REF!</definedName>
    <definedName name="MEZCLADORA">#REF!</definedName>
    <definedName name="MOTO">#REF!</definedName>
    <definedName name="motosierra">[5]Mater!#REF!</definedName>
    <definedName name="OFI">#REF!</definedName>
    <definedName name="pavimento">#REF!</definedName>
    <definedName name="POCETAS">[1]Insumos!#REF!</definedName>
    <definedName name="POSETAS23111">[2]INSUMOS!#REF!</definedName>
    <definedName name="PREST">#REF!</definedName>
    <definedName name="PROPONE">#REF!</definedName>
    <definedName name="PUNT">[3]INSUMOS!$D$688</definedName>
    <definedName name="RAJON">#REF!</definedName>
    <definedName name="RECEBO">#REF!</definedName>
    <definedName name="RETIROV">#REF!</definedName>
    <definedName name="RETRO">#REF!</definedName>
    <definedName name="SARDINELV">#REF!</definedName>
    <definedName name="sdasd">[1]Insumos!#REF!</definedName>
    <definedName name="SDDCC">[2]INSUMOS!#REF!</definedName>
    <definedName name="soladov">#REF!</definedName>
    <definedName name="SSAASSS">#REF!</definedName>
    <definedName name="SUBBASE">#REF!</definedName>
    <definedName name="TABLA">[3]INSUMOS!$D$793</definedName>
    <definedName name="TANQUE">#REF!</definedName>
    <definedName name="TERMINADORA">#REF!</definedName>
    <definedName name="_xlnm.Print_Titles" localSheetId="3">MAYORES!$1:$3</definedName>
    <definedName name="_xlnm.Print_Titles" localSheetId="0">'PRESUPUESTO '!$1:$3</definedName>
    <definedName name="_xlnm.Print_Titles" localSheetId="1">'PRESUPUESTO FINAL '!$1:$3</definedName>
    <definedName name="TOPO">#REF!</definedName>
    <definedName name="TRAB">[3]INSUMOS!$D$932</definedName>
    <definedName name="TUBO">#REF!</definedName>
    <definedName name="Unidades">[4]Unidades!$A$1:$A$65536</definedName>
    <definedName name="UTIL">#REF!</definedName>
    <definedName name="VIBRA">[3]INSUMOS!$D$1404</definedName>
    <definedName name="VIBRADOR">#REF!</definedName>
    <definedName name="VIBRO">#REF!</definedName>
    <definedName name="VOLQUETA">#REF!</definedName>
    <definedName name="WESW">[2]INSUMOS!#REF!</definedName>
    <definedName name="Z">[1]Insumos!#REF!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9" i="34" l="1"/>
  <c r="K32" i="34"/>
  <c r="K33" i="34"/>
  <c r="K34" i="34"/>
  <c r="K35" i="34"/>
  <c r="K36" i="34"/>
  <c r="K37" i="34"/>
  <c r="K38" i="34"/>
  <c r="K39" i="34"/>
  <c r="K40" i="34"/>
  <c r="K41" i="34"/>
  <c r="I41" i="34"/>
  <c r="J41" i="34" s="1"/>
  <c r="I41" i="3"/>
  <c r="G51" i="6"/>
  <c r="G51" i="5"/>
  <c r="G48" i="5"/>
  <c r="F47" i="5"/>
  <c r="F46" i="5"/>
  <c r="F45" i="5"/>
  <c r="F44" i="5"/>
  <c r="H42" i="34"/>
  <c r="H41" i="34"/>
  <c r="I40" i="34"/>
  <c r="J40" i="34" s="1"/>
  <c r="E40" i="34"/>
  <c r="H40" i="34" s="1"/>
  <c r="J39" i="34"/>
  <c r="E39" i="34"/>
  <c r="J38" i="34"/>
  <c r="I38" i="34"/>
  <c r="H38" i="34"/>
  <c r="G37" i="34"/>
  <c r="I37" i="34" s="1"/>
  <c r="J37" i="34" s="1"/>
  <c r="E37" i="34"/>
  <c r="J36" i="34"/>
  <c r="I36" i="34"/>
  <c r="H36" i="34"/>
  <c r="G35" i="34"/>
  <c r="I35" i="34" s="1"/>
  <c r="J35" i="34" s="1"/>
  <c r="G34" i="34"/>
  <c r="I34" i="34" s="1"/>
  <c r="J34" i="34" s="1"/>
  <c r="I33" i="34"/>
  <c r="J33" i="34" s="1"/>
  <c r="H33" i="34"/>
  <c r="J32" i="34"/>
  <c r="F32" i="34"/>
  <c r="E32" i="34"/>
  <c r="H32" i="34" s="1"/>
  <c r="I29" i="34"/>
  <c r="E29" i="34"/>
  <c r="H29" i="34" s="1"/>
  <c r="E28" i="34"/>
  <c r="J28" i="34" s="1"/>
  <c r="E27" i="34"/>
  <c r="J27" i="34" s="1"/>
  <c r="I26" i="34"/>
  <c r="J26" i="34" s="1"/>
  <c r="H26" i="34"/>
  <c r="F26" i="34"/>
  <c r="J25" i="34"/>
  <c r="H25" i="34"/>
  <c r="J23" i="34"/>
  <c r="I23" i="34"/>
  <c r="H23" i="34"/>
  <c r="F23" i="34"/>
  <c r="J22" i="34"/>
  <c r="I22" i="34"/>
  <c r="H22" i="34"/>
  <c r="F22" i="34"/>
  <c r="H21" i="34"/>
  <c r="G21" i="34"/>
  <c r="I21" i="34" s="1"/>
  <c r="J21" i="34" s="1"/>
  <c r="F21" i="34"/>
  <c r="I20" i="34"/>
  <c r="J20" i="34" s="1"/>
  <c r="H20" i="34"/>
  <c r="F20" i="34"/>
  <c r="I19" i="34"/>
  <c r="J19" i="34" s="1"/>
  <c r="H19" i="34"/>
  <c r="F19" i="34"/>
  <c r="I18" i="34"/>
  <c r="J18" i="34" s="1"/>
  <c r="H18" i="34"/>
  <c r="F18" i="34"/>
  <c r="I17" i="34"/>
  <c r="J17" i="34" s="1"/>
  <c r="H17" i="34"/>
  <c r="F17" i="34"/>
  <c r="I16" i="34"/>
  <c r="J16" i="34" s="1"/>
  <c r="H16" i="34"/>
  <c r="F16" i="34"/>
  <c r="I15" i="34"/>
  <c r="J15" i="34" s="1"/>
  <c r="H15" i="34"/>
  <c r="F15" i="34"/>
  <c r="J14" i="34"/>
  <c r="H14" i="34"/>
  <c r="F14" i="34"/>
  <c r="J13" i="34"/>
  <c r="H13" i="34"/>
  <c r="F13" i="34"/>
  <c r="J12" i="34"/>
  <c r="I12" i="34"/>
  <c r="H12" i="34"/>
  <c r="F12" i="34"/>
  <c r="F24" i="34" s="1"/>
  <c r="I9" i="34"/>
  <c r="J9" i="34" s="1"/>
  <c r="H9" i="34"/>
  <c r="F9" i="34"/>
  <c r="I8" i="34"/>
  <c r="J8" i="34" s="1"/>
  <c r="H8" i="34"/>
  <c r="F8" i="34"/>
  <c r="I7" i="34"/>
  <c r="J7" i="34" s="1"/>
  <c r="H7" i="34"/>
  <c r="F7" i="34"/>
  <c r="I6" i="34"/>
  <c r="J6" i="34" s="1"/>
  <c r="H6" i="34"/>
  <c r="H10" i="34" s="1"/>
  <c r="F6" i="34"/>
  <c r="F10" i="34" s="1"/>
  <c r="G47" i="26"/>
  <c r="F46" i="26"/>
  <c r="F45" i="26"/>
  <c r="F44" i="26"/>
  <c r="F43" i="26"/>
  <c r="F44" i="33"/>
  <c r="F45" i="33" s="1"/>
  <c r="F43" i="33"/>
  <c r="F42" i="33"/>
  <c r="G46" i="33" s="1"/>
  <c r="G49" i="33" s="1"/>
  <c r="F44" i="32"/>
  <c r="F45" i="32" s="1"/>
  <c r="F43" i="32"/>
  <c r="F42" i="32"/>
  <c r="F44" i="31"/>
  <c r="F45" i="31" s="1"/>
  <c r="F43" i="31"/>
  <c r="F42" i="31"/>
  <c r="F44" i="30"/>
  <c r="F45" i="30" s="1"/>
  <c r="F43" i="30"/>
  <c r="F42" i="30"/>
  <c r="F44" i="29"/>
  <c r="F45" i="29" s="1"/>
  <c r="F43" i="29"/>
  <c r="F42" i="29"/>
  <c r="G46" i="29" s="1"/>
  <c r="G49" i="29" s="1"/>
  <c r="F44" i="28"/>
  <c r="F45" i="28" s="1"/>
  <c r="F43" i="28"/>
  <c r="F42" i="28"/>
  <c r="F45" i="27"/>
  <c r="F46" i="27" s="1"/>
  <c r="F44" i="27"/>
  <c r="F43" i="27"/>
  <c r="G50" i="26"/>
  <c r="F45" i="25"/>
  <c r="F46" i="25" s="1"/>
  <c r="F44" i="25"/>
  <c r="F43" i="25"/>
  <c r="F46" i="24"/>
  <c r="F47" i="24" s="1"/>
  <c r="F45" i="24"/>
  <c r="F44" i="24"/>
  <c r="F46" i="23"/>
  <c r="F47" i="23" s="1"/>
  <c r="F45" i="23"/>
  <c r="F44" i="23"/>
  <c r="F46" i="22"/>
  <c r="F47" i="22" s="1"/>
  <c r="F45" i="22"/>
  <c r="F44" i="22"/>
  <c r="G48" i="22" s="1"/>
  <c r="G51" i="22" s="1"/>
  <c r="F46" i="21"/>
  <c r="F47" i="21" s="1"/>
  <c r="F45" i="21"/>
  <c r="F44" i="21"/>
  <c r="G48" i="21" s="1"/>
  <c r="G51" i="21" s="1"/>
  <c r="F46" i="20"/>
  <c r="F47" i="20" s="1"/>
  <c r="F45" i="20"/>
  <c r="F44" i="20"/>
  <c r="G48" i="20" s="1"/>
  <c r="G51" i="20" s="1"/>
  <c r="F46" i="19"/>
  <c r="F47" i="19" s="1"/>
  <c r="F45" i="19"/>
  <c r="F44" i="19"/>
  <c r="G48" i="19" s="1"/>
  <c r="G51" i="19" s="1"/>
  <c r="F46" i="18"/>
  <c r="F47" i="18" s="1"/>
  <c r="F45" i="18"/>
  <c r="F44" i="18"/>
  <c r="F46" i="17"/>
  <c r="F47" i="17" s="1"/>
  <c r="F45" i="17"/>
  <c r="F44" i="17"/>
  <c r="F46" i="16"/>
  <c r="F47" i="16" s="1"/>
  <c r="F45" i="16"/>
  <c r="F44" i="16"/>
  <c r="G48" i="16" s="1"/>
  <c r="G51" i="16" s="1"/>
  <c r="F46" i="15"/>
  <c r="F47" i="15" s="1"/>
  <c r="F45" i="15"/>
  <c r="F44" i="15"/>
  <c r="G48" i="15" s="1"/>
  <c r="G51" i="15" s="1"/>
  <c r="F46" i="14"/>
  <c r="F47" i="14" s="1"/>
  <c r="F45" i="14"/>
  <c r="F44" i="14"/>
  <c r="G48" i="14" s="1"/>
  <c r="G51" i="14" s="1"/>
  <c r="F46" i="13"/>
  <c r="F47" i="13" s="1"/>
  <c r="F45" i="13"/>
  <c r="F44" i="13"/>
  <c r="G48" i="13" s="1"/>
  <c r="G51" i="13" s="1"/>
  <c r="F46" i="12"/>
  <c r="F47" i="12" s="1"/>
  <c r="F45" i="12"/>
  <c r="F44" i="12"/>
  <c r="F46" i="11"/>
  <c r="F47" i="11" s="1"/>
  <c r="F45" i="11"/>
  <c r="F44" i="11"/>
  <c r="F46" i="10"/>
  <c r="F47" i="10" s="1"/>
  <c r="F45" i="10"/>
  <c r="F44" i="10"/>
  <c r="G48" i="10" s="1"/>
  <c r="G51" i="10" s="1"/>
  <c r="F46" i="9"/>
  <c r="F47" i="9" s="1"/>
  <c r="F45" i="9"/>
  <c r="F44" i="9"/>
  <c r="G48" i="9" s="1"/>
  <c r="G51" i="9" s="1"/>
  <c r="F46" i="8"/>
  <c r="F47" i="8" s="1"/>
  <c r="F45" i="8"/>
  <c r="F44" i="8"/>
  <c r="G48" i="8" s="1"/>
  <c r="G51" i="8" s="1"/>
  <c r="F46" i="7"/>
  <c r="F47" i="7" s="1"/>
  <c r="F45" i="7"/>
  <c r="F44" i="7"/>
  <c r="F46" i="6"/>
  <c r="F47" i="6" s="1"/>
  <c r="F45" i="6"/>
  <c r="F44" i="6"/>
  <c r="G51" i="4"/>
  <c r="G48" i="4"/>
  <c r="F47" i="4"/>
  <c r="F46" i="4"/>
  <c r="F45" i="4"/>
  <c r="F44" i="4"/>
  <c r="F19" i="27"/>
  <c r="F18" i="27"/>
  <c r="B30" i="33"/>
  <c r="D30" i="33" s="1"/>
  <c r="F30" i="33" s="1"/>
  <c r="G31" i="33" s="1"/>
  <c r="F20" i="33"/>
  <c r="F19" i="33"/>
  <c r="F18" i="33"/>
  <c r="G9" i="33"/>
  <c r="G9" i="32"/>
  <c r="G37" i="33"/>
  <c r="G27" i="33"/>
  <c r="G15" i="33"/>
  <c r="C5" i="33"/>
  <c r="G3" i="33"/>
  <c r="C5" i="32"/>
  <c r="G37" i="32"/>
  <c r="B30" i="32"/>
  <c r="D30" i="32" s="1"/>
  <c r="F30" i="32" s="1"/>
  <c r="G31" i="32" s="1"/>
  <c r="G27" i="32"/>
  <c r="G21" i="32"/>
  <c r="G15" i="32"/>
  <c r="G3" i="32"/>
  <c r="F19" i="31"/>
  <c r="F18" i="31"/>
  <c r="C5" i="31"/>
  <c r="G37" i="31"/>
  <c r="B30" i="31"/>
  <c r="D30" i="31" s="1"/>
  <c r="F30" i="31" s="1"/>
  <c r="G31" i="31" s="1"/>
  <c r="G27" i="31"/>
  <c r="G15" i="31"/>
  <c r="G9" i="31"/>
  <c r="G3" i="31"/>
  <c r="C5" i="30"/>
  <c r="G37" i="30"/>
  <c r="B30" i="30"/>
  <c r="D30" i="30" s="1"/>
  <c r="F30" i="30" s="1"/>
  <c r="G31" i="30" s="1"/>
  <c r="G27" i="30"/>
  <c r="G21" i="30"/>
  <c r="G15" i="30"/>
  <c r="G9" i="30"/>
  <c r="G3" i="30"/>
  <c r="B30" i="29"/>
  <c r="D30" i="29" s="1"/>
  <c r="F30" i="29" s="1"/>
  <c r="G31" i="29" s="1"/>
  <c r="F19" i="29"/>
  <c r="F18" i="29"/>
  <c r="G21" i="29" s="1"/>
  <c r="C5" i="29"/>
  <c r="G9" i="29"/>
  <c r="G37" i="29"/>
  <c r="G27" i="29"/>
  <c r="G15" i="29"/>
  <c r="G3" i="29"/>
  <c r="H24" i="34" l="1"/>
  <c r="J24" i="34"/>
  <c r="J10" i="34"/>
  <c r="F43" i="34"/>
  <c r="F44" i="34" s="1"/>
  <c r="J29" i="34"/>
  <c r="J43" i="34" s="1"/>
  <c r="F27" i="34"/>
  <c r="F28" i="34"/>
  <c r="F29" i="34"/>
  <c r="H34" i="34"/>
  <c r="H35" i="34"/>
  <c r="H37" i="34"/>
  <c r="H39" i="34"/>
  <c r="H27" i="34"/>
  <c r="H43" i="34" s="1"/>
  <c r="H44" i="34" s="1"/>
  <c r="H28" i="34"/>
  <c r="G46" i="32"/>
  <c r="G49" i="32" s="1"/>
  <c r="G46" i="31"/>
  <c r="G49" i="31" s="1"/>
  <c r="G46" i="30"/>
  <c r="G49" i="30" s="1"/>
  <c r="G46" i="28"/>
  <c r="G49" i="28" s="1"/>
  <c r="G47" i="27"/>
  <c r="G50" i="27" s="1"/>
  <c r="G47" i="25"/>
  <c r="G50" i="25" s="1"/>
  <c r="G48" i="24"/>
  <c r="G51" i="24" s="1"/>
  <c r="G48" i="23"/>
  <c r="G51" i="23" s="1"/>
  <c r="G48" i="18"/>
  <c r="G51" i="18" s="1"/>
  <c r="G48" i="17"/>
  <c r="G51" i="17" s="1"/>
  <c r="G48" i="12"/>
  <c r="G51" i="12" s="1"/>
  <c r="G48" i="11"/>
  <c r="G51" i="11" s="1"/>
  <c r="G48" i="7"/>
  <c r="G51" i="7" s="1"/>
  <c r="G48" i="6"/>
  <c r="G21" i="33"/>
  <c r="G39" i="33" s="1"/>
  <c r="G39" i="32"/>
  <c r="G21" i="31"/>
  <c r="G39" i="31" s="1"/>
  <c r="G39" i="30"/>
  <c r="G39" i="29"/>
  <c r="J44" i="34" l="1"/>
  <c r="J46" i="34" s="1"/>
  <c r="J45" i="34"/>
  <c r="H47" i="34"/>
  <c r="H48" i="34" s="1"/>
  <c r="H45" i="34"/>
  <c r="H46" i="34"/>
  <c r="F47" i="34"/>
  <c r="F48" i="34" s="1"/>
  <c r="F46" i="34"/>
  <c r="F45" i="34"/>
  <c r="F49" i="34" s="1"/>
  <c r="C5" i="28"/>
  <c r="G37" i="28"/>
  <c r="B30" i="28"/>
  <c r="D30" i="28" s="1"/>
  <c r="F30" i="28" s="1"/>
  <c r="G31" i="28" s="1"/>
  <c r="G27" i="28"/>
  <c r="G21" i="28"/>
  <c r="G15" i="28"/>
  <c r="G9" i="28"/>
  <c r="G3" i="28"/>
  <c r="J47" i="34" l="1"/>
  <c r="J48" i="34" s="1"/>
  <c r="J49" i="34"/>
  <c r="H49" i="34"/>
  <c r="G39" i="28"/>
  <c r="G9" i="27"/>
  <c r="C5" i="27" l="1"/>
  <c r="G38" i="27"/>
  <c r="B31" i="27"/>
  <c r="D31" i="27" s="1"/>
  <c r="F31" i="27" s="1"/>
  <c r="G32" i="27" s="1"/>
  <c r="F26" i="27"/>
  <c r="G28" i="27" s="1"/>
  <c r="G22" i="27"/>
  <c r="G15" i="27"/>
  <c r="G3" i="27"/>
  <c r="B31" i="26"/>
  <c r="G9" i="26"/>
  <c r="F26" i="26"/>
  <c r="C5" i="26"/>
  <c r="G38" i="26"/>
  <c r="D31" i="26"/>
  <c r="F31" i="26" s="1"/>
  <c r="G32" i="26" s="1"/>
  <c r="G28" i="26"/>
  <c r="G22" i="26"/>
  <c r="G15" i="26"/>
  <c r="G3" i="26"/>
  <c r="H19" i="23"/>
  <c r="C5" i="25"/>
  <c r="G38" i="25"/>
  <c r="B31" i="25"/>
  <c r="D31" i="25" s="1"/>
  <c r="F31" i="25" s="1"/>
  <c r="G32" i="25" s="1"/>
  <c r="G28" i="25"/>
  <c r="F20" i="25"/>
  <c r="F19" i="25"/>
  <c r="G22" i="25" s="1"/>
  <c r="G15" i="25"/>
  <c r="G9" i="25"/>
  <c r="G3" i="25"/>
  <c r="C5" i="24"/>
  <c r="G39" i="24"/>
  <c r="B32" i="24"/>
  <c r="D32" i="24" s="1"/>
  <c r="F32" i="24" s="1"/>
  <c r="G33" i="24" s="1"/>
  <c r="G29" i="24"/>
  <c r="F21" i="24"/>
  <c r="F20" i="24"/>
  <c r="F19" i="24"/>
  <c r="G23" i="24" s="1"/>
  <c r="G15" i="24"/>
  <c r="G9" i="24"/>
  <c r="G3" i="24"/>
  <c r="C5" i="23"/>
  <c r="G39" i="23"/>
  <c r="D32" i="23"/>
  <c r="F32" i="23" s="1"/>
  <c r="G33" i="23" s="1"/>
  <c r="B32" i="23"/>
  <c r="G29" i="23"/>
  <c r="F21" i="23"/>
  <c r="F20" i="23"/>
  <c r="F19" i="23"/>
  <c r="G15" i="23"/>
  <c r="G9" i="23"/>
  <c r="G3" i="23"/>
  <c r="F19" i="22"/>
  <c r="G23" i="22" s="1"/>
  <c r="F21" i="22"/>
  <c r="F20" i="22"/>
  <c r="C5" i="22"/>
  <c r="G39" i="22"/>
  <c r="B32" i="22"/>
  <c r="D32" i="22" s="1"/>
  <c r="F32" i="22" s="1"/>
  <c r="G33" i="22" s="1"/>
  <c r="G29" i="22"/>
  <c r="G15" i="22"/>
  <c r="G9" i="22"/>
  <c r="G3" i="22"/>
  <c r="C5" i="21"/>
  <c r="G39" i="21"/>
  <c r="B32" i="21"/>
  <c r="D32" i="21" s="1"/>
  <c r="F32" i="21" s="1"/>
  <c r="G33" i="21" s="1"/>
  <c r="G29" i="21"/>
  <c r="G23" i="21"/>
  <c r="G15" i="21"/>
  <c r="G9" i="21"/>
  <c r="G3" i="21"/>
  <c r="G9" i="20"/>
  <c r="C5" i="20"/>
  <c r="G39" i="20"/>
  <c r="B32" i="20"/>
  <c r="D32" i="20" s="1"/>
  <c r="F32" i="20" s="1"/>
  <c r="G33" i="20" s="1"/>
  <c r="G29" i="20"/>
  <c r="G23" i="20"/>
  <c r="G15" i="20"/>
  <c r="G3" i="20"/>
  <c r="G9" i="18"/>
  <c r="C5" i="19"/>
  <c r="G39" i="19"/>
  <c r="B32" i="19"/>
  <c r="D32" i="19" s="1"/>
  <c r="F32" i="19" s="1"/>
  <c r="G33" i="19" s="1"/>
  <c r="G29" i="19"/>
  <c r="G23" i="19"/>
  <c r="F18" i="19"/>
  <c r="G15" i="19"/>
  <c r="G9" i="19"/>
  <c r="G3" i="19"/>
  <c r="C5" i="18"/>
  <c r="G39" i="18"/>
  <c r="B32" i="18"/>
  <c r="D32" i="18" s="1"/>
  <c r="F32" i="18" s="1"/>
  <c r="G33" i="18" s="1"/>
  <c r="G29" i="18"/>
  <c r="F18" i="18"/>
  <c r="G23" i="18" s="1"/>
  <c r="G15" i="18"/>
  <c r="G3" i="18"/>
  <c r="G9" i="17"/>
  <c r="C5" i="17"/>
  <c r="G39" i="17"/>
  <c r="B32" i="17"/>
  <c r="D32" i="17" s="1"/>
  <c r="F32" i="17" s="1"/>
  <c r="G33" i="17" s="1"/>
  <c r="G29" i="17"/>
  <c r="F18" i="17"/>
  <c r="G23" i="17" s="1"/>
  <c r="G15" i="17"/>
  <c r="G3" i="17"/>
  <c r="C5" i="16"/>
  <c r="G39" i="16"/>
  <c r="B32" i="16"/>
  <c r="D32" i="16" s="1"/>
  <c r="F32" i="16" s="1"/>
  <c r="G33" i="16" s="1"/>
  <c r="G29" i="16"/>
  <c r="F18" i="16"/>
  <c r="G23" i="16" s="1"/>
  <c r="G15" i="16"/>
  <c r="G9" i="16"/>
  <c r="G3" i="16"/>
  <c r="F19" i="15"/>
  <c r="C5" i="15"/>
  <c r="G39" i="15"/>
  <c r="B32" i="15"/>
  <c r="D32" i="15" s="1"/>
  <c r="F32" i="15" s="1"/>
  <c r="G33" i="15" s="1"/>
  <c r="G29" i="15"/>
  <c r="F18" i="15"/>
  <c r="G15" i="15"/>
  <c r="G9" i="15"/>
  <c r="G3" i="15"/>
  <c r="C5" i="14"/>
  <c r="G39" i="14"/>
  <c r="B32" i="14"/>
  <c r="D32" i="14" s="1"/>
  <c r="F32" i="14" s="1"/>
  <c r="G33" i="14" s="1"/>
  <c r="G29" i="14"/>
  <c r="F18" i="14"/>
  <c r="G23" i="14" s="1"/>
  <c r="G15" i="14"/>
  <c r="G9" i="14"/>
  <c r="G3" i="14"/>
  <c r="C5" i="13"/>
  <c r="G39" i="13"/>
  <c r="B32" i="13"/>
  <c r="D32" i="13" s="1"/>
  <c r="F32" i="13" s="1"/>
  <c r="G33" i="13" s="1"/>
  <c r="G29" i="13"/>
  <c r="F18" i="13"/>
  <c r="G23" i="13" s="1"/>
  <c r="G15" i="13"/>
  <c r="G9" i="13"/>
  <c r="G3" i="13"/>
  <c r="F19" i="12"/>
  <c r="F19" i="11"/>
  <c r="F20" i="10"/>
  <c r="C5" i="12"/>
  <c r="G39" i="12"/>
  <c r="B32" i="12"/>
  <c r="D32" i="12" s="1"/>
  <c r="F32" i="12" s="1"/>
  <c r="G33" i="12" s="1"/>
  <c r="G29" i="12"/>
  <c r="G23" i="12"/>
  <c r="F18" i="12"/>
  <c r="G15" i="12"/>
  <c r="G9" i="12"/>
  <c r="G3" i="12"/>
  <c r="C5" i="11"/>
  <c r="G39" i="11"/>
  <c r="B32" i="11"/>
  <c r="D32" i="11" s="1"/>
  <c r="F32" i="11" s="1"/>
  <c r="G33" i="11" s="1"/>
  <c r="G29" i="11"/>
  <c r="F18" i="11"/>
  <c r="G23" i="11" s="1"/>
  <c r="G15" i="11"/>
  <c r="G9" i="11"/>
  <c r="G3" i="11"/>
  <c r="C5" i="10"/>
  <c r="G39" i="10"/>
  <c r="B32" i="10"/>
  <c r="D32" i="10" s="1"/>
  <c r="F32" i="10" s="1"/>
  <c r="G33" i="10" s="1"/>
  <c r="G29" i="10"/>
  <c r="G23" i="10"/>
  <c r="F19" i="10"/>
  <c r="F18" i="10"/>
  <c r="G15" i="10"/>
  <c r="G9" i="10"/>
  <c r="G3" i="10"/>
  <c r="C5" i="9"/>
  <c r="G39" i="9"/>
  <c r="B32" i="9"/>
  <c r="D32" i="9" s="1"/>
  <c r="F32" i="9" s="1"/>
  <c r="G33" i="9" s="1"/>
  <c r="G29" i="9"/>
  <c r="F19" i="9"/>
  <c r="F18" i="9"/>
  <c r="G23" i="9" s="1"/>
  <c r="G15" i="9"/>
  <c r="G9" i="9"/>
  <c r="G3" i="9"/>
  <c r="F19" i="8"/>
  <c r="F18" i="8"/>
  <c r="G9" i="8"/>
  <c r="C5" i="8"/>
  <c r="G39" i="8"/>
  <c r="B32" i="8"/>
  <c r="D32" i="8" s="1"/>
  <c r="F32" i="8" s="1"/>
  <c r="G33" i="8" s="1"/>
  <c r="G29" i="8"/>
  <c r="G15" i="8"/>
  <c r="G3" i="8"/>
  <c r="B32" i="7"/>
  <c r="D32" i="7" s="1"/>
  <c r="F32" i="7" s="1"/>
  <c r="G33" i="7" s="1"/>
  <c r="C5" i="7"/>
  <c r="G39" i="7"/>
  <c r="G29" i="7"/>
  <c r="G23" i="7"/>
  <c r="G15" i="7"/>
  <c r="G9" i="7"/>
  <c r="G3" i="7"/>
  <c r="C5" i="6"/>
  <c r="G39" i="6"/>
  <c r="B32" i="6"/>
  <c r="D32" i="6" s="1"/>
  <c r="F32" i="6" s="1"/>
  <c r="G33" i="6" s="1"/>
  <c r="G29" i="6"/>
  <c r="G23" i="6"/>
  <c r="F18" i="6"/>
  <c r="G15" i="6"/>
  <c r="G9" i="6"/>
  <c r="G3" i="6"/>
  <c r="F18" i="5"/>
  <c r="G23" i="5" s="1"/>
  <c r="G9" i="5"/>
  <c r="C5" i="5"/>
  <c r="G39" i="5"/>
  <c r="B32" i="5"/>
  <c r="D32" i="5" s="1"/>
  <c r="F32" i="5" s="1"/>
  <c r="G33" i="5" s="1"/>
  <c r="G29" i="5"/>
  <c r="G15" i="5"/>
  <c r="G3" i="5"/>
  <c r="B32" i="4"/>
  <c r="G40" i="27" l="1"/>
  <c r="G40" i="26"/>
  <c r="G23" i="23"/>
  <c r="G41" i="23" s="1"/>
  <c r="G40" i="25"/>
  <c r="G41" i="24"/>
  <c r="G41" i="22"/>
  <c r="G41" i="21"/>
  <c r="G41" i="20"/>
  <c r="G41" i="19"/>
  <c r="G41" i="18"/>
  <c r="G41" i="17"/>
  <c r="G41" i="16"/>
  <c r="G23" i="15"/>
  <c r="G41" i="15" s="1"/>
  <c r="G41" i="14"/>
  <c r="G41" i="13"/>
  <c r="G41" i="12"/>
  <c r="G41" i="11"/>
  <c r="G41" i="10"/>
  <c r="G41" i="9"/>
  <c r="G23" i="8"/>
  <c r="G41" i="8"/>
  <c r="G41" i="7"/>
  <c r="G41" i="6"/>
  <c r="G41" i="5"/>
  <c r="G9" i="4"/>
  <c r="C5" i="4"/>
  <c r="G39" i="4" l="1"/>
  <c r="D32" i="4"/>
  <c r="F32" i="4" s="1"/>
  <c r="G29" i="4"/>
  <c r="G23" i="4"/>
  <c r="G15" i="4"/>
  <c r="G3" i="4"/>
  <c r="G33" i="4" l="1"/>
  <c r="G41" i="4" s="1"/>
  <c r="J10" i="3" l="1"/>
  <c r="I50" i="2"/>
  <c r="I49" i="2"/>
  <c r="H42" i="3"/>
  <c r="J41" i="3"/>
  <c r="H41" i="3"/>
  <c r="I40" i="3"/>
  <c r="E40" i="3"/>
  <c r="H40" i="3" s="1"/>
  <c r="G39" i="3"/>
  <c r="E39" i="3"/>
  <c r="I38" i="3"/>
  <c r="J38" i="3" s="1"/>
  <c r="H38" i="3"/>
  <c r="G37" i="3"/>
  <c r="I37" i="3" s="1"/>
  <c r="E37" i="3"/>
  <c r="I36" i="3"/>
  <c r="J36" i="3" s="1"/>
  <c r="H36" i="3"/>
  <c r="G35" i="3"/>
  <c r="I35" i="3" s="1"/>
  <c r="J35" i="3" s="1"/>
  <c r="G34" i="3"/>
  <c r="I34" i="3" s="1"/>
  <c r="J34" i="3" s="1"/>
  <c r="I33" i="3"/>
  <c r="J33" i="3" s="1"/>
  <c r="H33" i="3"/>
  <c r="E32" i="3"/>
  <c r="F32" i="3" s="1"/>
  <c r="I29" i="3"/>
  <c r="E29" i="3"/>
  <c r="F29" i="3" s="1"/>
  <c r="E28" i="3"/>
  <c r="H28" i="3" s="1"/>
  <c r="E27" i="3"/>
  <c r="H27" i="3" s="1"/>
  <c r="I26" i="3"/>
  <c r="J26" i="3" s="1"/>
  <c r="H26" i="3"/>
  <c r="F26" i="3"/>
  <c r="J25" i="3"/>
  <c r="H25" i="3"/>
  <c r="I23" i="3"/>
  <c r="J23" i="3" s="1"/>
  <c r="H23" i="3"/>
  <c r="F23" i="3"/>
  <c r="I22" i="3"/>
  <c r="J22" i="3" s="1"/>
  <c r="H22" i="3"/>
  <c r="F22" i="3"/>
  <c r="G21" i="3"/>
  <c r="H21" i="3" s="1"/>
  <c r="F21" i="3"/>
  <c r="I20" i="3"/>
  <c r="J20" i="3" s="1"/>
  <c r="H20" i="3"/>
  <c r="F20" i="3"/>
  <c r="I19" i="3"/>
  <c r="J19" i="3" s="1"/>
  <c r="H19" i="3"/>
  <c r="F19" i="3"/>
  <c r="I18" i="3"/>
  <c r="J18" i="3" s="1"/>
  <c r="H18" i="3"/>
  <c r="F18" i="3"/>
  <c r="I17" i="3"/>
  <c r="J17" i="3" s="1"/>
  <c r="H17" i="3"/>
  <c r="F17" i="3"/>
  <c r="I16" i="3"/>
  <c r="J16" i="3" s="1"/>
  <c r="H16" i="3"/>
  <c r="F16" i="3"/>
  <c r="I15" i="3"/>
  <c r="J15" i="3" s="1"/>
  <c r="H15" i="3"/>
  <c r="F15" i="3"/>
  <c r="G14" i="3"/>
  <c r="H14" i="3" s="1"/>
  <c r="F14" i="3"/>
  <c r="J13" i="3"/>
  <c r="H13" i="3"/>
  <c r="F13" i="3"/>
  <c r="I12" i="3"/>
  <c r="J12" i="3" s="1"/>
  <c r="H12" i="3"/>
  <c r="F12" i="3"/>
  <c r="I9" i="3"/>
  <c r="J9" i="3" s="1"/>
  <c r="H9" i="3"/>
  <c r="F9" i="3"/>
  <c r="I8" i="3"/>
  <c r="J8" i="3" s="1"/>
  <c r="H8" i="3"/>
  <c r="F8" i="3"/>
  <c r="I7" i="3"/>
  <c r="J7" i="3" s="1"/>
  <c r="H7" i="3"/>
  <c r="F7" i="3"/>
  <c r="I6" i="3"/>
  <c r="J6" i="3" s="1"/>
  <c r="H6" i="3"/>
  <c r="F6" i="3"/>
  <c r="E43" i="1"/>
  <c r="J43" i="1" s="1"/>
  <c r="J42" i="1"/>
  <c r="H42" i="1"/>
  <c r="H36" i="2"/>
  <c r="I35" i="2"/>
  <c r="J35" i="2" s="1"/>
  <c r="H35" i="2"/>
  <c r="I34" i="2"/>
  <c r="E34" i="2"/>
  <c r="H34" i="2" s="1"/>
  <c r="I33" i="2"/>
  <c r="E33" i="2"/>
  <c r="H33" i="2" s="1"/>
  <c r="G32" i="2"/>
  <c r="I32" i="2" s="1"/>
  <c r="E32" i="2"/>
  <c r="J31" i="2"/>
  <c r="H31" i="2"/>
  <c r="I30" i="2"/>
  <c r="E30" i="2"/>
  <c r="H30" i="2" s="1"/>
  <c r="I27" i="2"/>
  <c r="E27" i="2"/>
  <c r="H27" i="2" s="1"/>
  <c r="E26" i="2"/>
  <c r="F26" i="2" s="1"/>
  <c r="I25" i="2"/>
  <c r="E25" i="2"/>
  <c r="H25" i="2" s="1"/>
  <c r="I24" i="2"/>
  <c r="J24" i="2" s="1"/>
  <c r="H24" i="2"/>
  <c r="F24" i="2"/>
  <c r="I22" i="2"/>
  <c r="J22" i="2" s="1"/>
  <c r="H22" i="2"/>
  <c r="F22" i="2"/>
  <c r="I21" i="2"/>
  <c r="J21" i="2" s="1"/>
  <c r="H21" i="2"/>
  <c r="F21" i="2"/>
  <c r="G20" i="2"/>
  <c r="I20" i="2" s="1"/>
  <c r="J20" i="2" s="1"/>
  <c r="F20" i="2"/>
  <c r="I19" i="2"/>
  <c r="J19" i="2" s="1"/>
  <c r="H19" i="2"/>
  <c r="F19" i="2"/>
  <c r="I18" i="2"/>
  <c r="J18" i="2" s="1"/>
  <c r="H18" i="2"/>
  <c r="F18" i="2"/>
  <c r="I17" i="2"/>
  <c r="J17" i="2" s="1"/>
  <c r="H17" i="2"/>
  <c r="F17" i="2"/>
  <c r="I16" i="2"/>
  <c r="J16" i="2" s="1"/>
  <c r="H16" i="2"/>
  <c r="F16" i="2"/>
  <c r="I15" i="2"/>
  <c r="J15" i="2" s="1"/>
  <c r="H15" i="2"/>
  <c r="F15" i="2"/>
  <c r="I14" i="2"/>
  <c r="J14" i="2" s="1"/>
  <c r="H14" i="2"/>
  <c r="F14" i="2"/>
  <c r="G13" i="2"/>
  <c r="H13" i="2" s="1"/>
  <c r="F13" i="2"/>
  <c r="I12" i="2"/>
  <c r="J12" i="2" s="1"/>
  <c r="H12" i="2"/>
  <c r="F12" i="2"/>
  <c r="I11" i="2"/>
  <c r="J11" i="2" s="1"/>
  <c r="H11" i="2"/>
  <c r="F11" i="2"/>
  <c r="I9" i="2"/>
  <c r="J9" i="2" s="1"/>
  <c r="H9" i="2"/>
  <c r="F9" i="2"/>
  <c r="I8" i="2"/>
  <c r="J8" i="2" s="1"/>
  <c r="H8" i="2"/>
  <c r="F8" i="2"/>
  <c r="I7" i="2"/>
  <c r="J7" i="2" s="1"/>
  <c r="H7" i="2"/>
  <c r="F7" i="2"/>
  <c r="I6" i="2"/>
  <c r="J6" i="2" s="1"/>
  <c r="H6" i="2"/>
  <c r="F6" i="2"/>
  <c r="I27" i="1"/>
  <c r="I28" i="1"/>
  <c r="I29" i="1"/>
  <c r="I32" i="1"/>
  <c r="I33" i="1"/>
  <c r="J33" i="1" s="1"/>
  <c r="I36" i="1"/>
  <c r="J36" i="1" s="1"/>
  <c r="I38" i="1"/>
  <c r="J38" i="1" s="1"/>
  <c r="I40" i="1"/>
  <c r="I41" i="1"/>
  <c r="I44" i="1"/>
  <c r="J44" i="1" s="1"/>
  <c r="I26" i="1"/>
  <c r="I13" i="1"/>
  <c r="I15" i="1"/>
  <c r="I16" i="1"/>
  <c r="I17" i="1"/>
  <c r="I18" i="1"/>
  <c r="I19" i="1"/>
  <c r="I20" i="1"/>
  <c r="I22" i="1"/>
  <c r="I23" i="1"/>
  <c r="I12" i="1"/>
  <c r="I7" i="1"/>
  <c r="I8" i="1"/>
  <c r="I9" i="1"/>
  <c r="I6" i="1"/>
  <c r="H35" i="3" l="1"/>
  <c r="J37" i="3"/>
  <c r="J39" i="3"/>
  <c r="J43" i="3" s="1"/>
  <c r="H29" i="3"/>
  <c r="H39" i="3"/>
  <c r="J28" i="3"/>
  <c r="F24" i="3"/>
  <c r="J14" i="3"/>
  <c r="J24" i="3" s="1"/>
  <c r="H32" i="3"/>
  <c r="H37" i="3"/>
  <c r="F10" i="3"/>
  <c r="I21" i="3"/>
  <c r="J21" i="3" s="1"/>
  <c r="J32" i="3"/>
  <c r="H10" i="3"/>
  <c r="H24" i="3"/>
  <c r="J29" i="3"/>
  <c r="H34" i="3"/>
  <c r="J40" i="3"/>
  <c r="J27" i="3"/>
  <c r="F27" i="3"/>
  <c r="F28" i="3"/>
  <c r="F43" i="3" s="1"/>
  <c r="F44" i="3" s="1"/>
  <c r="H43" i="3"/>
  <c r="H44" i="3" s="1"/>
  <c r="J26" i="2"/>
  <c r="J27" i="2"/>
  <c r="J32" i="2"/>
  <c r="J34" i="2"/>
  <c r="I13" i="2"/>
  <c r="J13" i="2" s="1"/>
  <c r="J23" i="2" s="1"/>
  <c r="F23" i="2"/>
  <c r="F27" i="2"/>
  <c r="J33" i="2"/>
  <c r="K11" i="2"/>
  <c r="J25" i="2"/>
  <c r="H26" i="2"/>
  <c r="K12" i="2"/>
  <c r="J30" i="2"/>
  <c r="H20" i="2"/>
  <c r="H23" i="2" s="1"/>
  <c r="F30" i="2"/>
  <c r="H32" i="2"/>
  <c r="F25" i="2"/>
  <c r="H43" i="1"/>
  <c r="G21" i="1"/>
  <c r="G37" i="1"/>
  <c r="I37" i="1" s="1"/>
  <c r="E41" i="1"/>
  <c r="E40" i="1"/>
  <c r="H40" i="1" s="1"/>
  <c r="G34" i="1"/>
  <c r="G35" i="1"/>
  <c r="G39" i="1"/>
  <c r="I39" i="1" s="1"/>
  <c r="E39" i="1"/>
  <c r="H39" i="1" s="1"/>
  <c r="H44" i="1"/>
  <c r="E37" i="1"/>
  <c r="H38" i="1" s="1"/>
  <c r="H33" i="1"/>
  <c r="H36" i="1"/>
  <c r="H45" i="1"/>
  <c r="G14" i="1"/>
  <c r="J7" i="1"/>
  <c r="J8" i="1"/>
  <c r="J9" i="1"/>
  <c r="J12" i="1"/>
  <c r="J13" i="1"/>
  <c r="J15" i="1"/>
  <c r="J16" i="1"/>
  <c r="J17" i="1"/>
  <c r="J18" i="1"/>
  <c r="J19" i="1"/>
  <c r="J20" i="1"/>
  <c r="J22" i="1"/>
  <c r="J23" i="1"/>
  <c r="J25" i="1"/>
  <c r="J26" i="1"/>
  <c r="J6" i="1"/>
  <c r="H7" i="1"/>
  <c r="H8" i="1"/>
  <c r="H9" i="1"/>
  <c r="H12" i="1"/>
  <c r="H13" i="1"/>
  <c r="H15" i="1"/>
  <c r="H16" i="1"/>
  <c r="H17" i="1"/>
  <c r="H18" i="1"/>
  <c r="H19" i="1"/>
  <c r="H20" i="1"/>
  <c r="H22" i="1"/>
  <c r="H23" i="1"/>
  <c r="H25" i="1"/>
  <c r="H26" i="1"/>
  <c r="H6" i="1"/>
  <c r="E32" i="1"/>
  <c r="F32" i="1" s="1"/>
  <c r="E29" i="1"/>
  <c r="F29" i="1" s="1"/>
  <c r="E28" i="1"/>
  <c r="F28" i="1" s="1"/>
  <c r="E27" i="1"/>
  <c r="F7" i="1"/>
  <c r="F8" i="1"/>
  <c r="F9" i="1"/>
  <c r="F12" i="1"/>
  <c r="F13" i="1"/>
  <c r="F14" i="1"/>
  <c r="F15" i="1"/>
  <c r="F16" i="1"/>
  <c r="F17" i="1"/>
  <c r="F18" i="1"/>
  <c r="F19" i="1"/>
  <c r="F20" i="1"/>
  <c r="F21" i="1"/>
  <c r="F22" i="1"/>
  <c r="F23" i="1"/>
  <c r="F26" i="1"/>
  <c r="F6" i="1"/>
  <c r="J44" i="3" l="1"/>
  <c r="J46" i="3" s="1"/>
  <c r="F45" i="3"/>
  <c r="F46" i="3"/>
  <c r="F47" i="3"/>
  <c r="F48" i="3" s="1"/>
  <c r="H45" i="3"/>
  <c r="H47" i="3"/>
  <c r="H48" i="3" s="1"/>
  <c r="H46" i="3"/>
  <c r="J37" i="2"/>
  <c r="J38" i="2" s="1"/>
  <c r="J41" i="2" s="1"/>
  <c r="J42" i="2" s="1"/>
  <c r="J39" i="1"/>
  <c r="H41" i="1"/>
  <c r="J41" i="1"/>
  <c r="H14" i="1"/>
  <c r="I14" i="1"/>
  <c r="J14" i="1" s="1"/>
  <c r="H35" i="1"/>
  <c r="I35" i="1"/>
  <c r="J35" i="1" s="1"/>
  <c r="J37" i="1"/>
  <c r="F27" i="1"/>
  <c r="F46" i="1" s="1"/>
  <c r="J27" i="1"/>
  <c r="H34" i="1"/>
  <c r="I34" i="1"/>
  <c r="J34" i="1" s="1"/>
  <c r="H21" i="1"/>
  <c r="I21" i="1"/>
  <c r="J21" i="1" s="1"/>
  <c r="J40" i="1"/>
  <c r="F37" i="2"/>
  <c r="F38" i="2" s="1"/>
  <c r="F41" i="2" s="1"/>
  <c r="F42" i="2" s="1"/>
  <c r="H37" i="2"/>
  <c r="H38" i="2" s="1"/>
  <c r="H10" i="1"/>
  <c r="H37" i="1"/>
  <c r="J10" i="1"/>
  <c r="H32" i="1"/>
  <c r="J28" i="1"/>
  <c r="J32" i="1"/>
  <c r="H27" i="1"/>
  <c r="H29" i="1"/>
  <c r="H28" i="1"/>
  <c r="J29" i="1"/>
  <c r="F24" i="1"/>
  <c r="F10" i="1"/>
  <c r="F49" i="3" l="1"/>
  <c r="J45" i="3"/>
  <c r="J47" i="3"/>
  <c r="J48" i="3" s="1"/>
  <c r="H49" i="3"/>
  <c r="H46" i="1"/>
  <c r="J46" i="1"/>
  <c r="J24" i="1"/>
  <c r="H24" i="1"/>
  <c r="H47" i="1" s="1"/>
  <c r="H48" i="1" s="1"/>
  <c r="J40" i="2"/>
  <c r="J39" i="2"/>
  <c r="F40" i="2"/>
  <c r="F39" i="2"/>
  <c r="H39" i="2"/>
  <c r="H40" i="2"/>
  <c r="H41" i="2"/>
  <c r="H42" i="2" s="1"/>
  <c r="F47" i="1"/>
  <c r="F49" i="1" s="1"/>
  <c r="J49" i="3" l="1"/>
  <c r="F43" i="2"/>
  <c r="J43" i="2"/>
  <c r="J47" i="1"/>
  <c r="H43" i="2"/>
  <c r="F48" i="1"/>
  <c r="F50" i="1"/>
  <c r="F51" i="1" s="1"/>
  <c r="J49" i="1"/>
  <c r="H49" i="1"/>
  <c r="H50" i="1"/>
  <c r="H51" i="1" s="1"/>
  <c r="J48" i="1" l="1"/>
  <c r="J50" i="1"/>
  <c r="J51" i="1" s="1"/>
  <c r="F52" i="1"/>
  <c r="H52" i="1"/>
  <c r="J52" i="1" l="1"/>
</calcChain>
</file>

<file path=xl/sharedStrings.xml><?xml version="1.0" encoding="utf-8"?>
<sst xmlns="http://schemas.openxmlformats.org/spreadsheetml/2006/main" count="2383" uniqueCount="200">
  <si>
    <t>ITEM</t>
  </si>
  <si>
    <t>DESCRIPCION</t>
  </si>
  <si>
    <t>DETECTOR FOTOELÉCTRICO DE HUMO CONVENCIONAL DE
4 HILOS. INCLUYE BASE</t>
  </si>
  <si>
    <t>CABLE 18 AWG, 4 CONDUCTORES, SIN BLINDAR, DE COLOR
ROJO</t>
  </si>
  <si>
    <t>SUMINISTRO E INSTALACIÓN DE PUNTO LOGICO SENCILLO DE CABLEADO ESTRUCTURADO CAT. 6A, DESDE EL RACK, INCLUYE CERTIFICACIÓN, RED REGULADA Y NO REGULADA SEGUN ESPECIFICACIONES TÉCNICAS ANEXAS FLORENCIA</t>
  </si>
  <si>
    <t>ADMINISTRACION</t>
  </si>
  <si>
    <t>UTILIDAD</t>
  </si>
  <si>
    <t>COSTO DIRECTO</t>
  </si>
  <si>
    <t>CABLE ESTRUCTURADO</t>
  </si>
  <si>
    <t>COSTO TOTAL DE LA OBRA</t>
  </si>
  <si>
    <t xml:space="preserve">IMPREVISTOS </t>
  </si>
  <si>
    <t>IVA SOBRE UTILIDAD</t>
  </si>
  <si>
    <t>UNITARIO</t>
  </si>
  <si>
    <t>TOTAL</t>
  </si>
  <si>
    <t>Realizar a Precios Unitarios Fijos las Obras de Adecuación y Mantenimiento de las Instalaciones Eléctricas, Cableado Estructurado y Sistema de Detección y Alarma contra Incendios de la Seccional Florencia.</t>
  </si>
  <si>
    <t>UNIDAD</t>
  </si>
  <si>
    <t>CANTIDAD</t>
  </si>
  <si>
    <t>RED ELÉCTRICA</t>
  </si>
  <si>
    <t>EQUIPO DE MEDIDA DE OS ELEMENTOS EXISTENTE</t>
  </si>
  <si>
    <t>1.1.1</t>
  </si>
  <si>
    <t>DESCONEXION Y DESMONTE DEL EQUIPO DE MEDIDA DE DOS ELEMENTOS,  EN MEDIA TENSIÓN , EXISTENTE (DOS TRANFORMADORES DE POTECIAL Y DOS TRANFORMADORES DE CORRIENTE) INCLUYE MANO DE OBRA, HERRAMIENTAS Y MANIOBRAS DE CORTE Y RECONEXIÓN  DE LA ENERGIA ELECTRICA.</t>
  </si>
  <si>
    <t>Und</t>
  </si>
  <si>
    <t>1.1.2</t>
  </si>
  <si>
    <t>SUMINSTRO E INSTALACION DE TRANSFORMADOR DE CORRIENTE, CT 15 KV, USO INTERIOR ,  INCLUYE MANO DE OBRA, HERRAMIENTA.</t>
  </si>
  <si>
    <t>1.1.3</t>
  </si>
  <si>
    <t>SUMINSTRO E INSTALACION DE TRANSFORMADOR DE DE VOLTAJE, PT 13,2 KV /120, USO INTERIOR, ,  INCLUYE MANO DE OBRA, HERRAMIENTAS.</t>
  </si>
  <si>
    <t>1.1.4</t>
  </si>
  <si>
    <t>MANTENIMIENTO A TABLEROS DE DISTRIBUCION DE BAJA TENSION AUTOSOPORTADOS, INCLUYE LIMPIEZA GENERAL, AJUSTE DE CONEXIONES, ARREGLO O REPOSICIÓN DE CHAPA Y CLIPS DE TAPAS LATERALES, CONEXIÓN DE LA ESTRUCTURA Y PUERTAS A BARRAJE DE TIERRAS, Y MANO DE OBRA E INSUMOS.</t>
  </si>
  <si>
    <t>Total RED ELÉCTRICA</t>
  </si>
  <si>
    <t>RED CONTRA INCENDIOS</t>
  </si>
  <si>
    <t>2,01</t>
  </si>
  <si>
    <t>CAJA DE PLASTICA 15X15</t>
  </si>
  <si>
    <t>un</t>
  </si>
  <si>
    <t>2,02</t>
  </si>
  <si>
    <t>CAJA DE PASO  10X10</t>
  </si>
  <si>
    <t>und</t>
  </si>
  <si>
    <t>2,03</t>
  </si>
  <si>
    <t>2,04</t>
  </si>
  <si>
    <t>2,05</t>
  </si>
  <si>
    <t>MODULO EXPANSOR 8 ZONAS</t>
  </si>
  <si>
    <t>2,06</t>
  </si>
  <si>
    <t>TRANSFORMADOR 16.5V 40AMP</t>
  </si>
  <si>
    <t>2,07</t>
  </si>
  <si>
    <t>FUENTE DE ALIMENTACION 1.5A CONTINUO</t>
  </si>
  <si>
    <t>2,08</t>
  </si>
  <si>
    <t>CAJA METALICA 28 X 28 X 7.6CM</t>
  </si>
  <si>
    <t>2,09</t>
  </si>
  <si>
    <t>BATERIA 12V 4AH</t>
  </si>
  <si>
    <t>2,10</t>
  </si>
  <si>
    <t>ml</t>
  </si>
  <si>
    <t>2,11</t>
  </si>
  <si>
    <t>CLAVIJA DE SEGURIDAD 15A</t>
  </si>
  <si>
    <t>2,12</t>
  </si>
  <si>
    <t>CANALETA PLASTICA 20X10</t>
  </si>
  <si>
    <t>Total RED CONTRA INCENDIOS</t>
  </si>
  <si>
    <t>CABLEADO ESTRUCTURADO</t>
  </si>
  <si>
    <t>3,01</t>
  </si>
  <si>
    <t>MANTENIMIENTO DEL CENTRO DE CABLEADO. INCLUYE REORGANIZACIÓN, PEINADO DE CABLES, MARQUILLADO, ORGANIZADORES DE CABLES, CINTA VELCRO Y TODO LO NECESARIO PARA SU ORGANIZACION.</t>
  </si>
  <si>
    <t>3,02</t>
  </si>
  <si>
    <t>DESMONTE DE PUNTO DE CABLEADO ESTRUCTURADO EXISTENTE. INCLUYE PUNTO LÓGICO, TOMA REGULADA, TOMA NORMAL, CABLEADO, CANALETA Y DEMÁS ELEMENTOS</t>
  </si>
  <si>
    <t>3,03</t>
  </si>
  <si>
    <t>3,04</t>
  </si>
  <si>
    <t>SUMINISTRO E INSTALACIÓN DE PUNTO LOGICO DOBLE DE CABLEADO ESTRUCTURADO CAT. 6A, DESDE EL RACK, INCLUYE CERTIFICACIÓN, RED REGULADA Y NO REGULADA SEGUN ESPECIFICACIONESTÉCNICAS ANEXAS FLORENCIA</t>
  </si>
  <si>
    <t>3,05</t>
  </si>
  <si>
    <t>SUMINISTRO E INSTALACIÓN DE PUNTO LOGICO SENCILLO DE CABLEADO ESTRUCTURADO PARA IMPRESORA CAT. 6A, DESDE EL RACK, INCLUYE CERTIFICACIÓN, RED NO REGULADA SEGUN ESPECIFICACIONES TÉCNICAS ANEXAS FLORENCIA</t>
  </si>
  <si>
    <r>
      <rPr>
        <sz val="8"/>
        <rFont val="Calibri"/>
        <family val="2"/>
        <scheme val="minor"/>
      </rPr>
      <t>ESTACION MANUAL DE EMERGENCIA, DOBLE ACCION,
CONVENCIONAL, CON MENSAJE EN ESPAÑOL</t>
    </r>
  </si>
  <si>
    <t>NP-01</t>
  </si>
  <si>
    <t>NP-02</t>
  </si>
  <si>
    <t>NP-03</t>
  </si>
  <si>
    <t>NP-04</t>
  </si>
  <si>
    <t>NP-05</t>
  </si>
  <si>
    <t>NP-06</t>
  </si>
  <si>
    <t>NP-07</t>
  </si>
  <si>
    <t>m</t>
  </si>
  <si>
    <t xml:space="preserve">SUMINISTRO E INSTALCIÓN DE CABLE UTP CATAGORIA 6A. </t>
  </si>
  <si>
    <t xml:space="preserve">DESMONTE DE CIELORASO. INCLUYE RETIRO </t>
  </si>
  <si>
    <t>SUMINISTRO DE CIELORASO EN DRYWALL, INCLYE PINTURA DE ACABADO</t>
  </si>
  <si>
    <t xml:space="preserve">DESMONTE Y MONTE DE CIELORASO </t>
  </si>
  <si>
    <t>CANALETA METALICA DE 12X5 CM</t>
  </si>
  <si>
    <t xml:space="preserve">CONFIGURACION DE TARJETA DE RED CONTRAINCENDIO </t>
  </si>
  <si>
    <t>NP-08</t>
  </si>
  <si>
    <t>NP-09</t>
  </si>
  <si>
    <t>NP-10</t>
  </si>
  <si>
    <t>TUBERIA EMT DE 1/2". INCLUYE, CURVAS, TERMONALES, CHAZOS Y ABRAZARAS</t>
  </si>
  <si>
    <t xml:space="preserve">ASEO GENERAL DE OBRA </t>
  </si>
  <si>
    <t>ORGANIZADOR PARA RACK</t>
  </si>
  <si>
    <t xml:space="preserve">REUBICACION DE DETECTOR DE HUMO </t>
  </si>
  <si>
    <t>NP-11</t>
  </si>
  <si>
    <t xml:space="preserve">V. TOTAL MAYORES CANTIDADES DE ORA E IMPREVISTOS </t>
  </si>
  <si>
    <t xml:space="preserve"> CANTIDADES DE OBRA ACTUALIZADAS </t>
  </si>
  <si>
    <t xml:space="preserve"> CANTIDADES TOTALES DE OBRA ACTUALIZADAS </t>
  </si>
  <si>
    <t>V. TOTAL CANTIDADES DE OBRA ACTUALIZADAS</t>
  </si>
  <si>
    <t>CAJA DE PASO  10X10 Y/O OCTAGONAL METALICA CALIBRE 20</t>
  </si>
  <si>
    <t>M</t>
  </si>
  <si>
    <t>UND</t>
  </si>
  <si>
    <t xml:space="preserve">ORGANIZADOR PARA RACK -HORIZONTAL </t>
  </si>
  <si>
    <t xml:space="preserve">SUMINISTRO E INSTALCION DE PINTURA VINILO TIPO 1 DOS APLICACIONES SOBRE SUPERFICIES DEL MISMO COLOR </t>
  </si>
  <si>
    <t>M2</t>
  </si>
  <si>
    <t xml:space="preserve">JACK NEGRO </t>
  </si>
  <si>
    <t>JACK AZUL</t>
  </si>
  <si>
    <t>NP-1</t>
  </si>
  <si>
    <t>NP-12</t>
  </si>
  <si>
    <t xml:space="preserve">SUMINISTRO E INSTALACION DE CABLE TRENSADO 3X12 FASE ROJA </t>
  </si>
  <si>
    <t xml:space="preserve">ANEXO No. 2 PRECIOS UNITARIOS DE REFERENCIA PROCESO IMC-28-008-2024
</t>
  </si>
  <si>
    <t>VEGA INGENIERIA Y CONSTRUCCION S.A.S
NIT. 900.811.229-4
ING. JOSE FERNANDO VEGA PAVA 
C.C. 74.271.014 DE TASCO
REPRESENTANTE LEGAL 
CARRERA 136 A # 151-02 
Teléfono: 3219973260-6963224</t>
  </si>
  <si>
    <t>En constancia, se firma en Bogotá, D.C., a los 18 dias del mes de noviembre de 2024</t>
  </si>
  <si>
    <t>Cordialmente,</t>
  </si>
  <si>
    <t>VEGA INGENIERIA Y CONSTRUCCION S.A.S
NIT. 900.811.229-4
ING. JOSE FERNANDO VEGA PAVA 
C.C. 74.271.014 DE TASCO
REPRESENTANTE LEGAL
Teléfono: 3104840252-3219973260</t>
  </si>
  <si>
    <t xml:space="preserve">SOLICITUD DE COTIZACION 
MATERIALES ELECTRICOS EDIFICIO DE LA DIAN -FLORENCIA </t>
  </si>
  <si>
    <t>CANTIDAD INICIAL</t>
  </si>
  <si>
    <t xml:space="preserve"> TRANSFORMADOR DE CORRIENTE, CT 15 KV, USO INTERIOR </t>
  </si>
  <si>
    <t>TRANSFORMADOR DE DE VOLTAJE, PT 13,2 KV /120, USO INTERIOR, ,</t>
  </si>
  <si>
    <t xml:space="preserve"> CABLE UTP CATAGORIA 6A. PANDUIT FACTOR REDUCIDO</t>
  </si>
  <si>
    <t xml:space="preserve">AUTODESFORRE AMARILLO </t>
  </si>
  <si>
    <t xml:space="preserve">TORNILLO AUTOPERFORANTE DE TAPADO DE CANALETA </t>
  </si>
  <si>
    <t xml:space="preserve">TORNILLO AUTOPERFORANTE DE TAPADO CABEZA DE LENTEJA </t>
  </si>
  <si>
    <t>TERMO ENCOGIBLE PARA CABLE No 14 NEGRO</t>
  </si>
  <si>
    <t>CHAZO PUNTILLA DE 1/4X1-1/4"</t>
  </si>
  <si>
    <t xml:space="preserve">CINTA AISLANTE NEGRA </t>
  </si>
  <si>
    <t>ROLLO</t>
  </si>
  <si>
    <t>CINTA AISLANTE DE COLORES</t>
  </si>
  <si>
    <t>CAJA TIPO RAWEL 5800 CON SALIDA PARA 1/2"</t>
  </si>
  <si>
    <t xml:space="preserve">VELCRO PANDUIT </t>
  </si>
  <si>
    <t xml:space="preserve">TROQUEL DOBLE 12X5 SALIDA ELECTRICA Y SALIDA LOGICA </t>
  </si>
  <si>
    <t xml:space="preserve">TROQUEL SENCILLO  12X5 </t>
  </si>
  <si>
    <t xml:space="preserve">TORNILLO CON TUERCA PARA TROQUEL </t>
  </si>
  <si>
    <t xml:space="preserve">FACE PLATE SENCILLO </t>
  </si>
  <si>
    <t>FACE PLATE DOBLE</t>
  </si>
  <si>
    <t>PROBADOR DE CABLES DE RED RJ45 Y RJ 11</t>
  </si>
  <si>
    <t>DESMONTE DE CIELORASO EXISTENTE  EN DRYWALL . INCLUYE RETIRO DE SOBRANTES A SITIOS AUTORIZADOS</t>
  </si>
  <si>
    <t>SUMINISTRO DE CIELORASO EN DRYWALL, INCLUYE , ESTRUCTURA, TORNILLERIA, CINTA, MASILLA Y PINTURA DE ACABADO</t>
  </si>
  <si>
    <t>DESMONTE Y MONTE DE CIELORASO EXISTENTE DE 60X60 CM</t>
  </si>
  <si>
    <t xml:space="preserve">SUMINISTRO Y APLICACIÓN  DE PINTURA VINILO TIPO 1 DOS APLICACIONES SOBRE SUPERFICIES DEL MISMO COLOR </t>
  </si>
  <si>
    <t xml:space="preserve">REUBICACION DE PUNTOS DE  DETECTOR DE HUMO. INCLUYE DESMONTE DE PARATO, DESMONTE DE CABLEADO, UBICACIÓN FINAL DEL SENSOR Y COLOCACION DE APARATO NUEVAMENTE </t>
  </si>
  <si>
    <t>SUMINISTRO E INSTLACION DE TUBERIA EMT DE 1/2". INCLUYE, CURVAS, TERMINALES, CHAZOS Y ABRAZARAS Y DEMAS ELEMENTOS NECESARIOS.</t>
  </si>
  <si>
    <t>ANALISIS DE PRECIOS UNITARIOS</t>
  </si>
  <si>
    <t>FECHA:</t>
  </si>
  <si>
    <t>OBRA</t>
  </si>
  <si>
    <t xml:space="preserve">ITEM </t>
  </si>
  <si>
    <t>1.- EQUIPO</t>
  </si>
  <si>
    <t>TARIFA /UNIDAD</t>
  </si>
  <si>
    <t>RENDIMIENTO</t>
  </si>
  <si>
    <t>VALOR UNIT.</t>
  </si>
  <si>
    <t>HERRAMIENTA MENOR</t>
  </si>
  <si>
    <t>SUB-TOTAL</t>
  </si>
  <si>
    <t>2.- MATERIALES</t>
  </si>
  <si>
    <t>PRECIO UNIT.</t>
  </si>
  <si>
    <t>3.- TRANSPORTES</t>
  </si>
  <si>
    <t>MATERIAL</t>
  </si>
  <si>
    <t>VOL O PESO</t>
  </si>
  <si>
    <t>M3 O TON./KM</t>
  </si>
  <si>
    <t>TARIFA</t>
  </si>
  <si>
    <t>4.- MANO DE OBRA</t>
  </si>
  <si>
    <t>TRABAJADOR</t>
  </si>
  <si>
    <t>JORNAL</t>
  </si>
  <si>
    <t>PRESTACION</t>
  </si>
  <si>
    <t>JORNAL TOTAL</t>
  </si>
  <si>
    <t>5. OTROS</t>
  </si>
  <si>
    <t xml:space="preserve">TOTAL COSTO DIRECTO </t>
  </si>
  <si>
    <t>6. COSTOS INDIRECTOS</t>
  </si>
  <si>
    <t>PORCENTAJE</t>
  </si>
  <si>
    <t>VALOR TOTAL</t>
  </si>
  <si>
    <t>PRECIO UNITARIO TOTAL</t>
  </si>
  <si>
    <t>ELABORO</t>
  </si>
  <si>
    <t xml:space="preserve">REALIZAR A PRECIOS UNITARIOS FIJOS LAS OBRAS DE ADECUACIÓN Y MANTENIMIENTO DE LAS INSTALACIONES ELÉCTRICAS, CABLEADO ESTRUCTURADO Y SISTEMA DE DETECCIÓN Y ALARMA CONTRA INCENDIOS DE LA SECCIONAL FLORENCIA.					</t>
  </si>
  <si>
    <t xml:space="preserve">TRANSFORMADOR DE CORRIENTE, PT 13.2 KV/120  USO INTERIOS </t>
  </si>
  <si>
    <t xml:space="preserve">TRANSFORMADOR DE CORRIENTE CT 15 KV , USO INTERIOS </t>
  </si>
  <si>
    <t>CAJA DE PASO DE 15X15</t>
  </si>
  <si>
    <t>CHAZO PUNTILLA DE 1X1-1/4"</t>
  </si>
  <si>
    <t>CAJA DE PASO OCTAGONAL Y/O 10X10</t>
  </si>
  <si>
    <t>DETECTOR FOTOELECTRICO DE HUMO</t>
  </si>
  <si>
    <t xml:space="preserve">BASE PARA DETECTOR </t>
  </si>
  <si>
    <t>ESTACION MANUAL DE EMERGENCIA, DOBLE ACCION,
CONVENCIONAL, CON MENSAJE EN ESPAÑOL</t>
  </si>
  <si>
    <t xml:space="preserve">ESTACION MANUAL DE EMERGENCIA, DOBLE ACCION,
CONVENCIONAL, </t>
  </si>
  <si>
    <t>TRANSFORMADOR DE 16.5 C 40 AMP</t>
  </si>
  <si>
    <t>CAJA METALICA DE 28X28X7.6 CM</t>
  </si>
  <si>
    <t>BATERIA DE 12 V AAH</t>
  </si>
  <si>
    <t>CABLE 18 AWG, 4 CONDUCTORES, SIN BLINDAR COLOR ROJO</t>
  </si>
  <si>
    <t>CALAVIJA DE SEGURIDAD DE 15 A</t>
  </si>
  <si>
    <t>CANALETA PLASTICA DE 20X10</t>
  </si>
  <si>
    <t>PUL6AV04BU-EG CABLE UTP CATEGORIA 6A VARIMATRIX PANDUIT LSZH AZUL</t>
  </si>
  <si>
    <t>GB</t>
  </si>
  <si>
    <t xml:space="preserve">
ACCESORIOS COMO; Jack RJ445 Tipo hembra Categoria 6ª, Patch cord 7 fl categoria 6ª, Patch panel modular categoria 6 24 puertos 19", Marcacion, certificacion y pruebas 6ª, Face Plate 2 puertos, Patch cord 3 ft categoria 6 y demás accesorios requeridos </t>
  </si>
  <si>
    <t xml:space="preserve">ACCESORIOS COMO; Jack RJ445 Tipo hembra Categoria 6ª, Patch cord 7 fl categoria 6ª, Patch panel modular categoria 6 24 puertos 19", Marcacion, certificacion y pruebas 6ª, Face Plate 2 puertos, Patch cord 3 ft categoria 6 y demás accesorios requeridos </t>
  </si>
  <si>
    <t>MANO DE OBRA FF INSTALACIONES ELECTRICAS INTERNAS</t>
  </si>
  <si>
    <t xml:space="preserve">TRANSPORTE </t>
  </si>
  <si>
    <t>MANO DE OBRA CUADRILLA CC -PINTURA</t>
  </si>
  <si>
    <t>SUMNISTRO E INSTALACION DE CANALETA METALICA DE 12X5 CM</t>
  </si>
  <si>
    <t>CANALETA METALICA DE 12X5</t>
  </si>
  <si>
    <t>TUBO EMTDE 1/2"</t>
  </si>
  <si>
    <t>CHAZO PUNTILLA DE 1X1-1/4", CURVA EMT, ADAPTADO TERMINAL EMT, UNION EMT</t>
  </si>
  <si>
    <t>VINILO TIPO 1</t>
  </si>
  <si>
    <t>GN</t>
  </si>
  <si>
    <t>BROCHA MONA DE 3"</t>
  </si>
  <si>
    <t xml:space="preserve">RODILLO MASTER </t>
  </si>
  <si>
    <t>ESTRUCTURA METALICA, TORNILLERIA, CINTA Y PINTURA DE ACABADO TIPO 1</t>
  </si>
  <si>
    <t>PLACA  YESO 1/2" 1.22X2.44</t>
  </si>
  <si>
    <t xml:space="preserve">UTILIDAD SOBRE UTILIDAD </t>
  </si>
  <si>
    <t>ING. WILLIAN ESPINEL</t>
  </si>
  <si>
    <t>M.P 25202-359266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</si>
</sst>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\$\ #,##0.00"/>
    <numFmt numFmtId="166" formatCode="_(* #,##0.00_);_(* \(#,##0.00\);_(* &quot;-&quot;??_);_(@_)"/>
    <numFmt numFmtId="167" formatCode="_(* #,##0.000_);_(* \(#,##0.000\);_(* &quot;-&quot;??_);_(@_)"/>
    <numFmt numFmtId="168" formatCode="[$$-240A]\ #,##0.00"/>
    <numFmt numFmtId="169" formatCode="[$$-240A]\ #,##0"/>
    <numFmt numFmtId="170" formatCode="0.000"/>
    <numFmt numFmtId="171" formatCode="_ * #,##0.00_ ;_ * \-#,##0.00_ ;_ * &quot;-&quot;??_ ;_ @_ "/>
    <numFmt numFmtId="172" formatCode="_ * #,##0.000000_ ;_ * \-#,##0.000000_ ;_ * &quot;-&quot;??_ ;_ @_ "/>
    <numFmt numFmtId="173" formatCode="_ * #,##0.00_ ;_ * \-#,##0.00_ ;_ * \-??_ ;_ @_ "/>
    <numFmt numFmtId="174" formatCode="_ * #,##0.0_ ;_ * \-#,##0.0_ ;_ * &quot;-&quot;??_ ;_ @_ "/>
    <numFmt numFmtId="175" formatCode="_-&quot;$&quot;\ * #,##0_-;\-&quot;$&quot;\ * #,##0_-;_-&quot;$&quot;\ * &quot;-&quot;??_-;_-@_-"/>
    <numFmt numFmtId="178" formatCode="_-&quot;$&quot;\ * #,##0.00000_-;\-&quot;$&quot;\ * #,##0.00000_-;_-&quot;$&quot;\ * &quot;-&quot;??_-;_-@_-"/>
  </numFmts>
  <fonts count="25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sz val="8"/>
      <name val="Times New Roman"/>
      <family val="1"/>
    </font>
    <font>
      <sz val="8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Times New Roman"/>
      <family val="1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rgb="FF000000"/>
      <name val="Times New Roman"/>
      <family val="1"/>
    </font>
    <font>
      <sz val="8"/>
      <color theme="1"/>
      <name val="Calibri"/>
      <family val="2"/>
      <scheme val="minor"/>
    </font>
    <font>
      <sz val="7.5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166" fontId="14" fillId="0" borderId="0" applyFont="0" applyFill="0" applyBorder="0" applyAlignment="0" applyProtection="0"/>
    <xf numFmtId="166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21" fillId="0" borderId="0" applyFont="0" applyFill="0" applyBorder="0" applyAlignment="0" applyProtection="0"/>
  </cellStyleXfs>
  <cellXfs count="269">
    <xf numFmtId="0" fontId="0" fillId="0" borderId="0" xfId="0" applyFill="1" applyBorder="1" applyAlignment="1">
      <alignment horizontal="left" vertical="top"/>
    </xf>
    <xf numFmtId="165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shrinkToFit="1"/>
    </xf>
    <xf numFmtId="165" fontId="4" fillId="2" borderId="1" xfId="0" applyNumberFormat="1" applyFont="1" applyFill="1" applyBorder="1" applyAlignment="1">
      <alignment horizontal="center" vertical="center" shrinkToFit="1"/>
    </xf>
    <xf numFmtId="44" fontId="2" fillId="0" borderId="0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4" fontId="4" fillId="2" borderId="1" xfId="0" applyNumberFormat="1" applyFont="1" applyFill="1" applyBorder="1" applyAlignment="1">
      <alignment horizontal="center" vertical="center"/>
    </xf>
    <xf numFmtId="44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44" fontId="2" fillId="0" borderId="1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shrinkToFit="1"/>
    </xf>
    <xf numFmtId="165" fontId="2" fillId="0" borderId="1" xfId="0" applyNumberFormat="1" applyFont="1" applyFill="1" applyBorder="1" applyAlignment="1">
      <alignment horizontal="right" vertical="center" shrinkToFit="1"/>
    </xf>
    <xf numFmtId="44" fontId="2" fillId="0" borderId="1" xfId="1" applyFont="1" applyFill="1" applyBorder="1" applyAlignment="1">
      <alignment horizontal="right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44" fontId="8" fillId="0" borderId="1" xfId="1" applyFont="1" applyFill="1" applyBorder="1" applyAlignment="1">
      <alignment horizontal="right" vertical="center" wrapText="1"/>
    </xf>
    <xf numFmtId="44" fontId="8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4" fontId="4" fillId="3" borderId="1" xfId="0" applyNumberFormat="1" applyFont="1" applyFill="1" applyBorder="1" applyAlignment="1">
      <alignment horizontal="left" vertical="center"/>
    </xf>
    <xf numFmtId="4" fontId="4" fillId="2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44" fontId="4" fillId="2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 wrapText="1"/>
    </xf>
    <xf numFmtId="44" fontId="2" fillId="0" borderId="2" xfId="1" applyFont="1" applyFill="1" applyBorder="1" applyAlignment="1">
      <alignment horizontal="left" vertical="center"/>
    </xf>
    <xf numFmtId="44" fontId="4" fillId="2" borderId="2" xfId="0" applyNumberFormat="1" applyFont="1" applyFill="1" applyBorder="1" applyAlignment="1">
      <alignment horizontal="right" vertical="center"/>
    </xf>
    <xf numFmtId="44" fontId="4" fillId="0" borderId="2" xfId="1" applyFont="1" applyFill="1" applyBorder="1" applyAlignment="1">
      <alignment horizontal="center" vertical="center"/>
    </xf>
    <xf numFmtId="44" fontId="2" fillId="0" borderId="2" xfId="1" applyFont="1" applyFill="1" applyBorder="1" applyAlignment="1">
      <alignment horizontal="center" vertical="center"/>
    </xf>
    <xf numFmtId="44" fontId="4" fillId="3" borderId="2" xfId="0" applyNumberFormat="1" applyFont="1" applyFill="1" applyBorder="1" applyAlignment="1">
      <alignment horizontal="left" vertical="center"/>
    </xf>
    <xf numFmtId="44" fontId="2" fillId="0" borderId="1" xfId="0" applyNumberFormat="1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center" vertical="center"/>
    </xf>
    <xf numFmtId="44" fontId="4" fillId="0" borderId="1" xfId="0" applyNumberFormat="1" applyFont="1" applyFill="1" applyBorder="1" applyAlignment="1">
      <alignment horizontal="center" vertical="center"/>
    </xf>
    <xf numFmtId="44" fontId="4" fillId="0" borderId="1" xfId="0" applyNumberFormat="1" applyFont="1" applyFill="1" applyBorder="1" applyAlignment="1">
      <alignment horizontal="right" vertical="center"/>
    </xf>
    <xf numFmtId="9" fontId="2" fillId="0" borderId="1" xfId="0" applyNumberFormat="1" applyFont="1" applyFill="1" applyBorder="1" applyAlignment="1">
      <alignment horizontal="center" vertical="center"/>
    </xf>
    <xf numFmtId="44" fontId="4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14" fillId="0" borderId="0" xfId="2" applyAlignment="1">
      <alignment vertical="center"/>
    </xf>
    <xf numFmtId="0" fontId="14" fillId="0" borderId="8" xfId="2" applyBorder="1" applyAlignment="1">
      <alignment vertical="center"/>
    </xf>
    <xf numFmtId="0" fontId="16" fillId="0" borderId="0" xfId="2" applyFont="1" applyAlignment="1">
      <alignment vertical="center"/>
    </xf>
    <xf numFmtId="0" fontId="16" fillId="0" borderId="9" xfId="2" applyFont="1" applyBorder="1" applyAlignment="1">
      <alignment vertical="center"/>
    </xf>
    <xf numFmtId="0" fontId="16" fillId="0" borderId="8" xfId="2" applyFont="1" applyBorder="1" applyAlignment="1">
      <alignment vertical="center"/>
    </xf>
    <xf numFmtId="0" fontId="14" fillId="0" borderId="9" xfId="2" applyBorder="1" applyAlignment="1">
      <alignment vertical="center"/>
    </xf>
    <xf numFmtId="0" fontId="16" fillId="0" borderId="12" xfId="2" applyFont="1" applyBorder="1" applyAlignment="1">
      <alignment horizontal="center" vertical="center" wrapText="1"/>
    </xf>
    <xf numFmtId="4" fontId="17" fillId="0" borderId="15" xfId="3" applyNumberFormat="1" applyFont="1" applyBorder="1" applyAlignment="1">
      <alignment horizontal="center" vertical="center"/>
    </xf>
    <xf numFmtId="0" fontId="16" fillId="0" borderId="16" xfId="2" applyFont="1" applyBorder="1" applyAlignment="1">
      <alignment horizontal="center" vertical="center"/>
    </xf>
    <xf numFmtId="0" fontId="14" fillId="0" borderId="1" xfId="2" applyBorder="1" applyAlignment="1">
      <alignment horizontal="center" vertical="center" wrapText="1"/>
    </xf>
    <xf numFmtId="166" fontId="14" fillId="0" borderId="10" xfId="5" applyFont="1" applyFill="1" applyBorder="1" applyAlignment="1" applyProtection="1">
      <alignment horizontal="center" vertical="center"/>
    </xf>
    <xf numFmtId="167" fontId="14" fillId="0" borderId="10" xfId="5" applyNumberFormat="1" applyFont="1" applyFill="1" applyBorder="1" applyAlignment="1" applyProtection="1">
      <alignment horizontal="center" wrapText="1"/>
    </xf>
    <xf numFmtId="168" fontId="14" fillId="0" borderId="10" xfId="4" applyNumberFormat="1" applyBorder="1" applyAlignment="1">
      <alignment horizontal="right" wrapText="1"/>
    </xf>
    <xf numFmtId="0" fontId="16" fillId="0" borderId="11" xfId="2" applyFont="1" applyBorder="1" applyAlignment="1">
      <alignment horizontal="center" vertical="center"/>
    </xf>
    <xf numFmtId="166" fontId="14" fillId="0" borderId="1" xfId="5" applyFont="1" applyFill="1" applyBorder="1" applyAlignment="1" applyProtection="1">
      <alignment horizontal="center" vertical="center"/>
    </xf>
    <xf numFmtId="167" fontId="14" fillId="0" borderId="1" xfId="5" applyNumberFormat="1" applyFont="1" applyFill="1" applyBorder="1" applyAlignment="1" applyProtection="1">
      <alignment horizontal="center" vertical="center" wrapText="1"/>
    </xf>
    <xf numFmtId="168" fontId="14" fillId="0" borderId="1" xfId="4" applyNumberFormat="1" applyBorder="1" applyAlignment="1">
      <alignment horizontal="right" vertical="center" wrapText="1"/>
    </xf>
    <xf numFmtId="0" fontId="14" fillId="0" borderId="19" xfId="2" applyBorder="1" applyAlignment="1">
      <alignment horizontal="center" vertical="center" wrapText="1"/>
    </xf>
    <xf numFmtId="166" fontId="14" fillId="0" borderId="19" xfId="5" applyFont="1" applyFill="1" applyBorder="1" applyAlignment="1" applyProtection="1">
      <alignment horizontal="center" vertical="center"/>
    </xf>
    <xf numFmtId="167" fontId="14" fillId="0" borderId="19" xfId="5" applyNumberFormat="1" applyFont="1" applyFill="1" applyBorder="1" applyAlignment="1" applyProtection="1">
      <alignment horizontal="center" vertical="center" wrapText="1"/>
    </xf>
    <xf numFmtId="168" fontId="14" fillId="0" borderId="19" xfId="4" applyNumberFormat="1" applyBorder="1" applyAlignment="1">
      <alignment horizontal="right" vertical="center" wrapText="1"/>
    </xf>
    <xf numFmtId="0" fontId="16" fillId="0" borderId="20" xfId="2" applyFont="1" applyBorder="1" applyAlignment="1">
      <alignment horizontal="center" vertical="center"/>
    </xf>
    <xf numFmtId="0" fontId="16" fillId="0" borderId="21" xfId="2" applyFont="1" applyBorder="1" applyAlignment="1">
      <alignment horizontal="center" vertical="center"/>
    </xf>
    <xf numFmtId="0" fontId="14" fillId="0" borderId="0" xfId="2" applyAlignment="1">
      <alignment vertical="center" wrapText="1"/>
    </xf>
    <xf numFmtId="0" fontId="14" fillId="0" borderId="23" xfId="2" applyBorder="1" applyAlignment="1">
      <alignment vertical="center"/>
    </xf>
    <xf numFmtId="0" fontId="18" fillId="0" borderId="24" xfId="2" applyFont="1" applyBorder="1" applyAlignment="1">
      <alignment horizontal="center" vertical="center"/>
    </xf>
    <xf numFmtId="0" fontId="18" fillId="0" borderId="25" xfId="2" applyFont="1" applyBorder="1" applyAlignment="1">
      <alignment horizontal="center" vertical="center"/>
    </xf>
    <xf numFmtId="0" fontId="18" fillId="0" borderId="26" xfId="2" applyFont="1" applyBorder="1" applyAlignment="1">
      <alignment horizontal="center" vertical="center"/>
    </xf>
    <xf numFmtId="0" fontId="14" fillId="0" borderId="28" xfId="2" applyBorder="1" applyAlignment="1">
      <alignment horizontal="center" vertical="center" wrapText="1"/>
    </xf>
    <xf numFmtId="168" fontId="14" fillId="0" borderId="28" xfId="2" applyNumberFormat="1" applyBorder="1" applyAlignment="1">
      <alignment horizontal="center" vertical="center" wrapText="1"/>
    </xf>
    <xf numFmtId="2" fontId="14" fillId="0" borderId="28" xfId="2" applyNumberFormat="1" applyBorder="1" applyAlignment="1">
      <alignment horizontal="center" vertical="center" wrapText="1"/>
    </xf>
    <xf numFmtId="168" fontId="14" fillId="0" borderId="16" xfId="2" applyNumberFormat="1" applyBorder="1" applyAlignment="1">
      <alignment horizontal="center" vertical="center" wrapText="1"/>
    </xf>
    <xf numFmtId="168" fontId="14" fillId="0" borderId="1" xfId="2" applyNumberFormat="1" applyBorder="1" applyAlignment="1">
      <alignment horizontal="center" vertical="center" wrapText="1"/>
    </xf>
    <xf numFmtId="168" fontId="14" fillId="0" borderId="11" xfId="2" applyNumberFormat="1" applyBorder="1" applyAlignment="1">
      <alignment horizontal="center" vertical="center" wrapText="1"/>
    </xf>
    <xf numFmtId="0" fontId="14" fillId="0" borderId="9" xfId="2" applyBorder="1" applyAlignment="1">
      <alignment horizontal="right" vertical="center"/>
    </xf>
    <xf numFmtId="2" fontId="14" fillId="0" borderId="1" xfId="2" applyNumberFormat="1" applyBorder="1" applyAlignment="1">
      <alignment horizontal="center" vertical="center" wrapText="1"/>
    </xf>
    <xf numFmtId="168" fontId="14" fillId="0" borderId="29" xfId="2" applyNumberFormat="1" applyBorder="1" applyAlignment="1">
      <alignment horizontal="center" vertical="center" wrapText="1"/>
    </xf>
    <xf numFmtId="0" fontId="14" fillId="0" borderId="6" xfId="2" applyBorder="1" applyAlignment="1">
      <alignment horizontal="center" vertical="center" wrapText="1"/>
    </xf>
    <xf numFmtId="168" fontId="14" fillId="0" borderId="6" xfId="2" applyNumberFormat="1" applyBorder="1" applyAlignment="1">
      <alignment horizontal="center" vertical="center" wrapText="1"/>
    </xf>
    <xf numFmtId="0" fontId="14" fillId="0" borderId="7" xfId="2" applyBorder="1" applyAlignment="1">
      <alignment horizontal="center" vertical="center" wrapText="1"/>
    </xf>
    <xf numFmtId="0" fontId="16" fillId="0" borderId="30" xfId="2" applyFont="1" applyBorder="1" applyAlignment="1">
      <alignment horizontal="center" vertical="center"/>
    </xf>
    <xf numFmtId="168" fontId="14" fillId="0" borderId="30" xfId="5" applyNumberFormat="1" applyFont="1" applyBorder="1" applyAlignment="1">
      <alignment vertical="center"/>
    </xf>
    <xf numFmtId="0" fontId="14" fillId="0" borderId="8" xfId="2" applyBorder="1" applyAlignment="1">
      <alignment horizontal="left" vertical="center" wrapText="1"/>
    </xf>
    <xf numFmtId="0" fontId="14" fillId="0" borderId="0" xfId="2" applyAlignment="1">
      <alignment horizontal="left" vertical="center" wrapText="1"/>
    </xf>
    <xf numFmtId="0" fontId="14" fillId="0" borderId="0" xfId="2" applyAlignment="1">
      <alignment horizontal="center" vertical="center" wrapText="1"/>
    </xf>
    <xf numFmtId="168" fontId="14" fillId="0" borderId="0" xfId="2" applyNumberFormat="1" applyAlignment="1">
      <alignment horizontal="center" vertical="center" wrapText="1"/>
    </xf>
    <xf numFmtId="168" fontId="14" fillId="0" borderId="23" xfId="5" applyNumberFormat="1" applyFont="1" applyBorder="1" applyAlignment="1">
      <alignment vertical="center"/>
    </xf>
    <xf numFmtId="0" fontId="18" fillId="0" borderId="31" xfId="2" applyFont="1" applyBorder="1" applyAlignment="1">
      <alignment horizontal="center" vertical="center"/>
    </xf>
    <xf numFmtId="0" fontId="18" fillId="0" borderId="32" xfId="2" applyFont="1" applyBorder="1" applyAlignment="1">
      <alignment horizontal="center" vertical="center"/>
    </xf>
    <xf numFmtId="0" fontId="18" fillId="0" borderId="33" xfId="2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0" fontId="14" fillId="0" borderId="27" xfId="2" applyBorder="1" applyAlignment="1">
      <alignment vertical="center" wrapText="1"/>
    </xf>
    <xf numFmtId="167" fontId="14" fillId="0" borderId="28" xfId="5" applyNumberFormat="1" applyFont="1" applyFill="1" applyBorder="1" applyAlignment="1" applyProtection="1">
      <alignment horizontal="center" vertical="center" wrapText="1"/>
    </xf>
    <xf numFmtId="166" fontId="14" fillId="0" borderId="28" xfId="5" applyFont="1" applyFill="1" applyBorder="1" applyAlignment="1" applyProtection="1">
      <alignment horizontal="center" vertical="center" wrapText="1"/>
    </xf>
    <xf numFmtId="168" fontId="14" fillId="0" borderId="26" xfId="2" applyNumberFormat="1" applyBorder="1" applyAlignment="1">
      <alignment horizontal="center" vertical="center" wrapText="1"/>
    </xf>
    <xf numFmtId="0" fontId="14" fillId="0" borderId="18" xfId="2" applyBorder="1" applyAlignment="1">
      <alignment vertical="center" wrapText="1"/>
    </xf>
    <xf numFmtId="4" fontId="14" fillId="0" borderId="19" xfId="2" applyNumberFormat="1" applyBorder="1" applyAlignment="1">
      <alignment horizontal="center" vertical="center" wrapText="1"/>
    </xf>
    <xf numFmtId="166" fontId="14" fillId="0" borderId="19" xfId="5" applyFont="1" applyFill="1" applyBorder="1" applyAlignment="1" applyProtection="1">
      <alignment horizontal="center" vertical="center" wrapText="1"/>
    </xf>
    <xf numFmtId="168" fontId="14" fillId="0" borderId="19" xfId="4" applyNumberFormat="1" applyBorder="1" applyAlignment="1">
      <alignment horizontal="center" vertical="center" wrapText="1"/>
    </xf>
    <xf numFmtId="168" fontId="14" fillId="0" borderId="22" xfId="2" applyNumberFormat="1" applyBorder="1" applyAlignment="1">
      <alignment vertical="center"/>
    </xf>
    <xf numFmtId="0" fontId="14" fillId="0" borderId="35" xfId="2" applyBorder="1" applyAlignment="1">
      <alignment vertical="center"/>
    </xf>
    <xf numFmtId="169" fontId="19" fillId="0" borderId="28" xfId="2" applyNumberFormat="1" applyFont="1" applyBorder="1" applyAlignment="1">
      <alignment vertical="center" wrapText="1"/>
    </xf>
    <xf numFmtId="0" fontId="19" fillId="0" borderId="28" xfId="2" applyFont="1" applyBorder="1" applyAlignment="1">
      <alignment horizontal="center" vertical="center" wrapText="1"/>
    </xf>
    <xf numFmtId="166" fontId="14" fillId="0" borderId="28" xfId="6" applyFont="1" applyFill="1" applyBorder="1" applyAlignment="1">
      <alignment horizontal="right" vertical="center" wrapText="1"/>
    </xf>
    <xf numFmtId="170" fontId="14" fillId="0" borderId="28" xfId="2" applyNumberFormat="1" applyBorder="1" applyAlignment="1">
      <alignment horizontal="center" vertical="center" wrapText="1"/>
    </xf>
    <xf numFmtId="0" fontId="18" fillId="0" borderId="31" xfId="2" applyFont="1" applyBorder="1" applyAlignment="1">
      <alignment horizontal="center" vertical="center"/>
    </xf>
    <xf numFmtId="168" fontId="14" fillId="0" borderId="16" xfId="2" applyNumberFormat="1" applyBorder="1" applyAlignment="1">
      <alignment horizontal="right" vertical="center" wrapText="1"/>
    </xf>
    <xf numFmtId="166" fontId="14" fillId="0" borderId="1" xfId="5" applyFont="1" applyFill="1" applyBorder="1" applyAlignment="1" applyProtection="1">
      <alignment horizontal="center" vertical="center" wrapText="1"/>
    </xf>
    <xf numFmtId="168" fontId="14" fillId="0" borderId="11" xfId="2" applyNumberFormat="1" applyBorder="1" applyAlignment="1">
      <alignment horizontal="right" vertical="center" wrapText="1"/>
    </xf>
    <xf numFmtId="168" fontId="14" fillId="0" borderId="29" xfId="2" applyNumberFormat="1" applyBorder="1" applyAlignment="1">
      <alignment horizontal="right" vertical="center" wrapText="1"/>
    </xf>
    <xf numFmtId="171" fontId="14" fillId="0" borderId="30" xfId="2" applyNumberFormat="1" applyBorder="1" applyAlignment="1">
      <alignment vertical="center"/>
    </xf>
    <xf numFmtId="0" fontId="14" fillId="0" borderId="37" xfId="2" applyBorder="1" applyAlignment="1">
      <alignment vertical="center"/>
    </xf>
    <xf numFmtId="171" fontId="14" fillId="0" borderId="38" xfId="2" applyNumberFormat="1" applyBorder="1" applyAlignment="1">
      <alignment vertical="center"/>
    </xf>
    <xf numFmtId="43" fontId="14" fillId="0" borderId="0" xfId="2" applyNumberFormat="1" applyAlignment="1">
      <alignment vertical="center"/>
    </xf>
    <xf numFmtId="0" fontId="16" fillId="0" borderId="21" xfId="2" applyFont="1" applyBorder="1" applyAlignment="1">
      <alignment horizontal="center" vertical="center"/>
    </xf>
    <xf numFmtId="171" fontId="16" fillId="0" borderId="39" xfId="2" applyNumberFormat="1" applyFont="1" applyBorder="1" applyAlignment="1">
      <alignment vertical="center"/>
    </xf>
    <xf numFmtId="172" fontId="14" fillId="0" borderId="0" xfId="2" applyNumberFormat="1" applyAlignment="1">
      <alignment vertical="center"/>
    </xf>
    <xf numFmtId="0" fontId="16" fillId="0" borderId="0" xfId="2" applyFont="1" applyAlignment="1">
      <alignment horizontal="center" vertical="center"/>
    </xf>
    <xf numFmtId="171" fontId="16" fillId="0" borderId="9" xfId="2" applyNumberFormat="1" applyFont="1" applyBorder="1" applyAlignment="1">
      <alignment vertical="center"/>
    </xf>
    <xf numFmtId="171" fontId="14" fillId="0" borderId="0" xfId="2" applyNumberFormat="1" applyAlignment="1">
      <alignment vertical="center"/>
    </xf>
    <xf numFmtId="0" fontId="18" fillId="0" borderId="34" xfId="2" applyFont="1" applyBorder="1" applyAlignment="1">
      <alignment horizontal="center" vertical="center"/>
    </xf>
    <xf numFmtId="0" fontId="14" fillId="0" borderId="30" xfId="2" applyBorder="1" applyAlignment="1">
      <alignment vertical="center"/>
    </xf>
    <xf numFmtId="0" fontId="14" fillId="0" borderId="27" xfId="2" applyBorder="1" applyAlignment="1">
      <alignment vertical="center"/>
    </xf>
    <xf numFmtId="0" fontId="14" fillId="0" borderId="28" xfId="2" applyBorder="1" applyAlignment="1">
      <alignment vertical="center"/>
    </xf>
    <xf numFmtId="10" fontId="14" fillId="0" borderId="28" xfId="2" applyNumberFormat="1" applyBorder="1" applyAlignment="1">
      <alignment vertical="center"/>
    </xf>
    <xf numFmtId="10" fontId="14" fillId="0" borderId="28" xfId="7" applyNumberFormat="1" applyFont="1" applyFill="1" applyBorder="1" applyAlignment="1" applyProtection="1">
      <alignment vertical="center"/>
    </xf>
    <xf numFmtId="173" fontId="19" fillId="0" borderId="16" xfId="5" applyNumberFormat="1" applyFont="1" applyFill="1" applyBorder="1" applyAlignment="1" applyProtection="1">
      <alignment horizontal="right" vertical="center"/>
    </xf>
    <xf numFmtId="0" fontId="14" fillId="0" borderId="17" xfId="2" applyBorder="1" applyAlignment="1">
      <alignment vertical="center"/>
    </xf>
    <xf numFmtId="0" fontId="14" fillId="0" borderId="1" xfId="2" applyBorder="1" applyAlignment="1">
      <alignment vertical="center"/>
    </xf>
    <xf numFmtId="10" fontId="14" fillId="0" borderId="1" xfId="2" applyNumberFormat="1" applyBorder="1" applyAlignment="1">
      <alignment vertical="center"/>
    </xf>
    <xf numFmtId="10" fontId="14" fillId="0" borderId="1" xfId="7" applyNumberFormat="1" applyFont="1" applyFill="1" applyBorder="1" applyAlignment="1" applyProtection="1">
      <alignment vertical="center"/>
    </xf>
    <xf numFmtId="173" fontId="19" fillId="0" borderId="11" xfId="5" applyNumberFormat="1" applyFont="1" applyFill="1" applyBorder="1" applyAlignment="1" applyProtection="1">
      <alignment horizontal="right" vertical="center"/>
    </xf>
    <xf numFmtId="0" fontId="16" fillId="0" borderId="43" xfId="2" applyFont="1" applyBorder="1" applyAlignment="1">
      <alignment horizontal="center" vertical="center"/>
    </xf>
    <xf numFmtId="171" fontId="16" fillId="0" borderId="30" xfId="2" applyNumberFormat="1" applyFont="1" applyBorder="1" applyAlignment="1">
      <alignment vertical="center"/>
    </xf>
    <xf numFmtId="0" fontId="14" fillId="0" borderId="44" xfId="2" applyBorder="1" applyAlignment="1">
      <alignment vertical="center"/>
    </xf>
    <xf numFmtId="0" fontId="14" fillId="0" borderId="21" xfId="2" applyBorder="1" applyAlignment="1">
      <alignment vertical="center"/>
    </xf>
    <xf numFmtId="0" fontId="16" fillId="0" borderId="37" xfId="2" applyFont="1" applyBorder="1" applyAlignment="1">
      <alignment horizontal="right" vertical="center"/>
    </xf>
    <xf numFmtId="170" fontId="14" fillId="0" borderId="0" xfId="2" applyNumberFormat="1" applyAlignment="1">
      <alignment vertical="center"/>
    </xf>
    <xf numFmtId="0" fontId="14" fillId="0" borderId="45" xfId="2" applyBorder="1" applyAlignment="1">
      <alignment vertical="center"/>
    </xf>
    <xf numFmtId="0" fontId="14" fillId="0" borderId="46" xfId="2" applyBorder="1" applyAlignment="1">
      <alignment vertical="center"/>
    </xf>
    <xf numFmtId="0" fontId="2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4" fontId="16" fillId="0" borderId="9" xfId="2" applyNumberFormat="1" applyFont="1" applyBorder="1" applyAlignment="1">
      <alignment vertical="center"/>
    </xf>
    <xf numFmtId="0" fontId="16" fillId="0" borderId="1" xfId="2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/>
    </xf>
    <xf numFmtId="168" fontId="14" fillId="0" borderId="49" xfId="5" applyNumberFormat="1" applyFont="1" applyBorder="1" applyAlignment="1">
      <alignment vertical="center"/>
    </xf>
    <xf numFmtId="0" fontId="14" fillId="0" borderId="28" xfId="4" applyBorder="1" applyAlignment="1">
      <alignment horizontal="center" wrapText="1"/>
    </xf>
    <xf numFmtId="166" fontId="14" fillId="0" borderId="51" xfId="5" applyFont="1" applyFill="1" applyBorder="1" applyAlignment="1" applyProtection="1"/>
    <xf numFmtId="167" fontId="14" fillId="0" borderId="51" xfId="5" applyNumberFormat="1" applyFont="1" applyFill="1" applyBorder="1" applyAlignment="1" applyProtection="1">
      <alignment horizontal="center" wrapText="1"/>
    </xf>
    <xf numFmtId="168" fontId="14" fillId="0" borderId="0" xfId="2" applyNumberFormat="1" applyAlignment="1">
      <alignment vertical="center"/>
    </xf>
    <xf numFmtId="0" fontId="14" fillId="0" borderId="27" xfId="2" applyBorder="1" applyAlignment="1">
      <alignment horizontal="justify" vertical="center" wrapText="1"/>
    </xf>
    <xf numFmtId="44" fontId="14" fillId="0" borderId="28" xfId="1" applyFont="1" applyBorder="1" applyAlignment="1">
      <alignment horizontal="center" vertical="center" wrapText="1"/>
    </xf>
    <xf numFmtId="43" fontId="14" fillId="0" borderId="28" xfId="8" applyFont="1" applyBorder="1" applyAlignment="1">
      <alignment horizontal="center" vertical="center" wrapText="1"/>
    </xf>
    <xf numFmtId="43" fontId="14" fillId="0" borderId="1" xfId="8" applyFont="1" applyBorder="1" applyAlignment="1">
      <alignment horizontal="center" vertical="center" wrapText="1"/>
    </xf>
    <xf numFmtId="44" fontId="14" fillId="0" borderId="0" xfId="2" applyNumberFormat="1" applyAlignment="1">
      <alignment vertical="center"/>
    </xf>
    <xf numFmtId="44" fontId="22" fillId="0" borderId="1" xfId="1" applyFont="1" applyFill="1" applyBorder="1" applyAlignment="1">
      <alignment horizontal="right" vertical="center" wrapText="1"/>
    </xf>
    <xf numFmtId="174" fontId="14" fillId="0" borderId="0" xfId="2" applyNumberFormat="1" applyAlignment="1">
      <alignment vertical="center"/>
    </xf>
    <xf numFmtId="175" fontId="14" fillId="0" borderId="0" xfId="2" applyNumberFormat="1" applyAlignment="1">
      <alignment vertical="center"/>
    </xf>
    <xf numFmtId="44" fontId="14" fillId="0" borderId="28" xfId="1" applyNumberFormat="1" applyFont="1" applyBorder="1" applyAlignment="1">
      <alignment horizontal="right" vertical="center" wrapText="1"/>
    </xf>
    <xf numFmtId="44" fontId="14" fillId="0" borderId="1" xfId="1" applyNumberFormat="1" applyFont="1" applyBorder="1" applyAlignment="1">
      <alignment horizontal="right" vertical="center" wrapText="1"/>
    </xf>
    <xf numFmtId="44" fontId="14" fillId="0" borderId="11" xfId="1" applyFont="1" applyBorder="1" applyAlignment="1">
      <alignment horizontal="center" vertical="center" wrapText="1"/>
    </xf>
    <xf numFmtId="44" fontId="14" fillId="0" borderId="16" xfId="1" applyFont="1" applyBorder="1" applyAlignment="1">
      <alignment horizontal="center" vertical="center" wrapText="1"/>
    </xf>
    <xf numFmtId="0" fontId="18" fillId="0" borderId="55" xfId="2" applyFont="1" applyBorder="1" applyAlignment="1">
      <alignment horizontal="center" vertical="center"/>
    </xf>
    <xf numFmtId="0" fontId="14" fillId="0" borderId="0" xfId="2" applyBorder="1" applyAlignment="1">
      <alignment horizontal="center" vertical="center" wrapText="1"/>
    </xf>
    <xf numFmtId="168" fontId="14" fillId="0" borderId="0" xfId="2" applyNumberFormat="1" applyBorder="1" applyAlignment="1">
      <alignment horizontal="center" vertical="center" wrapText="1"/>
    </xf>
    <xf numFmtId="0" fontId="14" fillId="0" borderId="9" xfId="2" applyBorder="1" applyAlignment="1">
      <alignment horizontal="center" vertical="center" wrapText="1"/>
    </xf>
    <xf numFmtId="0" fontId="16" fillId="0" borderId="39" xfId="2" applyFont="1" applyBorder="1" applyAlignment="1">
      <alignment horizontal="center" vertical="center"/>
    </xf>
    <xf numFmtId="168" fontId="14" fillId="0" borderId="19" xfId="2" applyNumberFormat="1" applyBorder="1" applyAlignment="1">
      <alignment horizontal="center" vertical="center" wrapText="1"/>
    </xf>
    <xf numFmtId="168" fontId="14" fillId="0" borderId="20" xfId="2" applyNumberFormat="1" applyBorder="1" applyAlignment="1">
      <alignment horizontal="center" vertical="center" wrapText="1"/>
    </xf>
    <xf numFmtId="0" fontId="18" fillId="0" borderId="56" xfId="2" applyFont="1" applyBorder="1" applyAlignment="1">
      <alignment horizontal="center" vertical="center"/>
    </xf>
    <xf numFmtId="43" fontId="14" fillId="0" borderId="19" xfId="8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right" vertical="center"/>
    </xf>
    <xf numFmtId="164" fontId="2" fillId="0" borderId="0" xfId="0" applyNumberFormat="1" applyFont="1" applyFill="1" applyBorder="1" applyAlignment="1">
      <alignment horizontal="center" vertical="center"/>
    </xf>
    <xf numFmtId="44" fontId="2" fillId="0" borderId="0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0" applyNumberFormat="1" applyFont="1" applyFill="1" applyBorder="1" applyAlignment="1">
      <alignment horizontal="left" vertical="center"/>
    </xf>
    <xf numFmtId="44" fontId="4" fillId="4" borderId="1" xfId="0" applyNumberFormat="1" applyFont="1" applyFill="1" applyBorder="1" applyAlignment="1">
      <alignment horizontal="left" vertical="center"/>
    </xf>
    <xf numFmtId="4" fontId="4" fillId="4" borderId="1" xfId="0" applyNumberFormat="1" applyFont="1" applyFill="1" applyBorder="1" applyAlignment="1">
      <alignment horizontal="right" vertical="center"/>
    </xf>
    <xf numFmtId="165" fontId="4" fillId="4" borderId="1" xfId="0" applyNumberFormat="1" applyFont="1" applyFill="1" applyBorder="1" applyAlignment="1">
      <alignment horizontal="center" vertical="center" shrinkToFit="1"/>
    </xf>
    <xf numFmtId="44" fontId="4" fillId="3" borderId="1" xfId="0" applyNumberFormat="1" applyFont="1" applyFill="1" applyBorder="1" applyAlignment="1">
      <alignment horizontal="right" vertical="center"/>
    </xf>
    <xf numFmtId="44" fontId="4" fillId="3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14" fillId="0" borderId="5" xfId="2" applyBorder="1" applyAlignment="1">
      <alignment horizontal="left" vertical="center" wrapText="1"/>
    </xf>
    <xf numFmtId="0" fontId="14" fillId="0" borderId="6" xfId="2" applyBorder="1" applyAlignment="1">
      <alignment horizontal="left" vertical="center" wrapText="1"/>
    </xf>
    <xf numFmtId="0" fontId="18" fillId="0" borderId="31" xfId="2" applyFont="1" applyBorder="1" applyAlignment="1">
      <alignment horizontal="center" vertical="center"/>
    </xf>
    <xf numFmtId="0" fontId="18" fillId="0" borderId="36" xfId="2" applyFont="1" applyBorder="1" applyAlignment="1">
      <alignment horizontal="center" vertical="center"/>
    </xf>
    <xf numFmtId="0" fontId="14" fillId="0" borderId="27" xfId="2" applyBorder="1" applyAlignment="1">
      <alignment horizontal="left" vertical="center" wrapText="1"/>
    </xf>
    <xf numFmtId="0" fontId="14" fillId="0" borderId="28" xfId="2" applyBorder="1" applyAlignment="1">
      <alignment horizontal="left" vertical="center" wrapText="1"/>
    </xf>
    <xf numFmtId="0" fontId="14" fillId="0" borderId="17" xfId="2" applyBorder="1" applyAlignment="1">
      <alignment horizontal="left" vertical="center" wrapText="1"/>
    </xf>
    <xf numFmtId="0" fontId="14" fillId="0" borderId="1" xfId="2" applyBorder="1" applyAlignment="1">
      <alignment horizontal="left" vertical="center" wrapText="1"/>
    </xf>
    <xf numFmtId="0" fontId="14" fillId="0" borderId="18" xfId="2" applyBorder="1" applyAlignment="1">
      <alignment horizontal="left" vertical="center" wrapText="1"/>
    </xf>
    <xf numFmtId="0" fontId="14" fillId="0" borderId="19" xfId="2" applyBorder="1" applyAlignment="1">
      <alignment horizontal="left" vertical="center" wrapText="1"/>
    </xf>
    <xf numFmtId="0" fontId="18" fillId="0" borderId="40" xfId="2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0" fontId="18" fillId="0" borderId="41" xfId="2" applyFont="1" applyBorder="1" applyAlignment="1">
      <alignment horizontal="center" vertical="center"/>
    </xf>
    <xf numFmtId="0" fontId="16" fillId="0" borderId="21" xfId="2" applyFont="1" applyBorder="1" applyAlignment="1">
      <alignment horizontal="center" vertical="center"/>
    </xf>
    <xf numFmtId="0" fontId="16" fillId="0" borderId="37" xfId="2" applyFont="1" applyBorder="1" applyAlignment="1">
      <alignment horizontal="center" vertical="center"/>
    </xf>
    <xf numFmtId="0" fontId="18" fillId="0" borderId="42" xfId="2" applyFont="1" applyBorder="1" applyAlignment="1">
      <alignment horizontal="center" vertical="center"/>
    </xf>
    <xf numFmtId="0" fontId="15" fillId="0" borderId="5" xfId="2" applyFont="1" applyBorder="1" applyAlignment="1">
      <alignment horizontal="center"/>
    </xf>
    <xf numFmtId="0" fontId="15" fillId="0" borderId="6" xfId="2" applyFont="1" applyBorder="1" applyAlignment="1">
      <alignment horizontal="center"/>
    </xf>
    <xf numFmtId="0" fontId="15" fillId="0" borderId="7" xfId="2" applyFont="1" applyBorder="1" applyAlignment="1">
      <alignment horizontal="center"/>
    </xf>
    <xf numFmtId="0" fontId="16" fillId="0" borderId="1" xfId="2" applyFont="1" applyBorder="1" applyAlignment="1">
      <alignment horizontal="left" vertical="center" wrapText="1"/>
    </xf>
    <xf numFmtId="0" fontId="18" fillId="0" borderId="6" xfId="2" applyFont="1" applyBorder="1" applyAlignment="1">
      <alignment horizontal="center" vertical="center" wrapText="1"/>
    </xf>
    <xf numFmtId="0" fontId="18" fillId="0" borderId="13" xfId="2" applyFont="1" applyBorder="1" applyAlignment="1">
      <alignment horizontal="center" vertical="center" wrapText="1"/>
    </xf>
    <xf numFmtId="0" fontId="18" fillId="0" borderId="7" xfId="2" applyFont="1" applyBorder="1" applyAlignment="1">
      <alignment horizontal="center" vertical="center" wrapText="1"/>
    </xf>
    <xf numFmtId="0" fontId="18" fillId="0" borderId="14" xfId="2" applyFont="1" applyBorder="1" applyAlignment="1">
      <alignment horizontal="center" vertical="center" wrapText="1"/>
    </xf>
    <xf numFmtId="0" fontId="16" fillId="0" borderId="3" xfId="2" applyFont="1" applyBorder="1" applyAlignment="1">
      <alignment horizontal="center" vertical="center" wrapText="1"/>
    </xf>
    <xf numFmtId="0" fontId="16" fillId="0" borderId="4" xfId="2" applyFont="1" applyBorder="1" applyAlignment="1">
      <alignment horizontal="center" vertical="center" wrapText="1"/>
    </xf>
    <xf numFmtId="0" fontId="16" fillId="0" borderId="2" xfId="2" applyFont="1" applyBorder="1" applyAlignment="1">
      <alignment horizontal="center" vertical="center" wrapText="1"/>
    </xf>
    <xf numFmtId="0" fontId="18" fillId="0" borderId="5" xfId="2" applyFont="1" applyBorder="1" applyAlignment="1">
      <alignment horizontal="center" vertical="center" wrapText="1"/>
    </xf>
    <xf numFmtId="0" fontId="18" fillId="0" borderId="43" xfId="2" applyFont="1" applyBorder="1" applyAlignment="1">
      <alignment horizontal="center" vertical="center" wrapText="1"/>
    </xf>
    <xf numFmtId="0" fontId="18" fillId="0" borderId="44" xfId="2" applyFont="1" applyBorder="1" applyAlignment="1">
      <alignment horizontal="center" vertical="center" wrapText="1"/>
    </xf>
    <xf numFmtId="0" fontId="14" fillId="0" borderId="50" xfId="4" applyBorder="1" applyAlignment="1">
      <alignment horizontal="left" wrapText="1"/>
    </xf>
    <xf numFmtId="0" fontId="14" fillId="0" borderId="47" xfId="4" applyBorder="1" applyAlignment="1">
      <alignment horizontal="left" wrapText="1"/>
    </xf>
    <xf numFmtId="0" fontId="14" fillId="0" borderId="52" xfId="4" applyBorder="1" applyAlignment="1">
      <alignment horizontal="center" wrapText="1"/>
    </xf>
    <xf numFmtId="0" fontId="14" fillId="0" borderId="48" xfId="4" applyBorder="1" applyAlignment="1">
      <alignment horizontal="center" wrapText="1"/>
    </xf>
    <xf numFmtId="0" fontId="14" fillId="0" borderId="53" xfId="4" applyBorder="1" applyAlignment="1">
      <alignment horizontal="center" wrapText="1"/>
    </xf>
    <xf numFmtId="0" fontId="14" fillId="0" borderId="54" xfId="4" applyBorder="1" applyAlignment="1">
      <alignment horizontal="center" wrapText="1"/>
    </xf>
    <xf numFmtId="0" fontId="18" fillId="0" borderId="24" xfId="2" applyFont="1" applyBorder="1" applyAlignment="1">
      <alignment horizontal="center" vertical="center"/>
    </xf>
    <xf numFmtId="0" fontId="18" fillId="0" borderId="25" xfId="2" applyFont="1" applyBorder="1" applyAlignment="1">
      <alignment horizontal="center" vertical="center"/>
    </xf>
    <xf numFmtId="0" fontId="18" fillId="0" borderId="26" xfId="2" applyFont="1" applyBorder="1" applyAlignment="1">
      <alignment horizontal="center" vertical="center"/>
    </xf>
    <xf numFmtId="0" fontId="24" fillId="0" borderId="27" xfId="0" applyFont="1" applyBorder="1" applyAlignment="1">
      <alignment horizontal="left" vertical="center" wrapText="1"/>
    </xf>
    <xf numFmtId="0" fontId="24" fillId="0" borderId="28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4" fillId="0" borderId="8" xfId="2" applyBorder="1" applyAlignment="1">
      <alignment horizontal="left" vertical="center" wrapText="1"/>
    </xf>
    <xf numFmtId="0" fontId="14" fillId="0" borderId="0" xfId="2" applyBorder="1" applyAlignment="1">
      <alignment horizontal="left" vertical="center" wrapText="1"/>
    </xf>
    <xf numFmtId="0" fontId="14" fillId="0" borderId="52" xfId="4" applyBorder="1" applyAlignment="1">
      <alignment horizontal="left" wrapText="1"/>
    </xf>
    <xf numFmtId="0" fontId="14" fillId="0" borderId="48" xfId="4" applyBorder="1" applyAlignment="1">
      <alignment horizontal="left" wrapText="1"/>
    </xf>
    <xf numFmtId="0" fontId="14" fillId="0" borderId="4" xfId="2" applyBorder="1" applyAlignment="1">
      <alignment horizontal="left" vertical="center" wrapText="1"/>
    </xf>
    <xf numFmtId="0" fontId="14" fillId="0" borderId="2" xfId="2" applyBorder="1" applyAlignment="1">
      <alignment horizontal="left" vertical="center" wrapText="1"/>
    </xf>
    <xf numFmtId="0" fontId="14" fillId="0" borderId="59" xfId="2" applyBorder="1" applyAlignment="1">
      <alignment horizontal="left" vertical="center" wrapText="1"/>
    </xf>
    <xf numFmtId="0" fontId="14" fillId="0" borderId="57" xfId="2" applyBorder="1" applyAlignment="1">
      <alignment horizontal="left" vertical="center" wrapText="1"/>
    </xf>
    <xf numFmtId="0" fontId="14" fillId="0" borderId="58" xfId="2" applyBorder="1" applyAlignment="1">
      <alignment horizontal="left" vertical="center" wrapText="1"/>
    </xf>
    <xf numFmtId="178" fontId="2" fillId="0" borderId="0" xfId="0" applyNumberFormat="1" applyFont="1" applyFill="1" applyBorder="1" applyAlignment="1">
      <alignment horizontal="left" vertical="center"/>
    </xf>
  </cellXfs>
  <cellStyles count="9">
    <cellStyle name="Millares" xfId="8" builtinId="3"/>
    <cellStyle name="Millares 2 2 2" xfId="6" xr:uid="{BA39EB69-80E8-48ED-B6C3-5E07DC0D5255}"/>
    <cellStyle name="Millares 2 3" xfId="5" xr:uid="{B20D933D-D1D1-4DF8-82CA-D1E22330F1D4}"/>
    <cellStyle name="Moneda" xfId="1" builtinId="4"/>
    <cellStyle name="Normal" xfId="0" builtinId="0"/>
    <cellStyle name="Normal 3 11" xfId="4" xr:uid="{39DEB352-FCC2-4620-B8C7-F1B475DF2BFB}"/>
    <cellStyle name="Normal 3 2" xfId="2" xr:uid="{C47879FC-3F17-40E4-9273-DBE536806267}"/>
    <cellStyle name="Normal 6" xfId="3" xr:uid="{6BC7E5D3-62EF-4636-90D3-A0C5788F69D8}"/>
    <cellStyle name="Porcentaje 2 3 2" xfId="7" xr:uid="{2155AF66-FE30-4C30-8872-A31F2CDBB6A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5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3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133351</xdr:rowOff>
    </xdr:from>
    <xdr:to>
      <xdr:col>1</xdr:col>
      <xdr:colOff>747108</xdr:colOff>
      <xdr:row>0</xdr:row>
      <xdr:rowOff>1019175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95FD937-BCF6-4D6C-A6D6-75539B50F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33351"/>
          <a:ext cx="851883" cy="885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2457450</xdr:colOff>
      <xdr:row>53</xdr:row>
      <xdr:rowOff>133350</xdr:rowOff>
    </xdr:from>
    <xdr:to>
      <xdr:col>4</xdr:col>
      <xdr:colOff>268516</xdr:colOff>
      <xdr:row>60</xdr:row>
      <xdr:rowOff>63829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F237E34-4064-42E9-A97B-331AB2A1D24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16697325"/>
          <a:ext cx="1582966" cy="930604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819150</xdr:colOff>
      <xdr:row>0</xdr:row>
      <xdr:rowOff>95250</xdr:rowOff>
    </xdr:from>
    <xdr:to>
      <xdr:col>9</xdr:col>
      <xdr:colOff>933450</xdr:colOff>
      <xdr:row>0</xdr:row>
      <xdr:rowOff>981075</xdr:rowOff>
    </xdr:to>
    <xdr:pic>
      <xdr:nvPicPr>
        <xdr:cNvPr id="5" name="Picture 11">
          <a:extLst>
            <a:ext uri="{FF2B5EF4-FFF2-40B4-BE49-F238E27FC236}">
              <a16:creationId xmlns:a16="http://schemas.microsoft.com/office/drawing/2014/main" id="{BADE6137-AE8D-4777-A213-BE8DFDB4134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29300" y="95250"/>
          <a:ext cx="1171575" cy="8858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133351</xdr:rowOff>
    </xdr:from>
    <xdr:to>
      <xdr:col>1</xdr:col>
      <xdr:colOff>747108</xdr:colOff>
      <xdr:row>0</xdr:row>
      <xdr:rowOff>1019175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3E3BC82-830A-483B-B38B-976E7DEDA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33351"/>
          <a:ext cx="851883" cy="885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2457450</xdr:colOff>
      <xdr:row>50</xdr:row>
      <xdr:rowOff>133350</xdr:rowOff>
    </xdr:from>
    <xdr:to>
      <xdr:col>4</xdr:col>
      <xdr:colOff>268516</xdr:colOff>
      <xdr:row>57</xdr:row>
      <xdr:rowOff>63829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FAD06A4-689A-4D73-8771-F194C52F3DD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16697325"/>
          <a:ext cx="1582966" cy="930604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819150</xdr:colOff>
      <xdr:row>0</xdr:row>
      <xdr:rowOff>95250</xdr:rowOff>
    </xdr:from>
    <xdr:to>
      <xdr:col>9</xdr:col>
      <xdr:colOff>933450</xdr:colOff>
      <xdr:row>0</xdr:row>
      <xdr:rowOff>981075</xdr:rowOff>
    </xdr:to>
    <xdr:pic>
      <xdr:nvPicPr>
        <xdr:cNvPr id="4" name="Picture 11">
          <a:extLst>
            <a:ext uri="{FF2B5EF4-FFF2-40B4-BE49-F238E27FC236}">
              <a16:creationId xmlns:a16="http://schemas.microsoft.com/office/drawing/2014/main" id="{755A0E28-2108-466C-BC93-2D344F9F6C7D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29300" y="95250"/>
          <a:ext cx="1171575" cy="885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180975</xdr:rowOff>
    </xdr:from>
    <xdr:to>
      <xdr:col>1</xdr:col>
      <xdr:colOff>666750</xdr:colOff>
      <xdr:row>0</xdr:row>
      <xdr:rowOff>1066800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A150F851-81F2-4540-B68C-8DA25BDBF8C2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80975"/>
          <a:ext cx="1171575" cy="885825"/>
        </a:xfrm>
        <a:prstGeom prst="rect">
          <a:avLst/>
        </a:prstGeom>
      </xdr:spPr>
    </xdr:pic>
    <xdr:clientData/>
  </xdr:twoCellAnchor>
  <xdr:twoCellAnchor editAs="oneCell">
    <xdr:from>
      <xdr:col>1</xdr:col>
      <xdr:colOff>1543050</xdr:colOff>
      <xdr:row>67</xdr:row>
      <xdr:rowOff>47625</xdr:rowOff>
    </xdr:from>
    <xdr:to>
      <xdr:col>1</xdr:col>
      <xdr:colOff>2952750</xdr:colOff>
      <xdr:row>71</xdr:row>
      <xdr:rowOff>66675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B699188-9DFE-48A5-86F0-80DCB72D121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8810625"/>
          <a:ext cx="1409700" cy="5905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133351</xdr:rowOff>
    </xdr:from>
    <xdr:to>
      <xdr:col>1</xdr:col>
      <xdr:colOff>747108</xdr:colOff>
      <xdr:row>0</xdr:row>
      <xdr:rowOff>1019175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529D8EF-5516-481F-98DC-BFE4D38EA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33351"/>
          <a:ext cx="851883" cy="885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361950</xdr:colOff>
      <xdr:row>50</xdr:row>
      <xdr:rowOff>76200</xdr:rowOff>
    </xdr:from>
    <xdr:to>
      <xdr:col>5</xdr:col>
      <xdr:colOff>1020991</xdr:colOff>
      <xdr:row>57</xdr:row>
      <xdr:rowOff>6679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9FD0AC8-2C7C-4136-B9D5-66141CC0DF3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16906875"/>
          <a:ext cx="1582966" cy="930604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819150</xdr:colOff>
      <xdr:row>0</xdr:row>
      <xdr:rowOff>95250</xdr:rowOff>
    </xdr:from>
    <xdr:to>
      <xdr:col>9</xdr:col>
      <xdr:colOff>933450</xdr:colOff>
      <xdr:row>0</xdr:row>
      <xdr:rowOff>981075</xdr:rowOff>
    </xdr:to>
    <xdr:pic>
      <xdr:nvPicPr>
        <xdr:cNvPr id="4" name="Picture 11">
          <a:extLst>
            <a:ext uri="{FF2B5EF4-FFF2-40B4-BE49-F238E27FC236}">
              <a16:creationId xmlns:a16="http://schemas.microsoft.com/office/drawing/2014/main" id="{87DC3CD4-A6E0-482A-915B-7E72D745E943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29300" y="95250"/>
          <a:ext cx="1171575" cy="8858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E69DB174-1063-4D9B-AEDA-1B93E8333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23825"/>
          <a:ext cx="1514475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459441</xdr:colOff>
      <xdr:row>49</xdr:row>
      <xdr:rowOff>132323</xdr:rowOff>
    </xdr:from>
    <xdr:to>
      <xdr:col>0</xdr:col>
      <xdr:colOff>1882588</xdr:colOff>
      <xdr:row>53</xdr:row>
      <xdr:rowOff>100853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150B988-C6E6-4845-8C9A-46ABC169F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441" y="11203735"/>
          <a:ext cx="1423147" cy="61847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7D393B3E-5FBD-4525-BF27-DAE59BF4A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493059</xdr:colOff>
      <xdr:row>50</xdr:row>
      <xdr:rowOff>1</xdr:rowOff>
    </xdr:from>
    <xdr:to>
      <xdr:col>0</xdr:col>
      <xdr:colOff>1916206</xdr:colOff>
      <xdr:row>53</xdr:row>
      <xdr:rowOff>136619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CF354-E140-4504-9CC4-B2AD4E139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059" y="11385177"/>
          <a:ext cx="1423147" cy="61847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4C4611ED-395A-43E7-91D9-84F679BF7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358588</xdr:colOff>
      <xdr:row>49</xdr:row>
      <xdr:rowOff>123265</xdr:rowOff>
    </xdr:from>
    <xdr:to>
      <xdr:col>0</xdr:col>
      <xdr:colOff>1781735</xdr:colOff>
      <xdr:row>53</xdr:row>
      <xdr:rowOff>91795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188F609-341C-4409-947A-00E7548C8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588" y="11340353"/>
          <a:ext cx="1423147" cy="61847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B64C67D7-D1A9-4DDC-9D16-CC35C1867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448236</xdr:colOff>
      <xdr:row>49</xdr:row>
      <xdr:rowOff>145676</xdr:rowOff>
    </xdr:from>
    <xdr:to>
      <xdr:col>0</xdr:col>
      <xdr:colOff>1871383</xdr:colOff>
      <xdr:row>53</xdr:row>
      <xdr:rowOff>114206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2845728-98BA-4E4F-8FC4-EE5F7415D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6" y="11217088"/>
          <a:ext cx="1423147" cy="61847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4FD6DEF7-A47C-4E5B-899A-E9C42F09C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280147</xdr:colOff>
      <xdr:row>50</xdr:row>
      <xdr:rowOff>0</xdr:rowOff>
    </xdr:from>
    <xdr:to>
      <xdr:col>0</xdr:col>
      <xdr:colOff>1703294</xdr:colOff>
      <xdr:row>53</xdr:row>
      <xdr:rowOff>136618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DF4A9D8-5125-46E4-9CE2-D2242D5133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147" y="11239500"/>
          <a:ext cx="1423147" cy="61847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24BD1C80-8341-4005-8E0A-DBCEE6D42B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336176</xdr:colOff>
      <xdr:row>50</xdr:row>
      <xdr:rowOff>0</xdr:rowOff>
    </xdr:from>
    <xdr:to>
      <xdr:col>0</xdr:col>
      <xdr:colOff>1759323</xdr:colOff>
      <xdr:row>53</xdr:row>
      <xdr:rowOff>136618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AF2ABDE-53D1-4781-AB22-95560FB88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76" y="11239500"/>
          <a:ext cx="1423147" cy="61847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286749CF-01D0-4C5C-8578-F32EA69B5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291353</xdr:colOff>
      <xdr:row>49</xdr:row>
      <xdr:rowOff>145676</xdr:rowOff>
    </xdr:from>
    <xdr:to>
      <xdr:col>0</xdr:col>
      <xdr:colOff>1714500</xdr:colOff>
      <xdr:row>53</xdr:row>
      <xdr:rowOff>114206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A45933A-A954-42A1-B112-77A7158E5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11217088"/>
          <a:ext cx="1423147" cy="61847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94A8995C-DB9D-40B5-8724-E7C530145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145676</xdr:colOff>
      <xdr:row>49</xdr:row>
      <xdr:rowOff>156883</xdr:rowOff>
    </xdr:from>
    <xdr:to>
      <xdr:col>0</xdr:col>
      <xdr:colOff>1568823</xdr:colOff>
      <xdr:row>53</xdr:row>
      <xdr:rowOff>125413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03F801A-DD55-4A7C-919C-A3E04C5C3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76" y="11486030"/>
          <a:ext cx="1423147" cy="61847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BC3A02B3-A8AF-4B28-A22E-224ACFBAD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201706</xdr:colOff>
      <xdr:row>49</xdr:row>
      <xdr:rowOff>134471</xdr:rowOff>
    </xdr:from>
    <xdr:to>
      <xdr:col>0</xdr:col>
      <xdr:colOff>1624853</xdr:colOff>
      <xdr:row>53</xdr:row>
      <xdr:rowOff>103001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CC5EEBF-8E15-4D68-87C4-090EC95CD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706" y="11463618"/>
          <a:ext cx="1423147" cy="61847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69492FDA-D236-4792-8767-8B36D1D6B6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313765</xdr:colOff>
      <xdr:row>50</xdr:row>
      <xdr:rowOff>0</xdr:rowOff>
    </xdr:from>
    <xdr:to>
      <xdr:col>0</xdr:col>
      <xdr:colOff>1736912</xdr:colOff>
      <xdr:row>53</xdr:row>
      <xdr:rowOff>136618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6DC088A-2058-4CA5-9AE6-0F5A5DC52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765" y="11239500"/>
          <a:ext cx="1423147" cy="61847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A2482A72-AED1-4924-A651-2990731FA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246530</xdr:colOff>
      <xdr:row>49</xdr:row>
      <xdr:rowOff>145676</xdr:rowOff>
    </xdr:from>
    <xdr:to>
      <xdr:col>0</xdr:col>
      <xdr:colOff>1669677</xdr:colOff>
      <xdr:row>53</xdr:row>
      <xdr:rowOff>114206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1F866C9-C4DD-4506-B868-C34AE05817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530" y="11217088"/>
          <a:ext cx="1423147" cy="61847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218FC623-8A06-4547-8FAE-457CB5623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246529</xdr:colOff>
      <xdr:row>49</xdr:row>
      <xdr:rowOff>78440</xdr:rowOff>
    </xdr:from>
    <xdr:to>
      <xdr:col>0</xdr:col>
      <xdr:colOff>1669676</xdr:colOff>
      <xdr:row>53</xdr:row>
      <xdr:rowOff>46970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A880F99-E44A-45ED-81AA-D69621848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529" y="11149852"/>
          <a:ext cx="1423147" cy="61847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EB347F49-F57D-4630-9E59-96918E940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257735</xdr:colOff>
      <xdr:row>49</xdr:row>
      <xdr:rowOff>134470</xdr:rowOff>
    </xdr:from>
    <xdr:to>
      <xdr:col>0</xdr:col>
      <xdr:colOff>1680882</xdr:colOff>
      <xdr:row>53</xdr:row>
      <xdr:rowOff>103000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AF30D07-F3B9-4F27-B2A5-12FF087A4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735" y="11205882"/>
          <a:ext cx="1423147" cy="618471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0563E40E-33C1-4CFD-BF82-E0CB2B99C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168089</xdr:colOff>
      <xdr:row>49</xdr:row>
      <xdr:rowOff>100853</xdr:rowOff>
    </xdr:from>
    <xdr:to>
      <xdr:col>0</xdr:col>
      <xdr:colOff>1591236</xdr:colOff>
      <xdr:row>53</xdr:row>
      <xdr:rowOff>69383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4D20FF-95D1-4A32-AB31-22D0E7975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089" y="11317941"/>
          <a:ext cx="1423147" cy="618471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5449077E-F07D-4F37-A6EE-5DCDE22A5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257735</xdr:colOff>
      <xdr:row>49</xdr:row>
      <xdr:rowOff>112059</xdr:rowOff>
    </xdr:from>
    <xdr:to>
      <xdr:col>0</xdr:col>
      <xdr:colOff>1680882</xdr:colOff>
      <xdr:row>53</xdr:row>
      <xdr:rowOff>80589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CC90936-66CC-44EF-9301-F88ABF760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735" y="11329147"/>
          <a:ext cx="1423147" cy="618471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8D5280B5-D600-4E6F-9A18-D081D9711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257736</xdr:colOff>
      <xdr:row>49</xdr:row>
      <xdr:rowOff>145677</xdr:rowOff>
    </xdr:from>
    <xdr:to>
      <xdr:col>0</xdr:col>
      <xdr:colOff>1680883</xdr:colOff>
      <xdr:row>53</xdr:row>
      <xdr:rowOff>114207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395AC90-A432-4404-B94F-3E7942151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736" y="11362765"/>
          <a:ext cx="1423147" cy="618471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E163FF67-4F8B-47AA-B81F-ED0770970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145676</xdr:colOff>
      <xdr:row>50</xdr:row>
      <xdr:rowOff>0</xdr:rowOff>
    </xdr:from>
    <xdr:to>
      <xdr:col>0</xdr:col>
      <xdr:colOff>1568823</xdr:colOff>
      <xdr:row>53</xdr:row>
      <xdr:rowOff>136618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437CFAE-2597-474E-B3F2-4F2223D57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76" y="11239500"/>
          <a:ext cx="1423147" cy="618471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75CBDD87-45D9-4B1A-853B-917076527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179294</xdr:colOff>
      <xdr:row>49</xdr:row>
      <xdr:rowOff>134470</xdr:rowOff>
    </xdr:from>
    <xdr:to>
      <xdr:col>0</xdr:col>
      <xdr:colOff>1602441</xdr:colOff>
      <xdr:row>53</xdr:row>
      <xdr:rowOff>103000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D393271-8AC5-4195-8DEC-279D62D26B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" y="11205882"/>
          <a:ext cx="1423147" cy="618471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B06DB2EA-CF4A-4249-9F41-FE29544A8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123265</xdr:colOff>
      <xdr:row>49</xdr:row>
      <xdr:rowOff>112059</xdr:rowOff>
    </xdr:from>
    <xdr:to>
      <xdr:col>0</xdr:col>
      <xdr:colOff>1546412</xdr:colOff>
      <xdr:row>53</xdr:row>
      <xdr:rowOff>80589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EB3755C-9A9D-4A7F-876C-D5597FA733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265" y="12248030"/>
          <a:ext cx="1423147" cy="61847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44A786D8-2F72-471A-8833-7F99D1BA5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224117</xdr:colOff>
      <xdr:row>50</xdr:row>
      <xdr:rowOff>11205</xdr:rowOff>
    </xdr:from>
    <xdr:to>
      <xdr:col>0</xdr:col>
      <xdr:colOff>1647264</xdr:colOff>
      <xdr:row>53</xdr:row>
      <xdr:rowOff>147823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9D7E0B3-8F12-455A-AA50-935CC9FBB5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7" y="12494558"/>
          <a:ext cx="1423147" cy="618471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556277EB-D313-4980-B7E9-75B5F1A3E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156882</xdr:colOff>
      <xdr:row>50</xdr:row>
      <xdr:rowOff>0</xdr:rowOff>
    </xdr:from>
    <xdr:to>
      <xdr:col>0</xdr:col>
      <xdr:colOff>1580029</xdr:colOff>
      <xdr:row>53</xdr:row>
      <xdr:rowOff>136618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6DBDDD8-51F7-445C-A541-81173392A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" y="12449735"/>
          <a:ext cx="1423147" cy="618471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8F1EE527-0875-4F4F-A1BE-A89EF70E9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190500</xdr:colOff>
      <xdr:row>48</xdr:row>
      <xdr:rowOff>145677</xdr:rowOff>
    </xdr:from>
    <xdr:to>
      <xdr:col>0</xdr:col>
      <xdr:colOff>1613647</xdr:colOff>
      <xdr:row>52</xdr:row>
      <xdr:rowOff>114207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CB3B6C4-A860-4F80-B5FC-F045FB2A8C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1463618"/>
          <a:ext cx="1423147" cy="618471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F7A11821-406D-458A-BE91-EDA122631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112058</xdr:colOff>
      <xdr:row>48</xdr:row>
      <xdr:rowOff>156883</xdr:rowOff>
    </xdr:from>
    <xdr:to>
      <xdr:col>0</xdr:col>
      <xdr:colOff>1535205</xdr:colOff>
      <xdr:row>52</xdr:row>
      <xdr:rowOff>125413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62DF747-7707-47C7-ACF9-A5F1B22B9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58" y="11082618"/>
          <a:ext cx="1423147" cy="618471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DEBA0527-112A-4007-8497-999095D1D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190500</xdr:colOff>
      <xdr:row>49</xdr:row>
      <xdr:rowOff>-1</xdr:rowOff>
    </xdr:from>
    <xdr:to>
      <xdr:col>0</xdr:col>
      <xdr:colOff>1613647</xdr:colOff>
      <xdr:row>52</xdr:row>
      <xdr:rowOff>136618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36665ED-C860-4E5A-A4A7-55A84F67B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1284323"/>
          <a:ext cx="1423147" cy="618471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CF565F8C-C739-4EA7-9582-C8DD81A38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291353</xdr:colOff>
      <xdr:row>47</xdr:row>
      <xdr:rowOff>134471</xdr:rowOff>
    </xdr:from>
    <xdr:to>
      <xdr:col>0</xdr:col>
      <xdr:colOff>1714500</xdr:colOff>
      <xdr:row>51</xdr:row>
      <xdr:rowOff>103001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46CFDC9-1CC7-4B91-A3D6-81BD76B22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10892118"/>
          <a:ext cx="1423147" cy="618471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D2624C0F-2C91-4B49-8C2E-C54B0A0518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168088</xdr:colOff>
      <xdr:row>48</xdr:row>
      <xdr:rowOff>0</xdr:rowOff>
    </xdr:from>
    <xdr:to>
      <xdr:col>0</xdr:col>
      <xdr:colOff>1591235</xdr:colOff>
      <xdr:row>51</xdr:row>
      <xdr:rowOff>136618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A5459FD-1D63-4A03-9CC2-CF94BF6A3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088" y="10936941"/>
          <a:ext cx="1423147" cy="618471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AD86201C-74AF-4EAE-BF30-65FB13F90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347382</xdr:colOff>
      <xdr:row>47</xdr:row>
      <xdr:rowOff>145676</xdr:rowOff>
    </xdr:from>
    <xdr:to>
      <xdr:col>0</xdr:col>
      <xdr:colOff>1770529</xdr:colOff>
      <xdr:row>51</xdr:row>
      <xdr:rowOff>114206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2ECCD18-AE79-41F4-A6DC-426397C5F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382" y="10914529"/>
          <a:ext cx="1423147" cy="618471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803761B8-32E6-4CA3-9C7E-CB7F22ED0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257735</xdr:colOff>
      <xdr:row>48</xdr:row>
      <xdr:rowOff>0</xdr:rowOff>
    </xdr:from>
    <xdr:to>
      <xdr:col>0</xdr:col>
      <xdr:colOff>1680882</xdr:colOff>
      <xdr:row>51</xdr:row>
      <xdr:rowOff>136619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5F41C98-0D5E-4C09-87BE-E62D0F4D4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735" y="11093824"/>
          <a:ext cx="1423147" cy="618471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1627C3EF-A80A-4CF5-A988-237389A60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179294</xdr:colOff>
      <xdr:row>48</xdr:row>
      <xdr:rowOff>0</xdr:rowOff>
    </xdr:from>
    <xdr:to>
      <xdr:col>0</xdr:col>
      <xdr:colOff>1602441</xdr:colOff>
      <xdr:row>51</xdr:row>
      <xdr:rowOff>136618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9B2C303-A51E-4FB1-BEBD-83C085099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" y="10936941"/>
          <a:ext cx="1423147" cy="618471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0</xdr:row>
      <xdr:rowOff>123825</xdr:rowOff>
    </xdr:from>
    <xdr:to>
      <xdr:col>3</xdr:col>
      <xdr:colOff>1190065</xdr:colOff>
      <xdr:row>0</xdr:row>
      <xdr:rowOff>1400175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029810F1-DEAD-482F-BA6D-7DAAEEBF6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123825"/>
          <a:ext cx="152344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347383</xdr:colOff>
      <xdr:row>47</xdr:row>
      <xdr:rowOff>123264</xdr:rowOff>
    </xdr:from>
    <xdr:to>
      <xdr:col>0</xdr:col>
      <xdr:colOff>1770530</xdr:colOff>
      <xdr:row>51</xdr:row>
      <xdr:rowOff>91794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4DD0EF4-9E36-4D1E-B30E-D7F3EBFFB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383" y="10892117"/>
          <a:ext cx="1423147" cy="61847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/Duvan/Trabajos%20de%20la%20U/8%20semestre/Construccion%201/Proyecto/An&#225;lisis%20Unitarios%20-%20Franc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/Duvan/Trabajos%20de%20la%20U/8%20semestre/Construccion%201/Proyecto/APUS%20-%20Nuevo%20Amanec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/CARRETERAS/carreteras/VIAS%20VASCULARES/UNITARI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alhemu/Downloads/INGENIERO2/My%20Documents/Mis%20documentos/Andres/Presupuestos/Administra%20UQ%20V%201.0/Administra%20Planeaci&#243;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/Semestre%209%20IX/Concreto%20II/Muro/Dise&#241;o%20muro%20contencion/APUS%20Y%20PRESUPUESTO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</sheetNames>
    <sheetDataSet>
      <sheetData sheetId="0" refreshError="1">
        <row r="4">
          <cell r="D4">
            <v>7</v>
          </cell>
        </row>
        <row r="169">
          <cell r="D169">
            <v>1601.38</v>
          </cell>
        </row>
        <row r="181">
          <cell r="D181">
            <v>4189.9000000000005</v>
          </cell>
        </row>
        <row r="275">
          <cell r="D275">
            <v>18375</v>
          </cell>
        </row>
        <row r="688">
          <cell r="D688">
            <v>1046.32</v>
          </cell>
        </row>
        <row r="793">
          <cell r="D793">
            <v>3849.9982399999999</v>
          </cell>
        </row>
        <row r="932">
          <cell r="D932">
            <v>880.00000000000011</v>
          </cell>
        </row>
        <row r="1404">
          <cell r="D1404">
            <v>17241.37931034483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itulos"/>
      <sheetName val="Mano Obra"/>
      <sheetName val="Maqui Equip"/>
      <sheetName val="Unidad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8"/>
  <sheetViews>
    <sheetView topLeftCell="A16" zoomScaleNormal="100" workbookViewId="0">
      <selection sqref="A1:J1"/>
    </sheetView>
  </sheetViews>
  <sheetFormatPr baseColWidth="10" defaultColWidth="9.33203125" defaultRowHeight="11.25" x14ac:dyDescent="0.2"/>
  <cols>
    <col min="1" max="1" width="5.5" style="13" customWidth="1"/>
    <col min="2" max="2" width="45.83203125" style="6" customWidth="1"/>
    <col min="3" max="3" width="10.5" style="6" customWidth="1"/>
    <col min="4" max="4" width="9.6640625" style="6" customWidth="1"/>
    <col min="5" max="5" width="16.1640625" style="13" customWidth="1"/>
    <col min="6" max="6" width="20.33203125" style="6" hidden="1" customWidth="1"/>
    <col min="7" max="7" width="18.5" style="13" hidden="1" customWidth="1"/>
    <col min="8" max="8" width="24.33203125" style="6" hidden="1" customWidth="1"/>
    <col min="9" max="9" width="18.5" style="13" customWidth="1"/>
    <col min="10" max="10" width="18.1640625" style="6" customWidth="1"/>
    <col min="11" max="11" width="18.33203125" style="6" customWidth="1"/>
    <col min="12" max="16384" width="9.33203125" style="6"/>
  </cols>
  <sheetData>
    <row r="1" spans="1:10" ht="83.25" customHeight="1" x14ac:dyDescent="0.2">
      <c r="A1" s="200" t="s">
        <v>103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ht="34.5" customHeight="1" x14ac:dyDescent="0.2">
      <c r="A2" s="203" t="s">
        <v>14</v>
      </c>
      <c r="B2" s="203"/>
      <c r="C2" s="203"/>
      <c r="D2" s="203"/>
      <c r="E2" s="203"/>
      <c r="F2" s="203"/>
      <c r="G2" s="203"/>
      <c r="H2" s="203"/>
      <c r="I2" s="203"/>
      <c r="J2" s="203"/>
    </row>
    <row r="3" spans="1:10" ht="37.5" customHeight="1" x14ac:dyDescent="0.2">
      <c r="A3" s="4" t="s">
        <v>0</v>
      </c>
      <c r="B3" s="4" t="s">
        <v>1</v>
      </c>
      <c r="C3" s="4" t="s">
        <v>15</v>
      </c>
      <c r="D3" s="4" t="s">
        <v>16</v>
      </c>
      <c r="E3" s="4" t="s">
        <v>12</v>
      </c>
      <c r="F3" s="4" t="s">
        <v>13</v>
      </c>
      <c r="G3" s="29" t="s">
        <v>89</v>
      </c>
      <c r="H3" s="29" t="s">
        <v>88</v>
      </c>
      <c r="I3" s="29" t="s">
        <v>90</v>
      </c>
      <c r="J3" s="29" t="s">
        <v>91</v>
      </c>
    </row>
    <row r="4" spans="1:10" ht="9" customHeight="1" x14ac:dyDescent="0.2">
      <c r="A4" s="21">
        <v>1</v>
      </c>
      <c r="B4" s="37" t="s">
        <v>17</v>
      </c>
      <c r="C4" s="19"/>
      <c r="D4" s="19"/>
      <c r="E4" s="7"/>
      <c r="F4" s="19"/>
      <c r="G4" s="11"/>
      <c r="H4" s="16"/>
      <c r="I4" s="11"/>
      <c r="J4" s="16"/>
    </row>
    <row r="5" spans="1:10" ht="9.9499999999999993" customHeight="1" x14ac:dyDescent="0.2">
      <c r="A5" s="23">
        <v>1.1000000000000001</v>
      </c>
      <c r="B5" s="37" t="s">
        <v>18</v>
      </c>
      <c r="C5" s="19"/>
      <c r="D5" s="19"/>
      <c r="E5" s="7"/>
      <c r="F5" s="19"/>
      <c r="G5" s="11"/>
      <c r="H5" s="16"/>
      <c r="I5" s="11"/>
      <c r="J5" s="16"/>
    </row>
    <row r="6" spans="1:10" ht="72.95" customHeight="1" x14ac:dyDescent="0.2">
      <c r="A6" s="2" t="s">
        <v>19</v>
      </c>
      <c r="B6" s="18" t="s">
        <v>20</v>
      </c>
      <c r="C6" s="2" t="s">
        <v>21</v>
      </c>
      <c r="D6" s="8">
        <v>1</v>
      </c>
      <c r="E6" s="24">
        <v>620000</v>
      </c>
      <c r="F6" s="24">
        <f>+E6*D6</f>
        <v>620000</v>
      </c>
      <c r="G6" s="11"/>
      <c r="H6" s="15">
        <f>+G6*E6</f>
        <v>0</v>
      </c>
      <c r="I6" s="26">
        <f>+D6</f>
        <v>1</v>
      </c>
      <c r="J6" s="17">
        <f>+I6*E6</f>
        <v>620000</v>
      </c>
    </row>
    <row r="7" spans="1:10" ht="42" customHeight="1" x14ac:dyDescent="0.2">
      <c r="A7" s="2" t="s">
        <v>22</v>
      </c>
      <c r="B7" s="18" t="s">
        <v>23</v>
      </c>
      <c r="C7" s="2" t="s">
        <v>21</v>
      </c>
      <c r="D7" s="8">
        <v>3</v>
      </c>
      <c r="E7" s="24">
        <v>2528050</v>
      </c>
      <c r="F7" s="24">
        <f t="shared" ref="F7:F29" si="0">+E7*D7</f>
        <v>7584150</v>
      </c>
      <c r="G7" s="11"/>
      <c r="H7" s="15">
        <f t="shared" ref="H7:H45" si="1">+G7*E7</f>
        <v>0</v>
      </c>
      <c r="I7" s="26">
        <f t="shared" ref="I7:I9" si="2">+D7</f>
        <v>3</v>
      </c>
      <c r="J7" s="17">
        <f t="shared" ref="J7:J32" si="3">+I7*E7</f>
        <v>7584150</v>
      </c>
    </row>
    <row r="8" spans="1:10" ht="38.1" customHeight="1" x14ac:dyDescent="0.2">
      <c r="A8" s="2" t="s">
        <v>24</v>
      </c>
      <c r="B8" s="18" t="s">
        <v>25</v>
      </c>
      <c r="C8" s="2" t="s">
        <v>21</v>
      </c>
      <c r="D8" s="8">
        <v>3</v>
      </c>
      <c r="E8" s="24">
        <v>2528050</v>
      </c>
      <c r="F8" s="24">
        <f t="shared" si="0"/>
        <v>7584150</v>
      </c>
      <c r="G8" s="11"/>
      <c r="H8" s="15">
        <f t="shared" si="1"/>
        <v>0</v>
      </c>
      <c r="I8" s="26">
        <f t="shared" si="2"/>
        <v>3</v>
      </c>
      <c r="J8" s="17">
        <f t="shared" si="3"/>
        <v>7584150</v>
      </c>
    </row>
    <row r="9" spans="1:10" ht="77.099999999999994" customHeight="1" x14ac:dyDescent="0.2">
      <c r="A9" s="2" t="s">
        <v>26</v>
      </c>
      <c r="B9" s="18" t="s">
        <v>27</v>
      </c>
      <c r="C9" s="2" t="s">
        <v>21</v>
      </c>
      <c r="D9" s="8">
        <v>1</v>
      </c>
      <c r="E9" s="24">
        <v>620000</v>
      </c>
      <c r="F9" s="24">
        <f t="shared" si="0"/>
        <v>620000</v>
      </c>
      <c r="G9" s="11"/>
      <c r="H9" s="15">
        <f t="shared" si="1"/>
        <v>0</v>
      </c>
      <c r="I9" s="26">
        <f t="shared" si="2"/>
        <v>1</v>
      </c>
      <c r="J9" s="17">
        <f t="shared" si="3"/>
        <v>620000</v>
      </c>
    </row>
    <row r="10" spans="1:10" ht="11.25" customHeight="1" x14ac:dyDescent="0.2">
      <c r="A10" s="7"/>
      <c r="B10" s="37" t="s">
        <v>28</v>
      </c>
      <c r="C10" s="19"/>
      <c r="D10" s="7"/>
      <c r="E10" s="2"/>
      <c r="F10" s="9">
        <f>SUM(F6:F9)</f>
        <v>16408300</v>
      </c>
      <c r="G10" s="11"/>
      <c r="H10" s="14">
        <f>SUM(H6:H9)</f>
        <v>0</v>
      </c>
      <c r="I10" s="5"/>
      <c r="J10" s="45">
        <f>SUM(J6:J9)</f>
        <v>16408300</v>
      </c>
    </row>
    <row r="11" spans="1:10" ht="11.25" customHeight="1" x14ac:dyDescent="0.2">
      <c r="A11" s="21">
        <v>2</v>
      </c>
      <c r="B11" s="37" t="s">
        <v>29</v>
      </c>
      <c r="C11" s="19"/>
      <c r="D11" s="7"/>
      <c r="E11" s="2"/>
      <c r="F11" s="1"/>
      <c r="G11" s="11"/>
      <c r="H11" s="15"/>
      <c r="I11" s="11"/>
      <c r="J11" s="17"/>
    </row>
    <row r="12" spans="1:10" ht="11.25" customHeight="1" x14ac:dyDescent="0.2">
      <c r="A12" s="2" t="s">
        <v>30</v>
      </c>
      <c r="B12" s="18" t="s">
        <v>31</v>
      </c>
      <c r="C12" s="2" t="s">
        <v>32</v>
      </c>
      <c r="D12" s="8">
        <v>1</v>
      </c>
      <c r="E12" s="24">
        <v>46500</v>
      </c>
      <c r="F12" s="24">
        <f t="shared" si="0"/>
        <v>46500</v>
      </c>
      <c r="G12" s="11"/>
      <c r="H12" s="15">
        <f t="shared" si="1"/>
        <v>0</v>
      </c>
      <c r="I12" s="26">
        <f>+D12+G12</f>
        <v>1</v>
      </c>
      <c r="J12" s="17">
        <f t="shared" si="3"/>
        <v>46500</v>
      </c>
    </row>
    <row r="13" spans="1:10" ht="11.25" customHeight="1" x14ac:dyDescent="0.2">
      <c r="A13" s="2" t="s">
        <v>33</v>
      </c>
      <c r="B13" s="18" t="s">
        <v>34</v>
      </c>
      <c r="C13" s="2" t="s">
        <v>35</v>
      </c>
      <c r="D13" s="8">
        <v>3</v>
      </c>
      <c r="E13" s="24">
        <v>9300</v>
      </c>
      <c r="F13" s="24">
        <f t="shared" si="0"/>
        <v>27900</v>
      </c>
      <c r="G13" s="11">
        <v>26</v>
      </c>
      <c r="H13" s="15">
        <f t="shared" si="1"/>
        <v>241800</v>
      </c>
      <c r="I13" s="26">
        <f t="shared" ref="I13:I23" si="4">+D13+G13</f>
        <v>29</v>
      </c>
      <c r="J13" s="17">
        <f t="shared" si="3"/>
        <v>269700</v>
      </c>
    </row>
    <row r="14" spans="1:10" ht="36.75" customHeight="1" x14ac:dyDescent="0.2">
      <c r="A14" s="2" t="s">
        <v>36</v>
      </c>
      <c r="B14" s="18" t="s">
        <v>2</v>
      </c>
      <c r="C14" s="2" t="s">
        <v>32</v>
      </c>
      <c r="D14" s="8">
        <v>5</v>
      </c>
      <c r="E14" s="24">
        <v>193750</v>
      </c>
      <c r="F14" s="24">
        <f t="shared" si="0"/>
        <v>968750</v>
      </c>
      <c r="G14" s="11">
        <f>10+1+4+2+1+3+1+3+2+1+1-5</f>
        <v>24</v>
      </c>
      <c r="H14" s="15">
        <f t="shared" si="1"/>
        <v>4650000</v>
      </c>
      <c r="I14" s="26">
        <f t="shared" si="4"/>
        <v>29</v>
      </c>
      <c r="J14" s="17">
        <f t="shared" si="3"/>
        <v>5618750</v>
      </c>
    </row>
    <row r="15" spans="1:10" ht="34.5" customHeight="1" x14ac:dyDescent="0.2">
      <c r="A15" s="2" t="s">
        <v>37</v>
      </c>
      <c r="B15" s="19" t="s">
        <v>65</v>
      </c>
      <c r="C15" s="2" t="s">
        <v>32</v>
      </c>
      <c r="D15" s="8">
        <v>3</v>
      </c>
      <c r="E15" s="24">
        <v>271250</v>
      </c>
      <c r="F15" s="24">
        <f t="shared" si="0"/>
        <v>813750</v>
      </c>
      <c r="G15" s="11"/>
      <c r="H15" s="17">
        <f t="shared" si="1"/>
        <v>0</v>
      </c>
      <c r="I15" s="26">
        <f t="shared" si="4"/>
        <v>3</v>
      </c>
      <c r="J15" s="17">
        <f t="shared" si="3"/>
        <v>813750</v>
      </c>
    </row>
    <row r="16" spans="1:10" ht="18.75" customHeight="1" x14ac:dyDescent="0.2">
      <c r="A16" s="2" t="s">
        <v>38</v>
      </c>
      <c r="B16" s="18" t="s">
        <v>39</v>
      </c>
      <c r="C16" s="2" t="s">
        <v>32</v>
      </c>
      <c r="D16" s="8">
        <v>1</v>
      </c>
      <c r="E16" s="25">
        <v>1550000</v>
      </c>
      <c r="F16" s="24">
        <f t="shared" si="0"/>
        <v>1550000</v>
      </c>
      <c r="G16" s="11"/>
      <c r="H16" s="15">
        <f t="shared" si="1"/>
        <v>0</v>
      </c>
      <c r="I16" s="26">
        <f t="shared" si="4"/>
        <v>1</v>
      </c>
      <c r="J16" s="17">
        <f t="shared" si="3"/>
        <v>1550000</v>
      </c>
    </row>
    <row r="17" spans="1:11" ht="10.5" customHeight="1" x14ac:dyDescent="0.2">
      <c r="A17" s="2" t="s">
        <v>40</v>
      </c>
      <c r="B17" s="18" t="s">
        <v>41</v>
      </c>
      <c r="C17" s="2" t="s">
        <v>32</v>
      </c>
      <c r="D17" s="8">
        <v>1</v>
      </c>
      <c r="E17" s="25">
        <v>2325000</v>
      </c>
      <c r="F17" s="24">
        <f t="shared" si="0"/>
        <v>2325000</v>
      </c>
      <c r="G17" s="11"/>
      <c r="H17" s="15">
        <f t="shared" si="1"/>
        <v>0</v>
      </c>
      <c r="I17" s="26">
        <f t="shared" si="4"/>
        <v>1</v>
      </c>
      <c r="J17" s="17">
        <f t="shared" si="3"/>
        <v>2325000</v>
      </c>
    </row>
    <row r="18" spans="1:11" ht="18" customHeight="1" x14ac:dyDescent="0.2">
      <c r="A18" s="2" t="s">
        <v>42</v>
      </c>
      <c r="B18" s="18" t="s">
        <v>43</v>
      </c>
      <c r="C18" s="2" t="s">
        <v>35</v>
      </c>
      <c r="D18" s="8">
        <v>1</v>
      </c>
      <c r="E18" s="25">
        <v>1937500</v>
      </c>
      <c r="F18" s="24">
        <f t="shared" si="0"/>
        <v>1937500</v>
      </c>
      <c r="G18" s="11"/>
      <c r="H18" s="15">
        <f t="shared" si="1"/>
        <v>0</v>
      </c>
      <c r="I18" s="26">
        <f t="shared" si="4"/>
        <v>1</v>
      </c>
      <c r="J18" s="17">
        <f t="shared" si="3"/>
        <v>1937500</v>
      </c>
    </row>
    <row r="19" spans="1:11" ht="15" customHeight="1" x14ac:dyDescent="0.2">
      <c r="A19" s="2" t="s">
        <v>44</v>
      </c>
      <c r="B19" s="18" t="s">
        <v>45</v>
      </c>
      <c r="C19" s="2" t="s">
        <v>32</v>
      </c>
      <c r="D19" s="8">
        <v>1</v>
      </c>
      <c r="E19" s="25">
        <v>69750</v>
      </c>
      <c r="F19" s="24">
        <f t="shared" si="0"/>
        <v>69750</v>
      </c>
      <c r="G19" s="11"/>
      <c r="H19" s="15">
        <f t="shared" si="1"/>
        <v>0</v>
      </c>
      <c r="I19" s="26">
        <f t="shared" si="4"/>
        <v>1</v>
      </c>
      <c r="J19" s="17">
        <f t="shared" si="3"/>
        <v>69750</v>
      </c>
    </row>
    <row r="20" spans="1:11" ht="14.25" customHeight="1" x14ac:dyDescent="0.2">
      <c r="A20" s="2" t="s">
        <v>46</v>
      </c>
      <c r="B20" s="18" t="s">
        <v>47</v>
      </c>
      <c r="C20" s="2" t="s">
        <v>32</v>
      </c>
      <c r="D20" s="8">
        <v>1</v>
      </c>
      <c r="E20" s="25">
        <v>93000</v>
      </c>
      <c r="F20" s="24">
        <f t="shared" si="0"/>
        <v>93000</v>
      </c>
      <c r="G20" s="11"/>
      <c r="H20" s="15">
        <f t="shared" si="1"/>
        <v>0</v>
      </c>
      <c r="I20" s="26">
        <f t="shared" si="4"/>
        <v>1</v>
      </c>
      <c r="J20" s="17">
        <f t="shared" si="3"/>
        <v>93000</v>
      </c>
    </row>
    <row r="21" spans="1:11" ht="20.25" customHeight="1" x14ac:dyDescent="0.2">
      <c r="A21" s="2" t="s">
        <v>48</v>
      </c>
      <c r="B21" s="18" t="s">
        <v>3</v>
      </c>
      <c r="C21" s="2" t="s">
        <v>49</v>
      </c>
      <c r="D21" s="8">
        <v>750</v>
      </c>
      <c r="E21" s="24">
        <v>6200</v>
      </c>
      <c r="F21" s="24">
        <f t="shared" si="0"/>
        <v>4650000</v>
      </c>
      <c r="G21" s="11">
        <f>12+20+5+35+4+16.5+6+6+6+35+30+60+20+35+20+87</f>
        <v>397.5</v>
      </c>
      <c r="H21" s="15">
        <f t="shared" si="1"/>
        <v>2464500</v>
      </c>
      <c r="I21" s="26">
        <f t="shared" si="4"/>
        <v>1147.5</v>
      </c>
      <c r="J21" s="17">
        <f t="shared" si="3"/>
        <v>7114500</v>
      </c>
    </row>
    <row r="22" spans="1:11" ht="11.25" customHeight="1" x14ac:dyDescent="0.2">
      <c r="A22" s="2" t="s">
        <v>50</v>
      </c>
      <c r="B22" s="18" t="s">
        <v>51</v>
      </c>
      <c r="C22" s="2" t="s">
        <v>32</v>
      </c>
      <c r="D22" s="8">
        <v>1</v>
      </c>
      <c r="E22" s="24">
        <v>38750</v>
      </c>
      <c r="F22" s="24">
        <f t="shared" si="0"/>
        <v>38750</v>
      </c>
      <c r="G22" s="11"/>
      <c r="H22" s="15">
        <f t="shared" si="1"/>
        <v>0</v>
      </c>
      <c r="I22" s="26">
        <f t="shared" si="4"/>
        <v>1</v>
      </c>
      <c r="J22" s="17">
        <f t="shared" si="3"/>
        <v>38750</v>
      </c>
    </row>
    <row r="23" spans="1:11" ht="11.25" customHeight="1" x14ac:dyDescent="0.2">
      <c r="A23" s="2" t="s">
        <v>52</v>
      </c>
      <c r="B23" s="18" t="s">
        <v>53</v>
      </c>
      <c r="C23" s="2" t="s">
        <v>49</v>
      </c>
      <c r="D23" s="8">
        <v>60</v>
      </c>
      <c r="E23" s="24">
        <v>9300</v>
      </c>
      <c r="F23" s="24">
        <f t="shared" si="0"/>
        <v>558000</v>
      </c>
      <c r="G23" s="11"/>
      <c r="H23" s="15">
        <f t="shared" si="1"/>
        <v>0</v>
      </c>
      <c r="I23" s="26">
        <f t="shared" si="4"/>
        <v>60</v>
      </c>
      <c r="J23" s="17">
        <f t="shared" si="3"/>
        <v>558000</v>
      </c>
    </row>
    <row r="24" spans="1:11" ht="21.75" customHeight="1" x14ac:dyDescent="0.2">
      <c r="A24" s="7"/>
      <c r="B24" s="37" t="s">
        <v>54</v>
      </c>
      <c r="C24" s="19"/>
      <c r="D24" s="7"/>
      <c r="E24" s="7"/>
      <c r="F24" s="9">
        <f>SUM(F11:F23)</f>
        <v>13078900</v>
      </c>
      <c r="G24" s="11"/>
      <c r="H24" s="14">
        <f>SUM(H11:H23)</f>
        <v>7356300</v>
      </c>
      <c r="I24" s="5"/>
      <c r="J24" s="45">
        <f>SUM(J11:J23)</f>
        <v>20435200</v>
      </c>
    </row>
    <row r="25" spans="1:11" ht="9.9499999999999993" customHeight="1" x14ac:dyDescent="0.2">
      <c r="A25" s="21">
        <v>3</v>
      </c>
      <c r="B25" s="37" t="s">
        <v>55</v>
      </c>
      <c r="C25" s="19"/>
      <c r="D25" s="7"/>
      <c r="E25" s="7"/>
      <c r="F25" s="1"/>
      <c r="G25" s="11"/>
      <c r="H25" s="15">
        <f t="shared" si="1"/>
        <v>0</v>
      </c>
      <c r="I25" s="11"/>
      <c r="J25" s="17">
        <f t="shared" si="3"/>
        <v>0</v>
      </c>
    </row>
    <row r="26" spans="1:11" ht="48.95" customHeight="1" x14ac:dyDescent="0.2">
      <c r="A26" s="2" t="s">
        <v>56</v>
      </c>
      <c r="B26" s="18" t="s">
        <v>57</v>
      </c>
      <c r="C26" s="2" t="s">
        <v>32</v>
      </c>
      <c r="D26" s="8">
        <v>1</v>
      </c>
      <c r="E26" s="27">
        <v>2325000</v>
      </c>
      <c r="F26" s="24">
        <f t="shared" si="0"/>
        <v>2325000</v>
      </c>
      <c r="G26" s="11"/>
      <c r="H26" s="28">
        <f t="shared" si="1"/>
        <v>0</v>
      </c>
      <c r="I26" s="26">
        <f>+D26+G26</f>
        <v>1</v>
      </c>
      <c r="J26" s="17">
        <f t="shared" si="3"/>
        <v>2325000</v>
      </c>
    </row>
    <row r="27" spans="1:11" ht="45.95" customHeight="1" x14ac:dyDescent="0.2">
      <c r="A27" s="2" t="s">
        <v>58</v>
      </c>
      <c r="B27" s="18" t="s">
        <v>59</v>
      </c>
      <c r="C27" s="2" t="s">
        <v>32</v>
      </c>
      <c r="D27" s="8">
        <v>40</v>
      </c>
      <c r="E27" s="27">
        <f>2712500/40</f>
        <v>67812.5</v>
      </c>
      <c r="F27" s="24">
        <f>+E27*D27</f>
        <v>2712500</v>
      </c>
      <c r="G27" s="11">
        <v>5</v>
      </c>
      <c r="H27" s="28">
        <f t="shared" si="1"/>
        <v>339062.5</v>
      </c>
      <c r="I27" s="26">
        <f t="shared" ref="I27:I44" si="5">+D27+G27</f>
        <v>45</v>
      </c>
      <c r="J27" s="17">
        <f>+I27*E27</f>
        <v>3051562.5</v>
      </c>
    </row>
    <row r="28" spans="1:11" ht="56.1" customHeight="1" x14ac:dyDescent="0.2">
      <c r="A28" s="2" t="s">
        <v>60</v>
      </c>
      <c r="B28" s="18" t="s">
        <v>4</v>
      </c>
      <c r="C28" s="2" t="s">
        <v>32</v>
      </c>
      <c r="D28" s="8">
        <v>30</v>
      </c>
      <c r="E28" s="27">
        <f>7750000/30</f>
        <v>258333.33333333334</v>
      </c>
      <c r="F28" s="24">
        <f t="shared" si="0"/>
        <v>7750000</v>
      </c>
      <c r="G28" s="11">
        <v>15</v>
      </c>
      <c r="H28" s="28">
        <f t="shared" si="1"/>
        <v>3875000</v>
      </c>
      <c r="I28" s="26">
        <f t="shared" si="5"/>
        <v>45</v>
      </c>
      <c r="J28" s="17">
        <f t="shared" si="3"/>
        <v>11625000</v>
      </c>
      <c r="K28" s="10"/>
    </row>
    <row r="29" spans="1:11" ht="59.25" customHeight="1" x14ac:dyDescent="0.2">
      <c r="A29" s="2" t="s">
        <v>61</v>
      </c>
      <c r="B29" s="18" t="s">
        <v>62</v>
      </c>
      <c r="C29" s="2" t="s">
        <v>32</v>
      </c>
      <c r="D29" s="8">
        <v>4</v>
      </c>
      <c r="E29" s="27">
        <f>7750000/4</f>
        <v>1937500</v>
      </c>
      <c r="F29" s="24">
        <f t="shared" si="0"/>
        <v>7750000</v>
      </c>
      <c r="G29" s="11"/>
      <c r="H29" s="28">
        <f t="shared" si="1"/>
        <v>0</v>
      </c>
      <c r="I29" s="26">
        <f t="shared" si="5"/>
        <v>4</v>
      </c>
      <c r="J29" s="17">
        <f t="shared" si="3"/>
        <v>7750000</v>
      </c>
      <c r="K29" s="10"/>
    </row>
    <row r="30" spans="1:11" ht="30.75" customHeight="1" x14ac:dyDescent="0.2">
      <c r="A30" s="202" t="s">
        <v>14</v>
      </c>
      <c r="B30" s="202"/>
      <c r="C30" s="202"/>
      <c r="D30" s="202"/>
      <c r="E30" s="202"/>
      <c r="F30" s="202"/>
      <c r="G30" s="11"/>
      <c r="H30" s="15"/>
      <c r="I30" s="26"/>
      <c r="J30" s="17"/>
    </row>
    <row r="31" spans="1:11" ht="9.9499999999999993" customHeight="1" x14ac:dyDescent="0.2">
      <c r="A31" s="4" t="s">
        <v>0</v>
      </c>
      <c r="B31" s="4" t="s">
        <v>1</v>
      </c>
      <c r="C31" s="4" t="s">
        <v>15</v>
      </c>
      <c r="D31" s="37" t="s">
        <v>16</v>
      </c>
      <c r="E31" s="2" t="s">
        <v>12</v>
      </c>
      <c r="F31" s="2" t="s">
        <v>13</v>
      </c>
      <c r="G31" s="11"/>
      <c r="H31" s="15"/>
      <c r="I31" s="26"/>
      <c r="J31" s="17"/>
    </row>
    <row r="32" spans="1:11" ht="60" customHeight="1" x14ac:dyDescent="0.2">
      <c r="A32" s="2" t="s">
        <v>63</v>
      </c>
      <c r="B32" s="18" t="s">
        <v>64</v>
      </c>
      <c r="C32" s="2" t="s">
        <v>32</v>
      </c>
      <c r="D32" s="8">
        <v>4</v>
      </c>
      <c r="E32" s="27">
        <f>6975000/D32</f>
        <v>1743750</v>
      </c>
      <c r="F32" s="24">
        <f>+E32*D32</f>
        <v>6975000</v>
      </c>
      <c r="G32" s="11"/>
      <c r="H32" s="15">
        <f t="shared" si="1"/>
        <v>0</v>
      </c>
      <c r="I32" s="26">
        <f t="shared" si="5"/>
        <v>4</v>
      </c>
      <c r="J32" s="17">
        <f t="shared" si="3"/>
        <v>6975000</v>
      </c>
    </row>
    <row r="33" spans="1:10" ht="13.5" customHeight="1" x14ac:dyDescent="0.2">
      <c r="A33" s="2" t="s">
        <v>66</v>
      </c>
      <c r="B33" s="18" t="s">
        <v>74</v>
      </c>
      <c r="C33" s="2" t="s">
        <v>73</v>
      </c>
      <c r="D33" s="8"/>
      <c r="E33" s="25">
        <v>4100</v>
      </c>
      <c r="F33" s="24"/>
      <c r="G33" s="7">
        <v>1200</v>
      </c>
      <c r="H33" s="15">
        <f t="shared" si="1"/>
        <v>4920000</v>
      </c>
      <c r="I33" s="26">
        <f t="shared" si="5"/>
        <v>1200</v>
      </c>
      <c r="J33" s="17">
        <f>+I33*E33</f>
        <v>4920000</v>
      </c>
    </row>
    <row r="34" spans="1:10" ht="13.5" customHeight="1" x14ac:dyDescent="0.2">
      <c r="A34" s="2" t="s">
        <v>67</v>
      </c>
      <c r="B34" s="18" t="s">
        <v>75</v>
      </c>
      <c r="C34" s="2" t="s">
        <v>73</v>
      </c>
      <c r="D34" s="8"/>
      <c r="E34" s="25">
        <v>22500</v>
      </c>
      <c r="F34" s="24"/>
      <c r="G34" s="11">
        <f>3.9+3.1+2.5</f>
        <v>9.5</v>
      </c>
      <c r="H34" s="15">
        <f t="shared" si="1"/>
        <v>213750</v>
      </c>
      <c r="I34" s="26">
        <f t="shared" si="5"/>
        <v>9.5</v>
      </c>
      <c r="J34" s="17">
        <f t="shared" ref="J34:J44" si="6">+I34*E34</f>
        <v>213750</v>
      </c>
    </row>
    <row r="35" spans="1:10" ht="33" customHeight="1" x14ac:dyDescent="0.2">
      <c r="A35" s="2" t="s">
        <v>68</v>
      </c>
      <c r="B35" s="18" t="s">
        <v>76</v>
      </c>
      <c r="C35" s="2" t="s">
        <v>73</v>
      </c>
      <c r="D35" s="8"/>
      <c r="E35" s="25">
        <v>85500</v>
      </c>
      <c r="F35" s="24"/>
      <c r="G35" s="11">
        <f>3.9+3.1+2.5</f>
        <v>9.5</v>
      </c>
      <c r="H35" s="15">
        <f t="shared" si="1"/>
        <v>812250</v>
      </c>
      <c r="I35" s="26">
        <f t="shared" si="5"/>
        <v>9.5</v>
      </c>
      <c r="J35" s="17">
        <f t="shared" si="6"/>
        <v>812250</v>
      </c>
    </row>
    <row r="36" spans="1:10" ht="13.5" customHeight="1" x14ac:dyDescent="0.2">
      <c r="A36" s="2" t="s">
        <v>69</v>
      </c>
      <c r="B36" s="18" t="s">
        <v>77</v>
      </c>
      <c r="C36" s="2" t="s">
        <v>73</v>
      </c>
      <c r="D36" s="8"/>
      <c r="E36" s="25">
        <v>17500</v>
      </c>
      <c r="F36" s="24"/>
      <c r="G36" s="11">
        <v>4.5</v>
      </c>
      <c r="H36" s="15">
        <f t="shared" si="1"/>
        <v>78750</v>
      </c>
      <c r="I36" s="26">
        <f t="shared" si="5"/>
        <v>4.5</v>
      </c>
      <c r="J36" s="17">
        <f t="shared" si="6"/>
        <v>78750</v>
      </c>
    </row>
    <row r="37" spans="1:10" ht="13.5" customHeight="1" x14ac:dyDescent="0.2">
      <c r="A37" s="2" t="s">
        <v>70</v>
      </c>
      <c r="B37" s="18" t="s">
        <v>78</v>
      </c>
      <c r="C37" s="2" t="s">
        <v>73</v>
      </c>
      <c r="D37" s="8"/>
      <c r="E37" s="25">
        <f>126900/2.4+15862</f>
        <v>68737</v>
      </c>
      <c r="F37" s="24"/>
      <c r="G37" s="11">
        <f>2.4+4+4+8+1.5</f>
        <v>19.899999999999999</v>
      </c>
      <c r="H37" s="15">
        <f t="shared" si="1"/>
        <v>1367866.2999999998</v>
      </c>
      <c r="I37" s="26">
        <f t="shared" si="5"/>
        <v>19.899999999999999</v>
      </c>
      <c r="J37" s="17">
        <f t="shared" si="6"/>
        <v>1367866.2999999998</v>
      </c>
    </row>
    <row r="38" spans="1:10" ht="13.5" customHeight="1" x14ac:dyDescent="0.2">
      <c r="A38" s="2" t="s">
        <v>71</v>
      </c>
      <c r="B38" s="18" t="s">
        <v>79</v>
      </c>
      <c r="C38" s="2" t="s">
        <v>32</v>
      </c>
      <c r="D38" s="8"/>
      <c r="E38" s="25">
        <v>450000</v>
      </c>
      <c r="F38" s="24"/>
      <c r="G38" s="11">
        <v>1</v>
      </c>
      <c r="H38" s="15">
        <f t="shared" si="1"/>
        <v>450000</v>
      </c>
      <c r="I38" s="26">
        <f t="shared" si="5"/>
        <v>1</v>
      </c>
      <c r="J38" s="17">
        <f t="shared" si="6"/>
        <v>450000</v>
      </c>
    </row>
    <row r="39" spans="1:10" ht="23.25" customHeight="1" x14ac:dyDescent="0.2">
      <c r="A39" s="2" t="s">
        <v>72</v>
      </c>
      <c r="B39" s="18" t="s">
        <v>83</v>
      </c>
      <c r="C39" s="2" t="s">
        <v>73</v>
      </c>
      <c r="D39" s="8"/>
      <c r="E39" s="25">
        <f>16700+1640+5500</f>
        <v>23840</v>
      </c>
      <c r="F39" s="24"/>
      <c r="G39" s="11">
        <f>20+20+6+1.5+35+20+6+12+10</f>
        <v>130.5</v>
      </c>
      <c r="H39" s="15">
        <f t="shared" ref="H39" si="7">+G39*E39</f>
        <v>3111120</v>
      </c>
      <c r="I39" s="26">
        <f t="shared" si="5"/>
        <v>130.5</v>
      </c>
      <c r="J39" s="17">
        <f t="shared" si="6"/>
        <v>3111120</v>
      </c>
    </row>
    <row r="40" spans="1:10" ht="13.5" customHeight="1" x14ac:dyDescent="0.2">
      <c r="A40" s="2" t="s">
        <v>80</v>
      </c>
      <c r="B40" s="18" t="s">
        <v>85</v>
      </c>
      <c r="C40" s="2" t="s">
        <v>32</v>
      </c>
      <c r="D40" s="8"/>
      <c r="E40" s="3">
        <f>87900*1.3</f>
        <v>114270</v>
      </c>
      <c r="F40" s="1"/>
      <c r="G40" s="11">
        <v>4</v>
      </c>
      <c r="H40" s="15">
        <f t="shared" si="1"/>
        <v>457080</v>
      </c>
      <c r="I40" s="26">
        <f t="shared" si="5"/>
        <v>4</v>
      </c>
      <c r="J40" s="17">
        <f t="shared" si="6"/>
        <v>457080</v>
      </c>
    </row>
    <row r="41" spans="1:10" ht="13.5" customHeight="1" x14ac:dyDescent="0.2">
      <c r="A41" s="2" t="s">
        <v>81</v>
      </c>
      <c r="B41" s="18" t="s">
        <v>86</v>
      </c>
      <c r="C41" s="2" t="s">
        <v>32</v>
      </c>
      <c r="D41" s="8"/>
      <c r="E41" s="3">
        <f>193750*40%</f>
        <v>77500</v>
      </c>
      <c r="F41" s="1"/>
      <c r="G41" s="11">
        <v>2</v>
      </c>
      <c r="H41" s="15">
        <f t="shared" si="1"/>
        <v>155000</v>
      </c>
      <c r="I41" s="26">
        <f t="shared" si="5"/>
        <v>2</v>
      </c>
      <c r="J41" s="17">
        <f t="shared" si="6"/>
        <v>155000</v>
      </c>
    </row>
    <row r="42" spans="1:10" ht="32.25" customHeight="1" x14ac:dyDescent="0.2">
      <c r="A42" s="2" t="s">
        <v>82</v>
      </c>
      <c r="B42" s="18" t="s">
        <v>96</v>
      </c>
      <c r="C42" s="2" t="s">
        <v>97</v>
      </c>
      <c r="D42" s="8"/>
      <c r="E42" s="3">
        <v>20500</v>
      </c>
      <c r="F42" s="1"/>
      <c r="G42" s="11">
        <v>220</v>
      </c>
      <c r="H42" s="15">
        <f t="shared" ref="H42" si="8">+G42*E42</f>
        <v>4510000</v>
      </c>
      <c r="I42" s="26">
        <v>220</v>
      </c>
      <c r="J42" s="17">
        <f t="shared" ref="J42" si="9">+I42*E42</f>
        <v>4510000</v>
      </c>
    </row>
    <row r="43" spans="1:10" ht="32.25" customHeight="1" x14ac:dyDescent="0.2">
      <c r="A43" s="2" t="s">
        <v>100</v>
      </c>
      <c r="B43" s="18" t="s">
        <v>102</v>
      </c>
      <c r="C43" s="2" t="s">
        <v>93</v>
      </c>
      <c r="D43" s="8"/>
      <c r="E43" s="3">
        <f>18400*1.3</f>
        <v>23920</v>
      </c>
      <c r="F43" s="1"/>
      <c r="G43" s="11">
        <v>5.4</v>
      </c>
      <c r="H43" s="15">
        <f t="shared" si="1"/>
        <v>129168.00000000001</v>
      </c>
      <c r="I43" s="44">
        <v>5.4</v>
      </c>
      <c r="J43" s="17">
        <f t="shared" si="6"/>
        <v>129168.00000000001</v>
      </c>
    </row>
    <row r="44" spans="1:10" ht="13.5" customHeight="1" x14ac:dyDescent="0.2">
      <c r="A44" s="2" t="s">
        <v>101</v>
      </c>
      <c r="B44" s="18" t="s">
        <v>84</v>
      </c>
      <c r="C44" s="2" t="s">
        <v>32</v>
      </c>
      <c r="D44" s="8"/>
      <c r="E44" s="3">
        <v>650000</v>
      </c>
      <c r="F44" s="1"/>
      <c r="G44" s="11">
        <v>1</v>
      </c>
      <c r="H44" s="15">
        <f t="shared" ref="H44" si="10">+G44*E44</f>
        <v>650000</v>
      </c>
      <c r="I44" s="26">
        <f t="shared" si="5"/>
        <v>1</v>
      </c>
      <c r="J44" s="17">
        <f t="shared" si="6"/>
        <v>650000</v>
      </c>
    </row>
    <row r="45" spans="1:10" ht="4.5" customHeight="1" x14ac:dyDescent="0.2">
      <c r="A45" s="2"/>
      <c r="B45" s="18"/>
      <c r="C45" s="2"/>
      <c r="D45" s="8"/>
      <c r="E45" s="3"/>
      <c r="F45" s="1"/>
      <c r="G45" s="11"/>
      <c r="H45" s="15">
        <f t="shared" si="1"/>
        <v>0</v>
      </c>
      <c r="I45" s="11"/>
      <c r="J45" s="17"/>
    </row>
    <row r="46" spans="1:10" x14ac:dyDescent="0.2">
      <c r="A46" s="201" t="s">
        <v>8</v>
      </c>
      <c r="B46" s="201"/>
      <c r="C46" s="201"/>
      <c r="D46" s="201"/>
      <c r="E46" s="11"/>
      <c r="F46" s="31">
        <f>+F26+F27+F28+F29+F32</f>
        <v>27512500</v>
      </c>
      <c r="G46" s="35"/>
      <c r="H46" s="33">
        <f>SUM(H26:H45)</f>
        <v>21069046.800000001</v>
      </c>
      <c r="I46" s="36"/>
      <c r="J46" s="46">
        <f>SUM(J26:J44)</f>
        <v>48581546.799999997</v>
      </c>
    </row>
    <row r="47" spans="1:10" x14ac:dyDescent="0.2">
      <c r="A47" s="201" t="s">
        <v>7</v>
      </c>
      <c r="B47" s="201"/>
      <c r="C47" s="201"/>
      <c r="D47" s="201"/>
      <c r="E47" s="11"/>
      <c r="F47" s="12">
        <f>+F46+F24+F10</f>
        <v>56999700</v>
      </c>
      <c r="G47" s="11"/>
      <c r="H47" s="12">
        <f>+H46+H24+H10</f>
        <v>28425346.800000001</v>
      </c>
      <c r="I47" s="11"/>
      <c r="J47" s="12">
        <f>+J46+J24+J10</f>
        <v>85425046.799999997</v>
      </c>
    </row>
    <row r="48" spans="1:10" x14ac:dyDescent="0.2">
      <c r="A48" s="201" t="s">
        <v>5</v>
      </c>
      <c r="B48" s="201"/>
      <c r="C48" s="201"/>
      <c r="D48" s="201"/>
      <c r="E48" s="11"/>
      <c r="F48" s="15">
        <f>+F47*29%</f>
        <v>16529912.999999998</v>
      </c>
      <c r="G48" s="11"/>
      <c r="H48" s="15">
        <f>+H47*29%</f>
        <v>8243350.5719999997</v>
      </c>
      <c r="I48" s="47">
        <v>0.28999999999999998</v>
      </c>
      <c r="J48" s="15">
        <f>+J47*29%</f>
        <v>24773263.571999997</v>
      </c>
    </row>
    <row r="49" spans="1:10" x14ac:dyDescent="0.2">
      <c r="A49" s="201" t="s">
        <v>10</v>
      </c>
      <c r="B49" s="201"/>
      <c r="C49" s="201"/>
      <c r="D49" s="201"/>
      <c r="E49" s="11"/>
      <c r="F49" s="15">
        <f>+F47*1%</f>
        <v>569997</v>
      </c>
      <c r="G49" s="11"/>
      <c r="H49" s="15">
        <f>+H47*1%</f>
        <v>284253.46799999999</v>
      </c>
      <c r="I49" s="47">
        <v>0.01</v>
      </c>
      <c r="J49" s="15">
        <f>+J47*1%</f>
        <v>854250.46799999999</v>
      </c>
    </row>
    <row r="50" spans="1:10" x14ac:dyDescent="0.2">
      <c r="A50" s="201" t="s">
        <v>6</v>
      </c>
      <c r="B50" s="201"/>
      <c r="C50" s="201"/>
      <c r="D50" s="201"/>
      <c r="E50" s="11"/>
      <c r="F50" s="15">
        <f>+F47*5%</f>
        <v>2849985</v>
      </c>
      <c r="G50" s="11"/>
      <c r="H50" s="15">
        <f>+H47*5%</f>
        <v>1421267.34</v>
      </c>
      <c r="I50" s="47">
        <v>0.05</v>
      </c>
      <c r="J50" s="15">
        <f>+J47*5%</f>
        <v>4271252.34</v>
      </c>
    </row>
    <row r="51" spans="1:10" x14ac:dyDescent="0.2">
      <c r="A51" s="201" t="s">
        <v>11</v>
      </c>
      <c r="B51" s="201"/>
      <c r="C51" s="201"/>
      <c r="D51" s="201"/>
      <c r="E51" s="11"/>
      <c r="F51" s="17">
        <f>+F50*19%</f>
        <v>541497.15</v>
      </c>
      <c r="G51" s="11"/>
      <c r="H51" s="17">
        <f>+H50*19%</f>
        <v>270040.79460000002</v>
      </c>
      <c r="I51" s="47">
        <v>0.19</v>
      </c>
      <c r="J51" s="17">
        <f>+J50*19%</f>
        <v>811537.94459999993</v>
      </c>
    </row>
    <row r="52" spans="1:10" x14ac:dyDescent="0.2">
      <c r="A52" s="209" t="s">
        <v>9</v>
      </c>
      <c r="B52" s="209"/>
      <c r="C52" s="209"/>
      <c r="D52" s="209"/>
      <c r="E52" s="5"/>
      <c r="F52" s="30">
        <f>+F47+F48+F49+F50+F51</f>
        <v>77491092.150000006</v>
      </c>
      <c r="G52" s="11"/>
      <c r="H52" s="30">
        <f>+H47+H48+H49+H50+H51</f>
        <v>38644258.97460001</v>
      </c>
      <c r="I52" s="11"/>
      <c r="J52" s="48">
        <f>+J47+J48+J49+J50+J51</f>
        <v>116135351.12459999</v>
      </c>
    </row>
    <row r="53" spans="1:10" ht="12.75" x14ac:dyDescent="0.2">
      <c r="A53" s="206" t="s">
        <v>105</v>
      </c>
      <c r="B53" s="207"/>
      <c r="C53" s="207"/>
      <c r="D53" s="207"/>
      <c r="E53" s="207"/>
      <c r="F53" s="207"/>
      <c r="G53" s="207"/>
      <c r="H53" s="207"/>
      <c r="I53" s="207"/>
      <c r="J53" s="208"/>
    </row>
    <row r="54" spans="1:10" x14ac:dyDescent="0.2">
      <c r="A54" s="204" t="s">
        <v>104</v>
      </c>
      <c r="B54" s="205"/>
      <c r="C54" s="205"/>
      <c r="D54" s="205"/>
      <c r="E54" s="205"/>
      <c r="F54" s="205"/>
      <c r="G54" s="205"/>
      <c r="H54" s="205"/>
      <c r="I54" s="205"/>
      <c r="J54" s="205"/>
    </row>
    <row r="55" spans="1:10" x14ac:dyDescent="0.2">
      <c r="A55" s="205"/>
      <c r="B55" s="205"/>
      <c r="C55" s="205"/>
      <c r="D55" s="205"/>
      <c r="E55" s="205"/>
      <c r="F55" s="205"/>
      <c r="G55" s="205"/>
      <c r="H55" s="205"/>
      <c r="I55" s="205"/>
      <c r="J55" s="205"/>
    </row>
    <row r="56" spans="1:10" x14ac:dyDescent="0.2">
      <c r="A56" s="205"/>
      <c r="B56" s="205"/>
      <c r="C56" s="205"/>
      <c r="D56" s="205"/>
      <c r="E56" s="205"/>
      <c r="F56" s="205"/>
      <c r="G56" s="205"/>
      <c r="H56" s="205"/>
      <c r="I56" s="205"/>
      <c r="J56" s="205"/>
    </row>
    <row r="57" spans="1:10" x14ac:dyDescent="0.2">
      <c r="A57" s="205"/>
      <c r="B57" s="205"/>
      <c r="C57" s="205"/>
      <c r="D57" s="205"/>
      <c r="E57" s="205"/>
      <c r="F57" s="205"/>
      <c r="G57" s="205"/>
      <c r="H57" s="205"/>
      <c r="I57" s="205"/>
      <c r="J57" s="205"/>
    </row>
    <row r="58" spans="1:10" x14ac:dyDescent="0.2">
      <c r="A58" s="205"/>
      <c r="B58" s="205"/>
      <c r="C58" s="205"/>
      <c r="D58" s="205"/>
      <c r="E58" s="205"/>
      <c r="F58" s="205"/>
      <c r="G58" s="205"/>
      <c r="H58" s="205"/>
      <c r="I58" s="205"/>
      <c r="J58" s="205"/>
    </row>
    <row r="59" spans="1:10" x14ac:dyDescent="0.2">
      <c r="A59" s="205"/>
      <c r="B59" s="205"/>
      <c r="C59" s="205"/>
      <c r="D59" s="205"/>
      <c r="E59" s="205"/>
      <c r="F59" s="205"/>
      <c r="G59" s="205"/>
      <c r="H59" s="205"/>
      <c r="I59" s="205"/>
      <c r="J59" s="205"/>
    </row>
    <row r="60" spans="1:10" x14ac:dyDescent="0.2">
      <c r="A60" s="205"/>
      <c r="B60" s="205"/>
      <c r="C60" s="205"/>
      <c r="D60" s="205"/>
      <c r="E60" s="205"/>
      <c r="F60" s="205"/>
      <c r="G60" s="205"/>
      <c r="H60" s="205"/>
      <c r="I60" s="205"/>
      <c r="J60" s="205"/>
    </row>
    <row r="61" spans="1:10" x14ac:dyDescent="0.2">
      <c r="A61" s="205"/>
      <c r="B61" s="205"/>
      <c r="C61" s="205"/>
      <c r="D61" s="205"/>
      <c r="E61" s="205"/>
      <c r="F61" s="205"/>
      <c r="G61" s="205"/>
      <c r="H61" s="205"/>
      <c r="I61" s="205"/>
      <c r="J61" s="205"/>
    </row>
    <row r="62" spans="1:10" x14ac:dyDescent="0.2">
      <c r="A62" s="205"/>
      <c r="B62" s="205"/>
      <c r="C62" s="205"/>
      <c r="D62" s="205"/>
      <c r="E62" s="205"/>
      <c r="F62" s="205"/>
      <c r="G62" s="205"/>
      <c r="H62" s="205"/>
      <c r="I62" s="205"/>
      <c r="J62" s="205"/>
    </row>
    <row r="63" spans="1:10" x14ac:dyDescent="0.2">
      <c r="A63" s="205"/>
      <c r="B63" s="205"/>
      <c r="C63" s="205"/>
      <c r="D63" s="205"/>
      <c r="E63" s="205"/>
      <c r="F63" s="205"/>
      <c r="G63" s="205"/>
      <c r="H63" s="205"/>
      <c r="I63" s="205"/>
      <c r="J63" s="205"/>
    </row>
    <row r="64" spans="1:10" x14ac:dyDescent="0.2">
      <c r="A64" s="205"/>
      <c r="B64" s="205"/>
      <c r="C64" s="205"/>
      <c r="D64" s="205"/>
      <c r="E64" s="205"/>
      <c r="F64" s="205"/>
      <c r="G64" s="205"/>
      <c r="H64" s="205"/>
      <c r="I64" s="205"/>
      <c r="J64" s="205"/>
    </row>
    <row r="65" spans="1:10" x14ac:dyDescent="0.2">
      <c r="A65" s="205"/>
      <c r="B65" s="205"/>
      <c r="C65" s="205"/>
      <c r="D65" s="205"/>
      <c r="E65" s="205"/>
      <c r="F65" s="205"/>
      <c r="G65" s="205"/>
      <c r="H65" s="205"/>
      <c r="I65" s="205"/>
      <c r="J65" s="205"/>
    </row>
    <row r="66" spans="1:10" x14ac:dyDescent="0.2">
      <c r="A66" s="205"/>
      <c r="B66" s="205"/>
      <c r="C66" s="205"/>
      <c r="D66" s="205"/>
      <c r="E66" s="205"/>
      <c r="F66" s="205"/>
      <c r="G66" s="205"/>
      <c r="H66" s="205"/>
      <c r="I66" s="205"/>
      <c r="J66" s="205"/>
    </row>
    <row r="67" spans="1:10" x14ac:dyDescent="0.2">
      <c r="A67" s="205"/>
      <c r="B67" s="205"/>
      <c r="C67" s="205"/>
      <c r="D67" s="205"/>
      <c r="E67" s="205"/>
      <c r="F67" s="205"/>
      <c r="G67" s="205"/>
      <c r="H67" s="205"/>
      <c r="I67" s="205"/>
      <c r="J67" s="205"/>
    </row>
    <row r="68" spans="1:10" x14ac:dyDescent="0.2">
      <c r="A68" s="205"/>
      <c r="B68" s="205"/>
      <c r="C68" s="205"/>
      <c r="D68" s="205"/>
      <c r="E68" s="205"/>
      <c r="F68" s="205"/>
      <c r="G68" s="205"/>
      <c r="H68" s="205"/>
      <c r="I68" s="205"/>
      <c r="J68" s="205"/>
    </row>
  </sheetData>
  <mergeCells count="12">
    <mergeCell ref="A54:J68"/>
    <mergeCell ref="A53:J53"/>
    <mergeCell ref="A49:D49"/>
    <mergeCell ref="A47:D47"/>
    <mergeCell ref="A52:D52"/>
    <mergeCell ref="A51:D51"/>
    <mergeCell ref="A1:J1"/>
    <mergeCell ref="A46:D46"/>
    <mergeCell ref="A30:F30"/>
    <mergeCell ref="A48:D48"/>
    <mergeCell ref="A50:D50"/>
    <mergeCell ref="A2:J2"/>
  </mergeCells>
  <phoneticPr fontId="7" type="noConversion"/>
  <pageMargins left="0.31496062992125984" right="0.31496062992125984" top="0.35433070866141736" bottom="0.35433070866141736" header="0.31496062992125984" footer="0.31496062992125984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322D7-4804-4C2C-B9AA-2C048DEE2852}">
  <dimension ref="A1:L65"/>
  <sheetViews>
    <sheetView topLeftCell="A38" zoomScaleNormal="100" workbookViewId="0">
      <selection activeCell="M14" sqref="M14"/>
    </sheetView>
  </sheetViews>
  <sheetFormatPr baseColWidth="10" defaultColWidth="9.33203125" defaultRowHeight="11.25" x14ac:dyDescent="0.2"/>
  <cols>
    <col min="1" max="1" width="5.5" style="20" customWidth="1"/>
    <col min="2" max="2" width="45.83203125" style="6" customWidth="1"/>
    <col min="3" max="3" width="10.5" style="6" customWidth="1"/>
    <col min="4" max="4" width="9.6640625" style="6" customWidth="1"/>
    <col min="5" max="5" width="16.1640625" style="20" customWidth="1"/>
    <col min="6" max="6" width="20.33203125" style="6" hidden="1" customWidth="1"/>
    <col min="7" max="7" width="18.5" style="20" hidden="1" customWidth="1"/>
    <col min="8" max="8" width="24.33203125" style="6" hidden="1" customWidth="1"/>
    <col min="9" max="9" width="18.5" style="20" customWidth="1"/>
    <col min="10" max="10" width="18.1640625" style="6" customWidth="1"/>
    <col min="11" max="11" width="18.33203125" style="6" customWidth="1"/>
    <col min="12" max="12" width="15" style="6" bestFit="1" customWidth="1"/>
    <col min="13" max="16384" width="9.33203125" style="6"/>
  </cols>
  <sheetData>
    <row r="1" spans="1:10" ht="83.25" customHeight="1" x14ac:dyDescent="0.2">
      <c r="A1" s="200" t="s">
        <v>103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ht="34.5" customHeight="1" x14ac:dyDescent="0.2">
      <c r="A2" s="203" t="s">
        <v>14</v>
      </c>
      <c r="B2" s="203"/>
      <c r="C2" s="203"/>
      <c r="D2" s="203"/>
      <c r="E2" s="203"/>
      <c r="F2" s="203"/>
      <c r="G2" s="203"/>
      <c r="H2" s="203"/>
      <c r="I2" s="203"/>
      <c r="J2" s="203"/>
    </row>
    <row r="3" spans="1:10" ht="37.5" customHeight="1" x14ac:dyDescent="0.2">
      <c r="A3" s="4" t="s">
        <v>0</v>
      </c>
      <c r="B3" s="4" t="s">
        <v>1</v>
      </c>
      <c r="C3" s="4" t="s">
        <v>15</v>
      </c>
      <c r="D3" s="4" t="s">
        <v>109</v>
      </c>
      <c r="E3" s="4" t="s">
        <v>12</v>
      </c>
      <c r="F3" s="4" t="s">
        <v>13</v>
      </c>
      <c r="G3" s="53" t="s">
        <v>89</v>
      </c>
      <c r="H3" s="53" t="s">
        <v>88</v>
      </c>
      <c r="I3" s="53" t="s">
        <v>90</v>
      </c>
      <c r="J3" s="53" t="s">
        <v>91</v>
      </c>
    </row>
    <row r="4" spans="1:10" ht="9" customHeight="1" x14ac:dyDescent="0.2">
      <c r="A4" s="21">
        <v>1</v>
      </c>
      <c r="B4" s="50" t="s">
        <v>17</v>
      </c>
      <c r="C4" s="19"/>
      <c r="D4" s="19"/>
      <c r="E4" s="7"/>
      <c r="F4" s="19"/>
      <c r="G4" s="11"/>
      <c r="H4" s="16"/>
      <c r="I4" s="11"/>
      <c r="J4" s="16"/>
    </row>
    <row r="5" spans="1:10" ht="9.9499999999999993" customHeight="1" x14ac:dyDescent="0.2">
      <c r="A5" s="23">
        <v>1.1000000000000001</v>
      </c>
      <c r="B5" s="50" t="s">
        <v>18</v>
      </c>
      <c r="C5" s="19"/>
      <c r="D5" s="19"/>
      <c r="E5" s="7"/>
      <c r="F5" s="19"/>
      <c r="G5" s="11"/>
      <c r="H5" s="16"/>
      <c r="I5" s="11"/>
      <c r="J5" s="16"/>
    </row>
    <row r="6" spans="1:10" ht="72.95" customHeight="1" x14ac:dyDescent="0.2">
      <c r="A6" s="2" t="s">
        <v>19</v>
      </c>
      <c r="B6" s="54" t="s">
        <v>20</v>
      </c>
      <c r="C6" s="2" t="s">
        <v>21</v>
      </c>
      <c r="D6" s="8">
        <v>1</v>
      </c>
      <c r="E6" s="24">
        <v>620000</v>
      </c>
      <c r="F6" s="24">
        <f>+E6*D6</f>
        <v>620000</v>
      </c>
      <c r="G6" s="11"/>
      <c r="H6" s="15">
        <f>+G6*E6</f>
        <v>0</v>
      </c>
      <c r="I6" s="26">
        <f>+D6</f>
        <v>1</v>
      </c>
      <c r="J6" s="17">
        <f>+I6*E6</f>
        <v>620000</v>
      </c>
    </row>
    <row r="7" spans="1:10" ht="42" customHeight="1" x14ac:dyDescent="0.2">
      <c r="A7" s="2" t="s">
        <v>22</v>
      </c>
      <c r="B7" s="54" t="s">
        <v>23</v>
      </c>
      <c r="C7" s="2" t="s">
        <v>21</v>
      </c>
      <c r="D7" s="8">
        <v>3</v>
      </c>
      <c r="E7" s="24">
        <v>2528050</v>
      </c>
      <c r="F7" s="24">
        <f t="shared" ref="F7:F29" si="0">+E7*D7</f>
        <v>7584150</v>
      </c>
      <c r="G7" s="11"/>
      <c r="H7" s="15">
        <f t="shared" ref="H7:H42" si="1">+G7*E7</f>
        <v>0</v>
      </c>
      <c r="I7" s="26">
        <f t="shared" ref="I7:I9" si="2">+D7</f>
        <v>3</v>
      </c>
      <c r="J7" s="17">
        <f t="shared" ref="J7:J29" si="3">+I7*E7</f>
        <v>7584150</v>
      </c>
    </row>
    <row r="8" spans="1:10" ht="38.1" customHeight="1" x14ac:dyDescent="0.2">
      <c r="A8" s="2" t="s">
        <v>24</v>
      </c>
      <c r="B8" s="54" t="s">
        <v>25</v>
      </c>
      <c r="C8" s="2" t="s">
        <v>21</v>
      </c>
      <c r="D8" s="8">
        <v>3</v>
      </c>
      <c r="E8" s="24">
        <v>2528050</v>
      </c>
      <c r="F8" s="24">
        <f t="shared" si="0"/>
        <v>7584150</v>
      </c>
      <c r="G8" s="11"/>
      <c r="H8" s="15">
        <f t="shared" si="1"/>
        <v>0</v>
      </c>
      <c r="I8" s="26">
        <f t="shared" si="2"/>
        <v>3</v>
      </c>
      <c r="J8" s="17">
        <f t="shared" si="3"/>
        <v>7584150</v>
      </c>
    </row>
    <row r="9" spans="1:10" ht="77.099999999999994" customHeight="1" x14ac:dyDescent="0.2">
      <c r="A9" s="2" t="s">
        <v>26</v>
      </c>
      <c r="B9" s="54" t="s">
        <v>27</v>
      </c>
      <c r="C9" s="2" t="s">
        <v>21</v>
      </c>
      <c r="D9" s="8">
        <v>1</v>
      </c>
      <c r="E9" s="24">
        <v>620000</v>
      </c>
      <c r="F9" s="24">
        <f t="shared" si="0"/>
        <v>620000</v>
      </c>
      <c r="G9" s="11"/>
      <c r="H9" s="15">
        <f t="shared" si="1"/>
        <v>0</v>
      </c>
      <c r="I9" s="26">
        <f t="shared" si="2"/>
        <v>1</v>
      </c>
      <c r="J9" s="17">
        <f t="shared" si="3"/>
        <v>620000</v>
      </c>
    </row>
    <row r="10" spans="1:10" ht="11.25" customHeight="1" x14ac:dyDescent="0.2">
      <c r="A10" s="7"/>
      <c r="B10" s="50" t="s">
        <v>28</v>
      </c>
      <c r="C10" s="19"/>
      <c r="D10" s="7"/>
      <c r="E10" s="2"/>
      <c r="F10" s="9">
        <f>SUM(F6:F9)</f>
        <v>16408300</v>
      </c>
      <c r="G10" s="11"/>
      <c r="H10" s="14">
        <f>SUM(H6:H9)</f>
        <v>0</v>
      </c>
      <c r="I10" s="52"/>
      <c r="J10" s="45">
        <f>SUM(J6:J9)</f>
        <v>16408300</v>
      </c>
    </row>
    <row r="11" spans="1:10" ht="11.25" customHeight="1" x14ac:dyDescent="0.2">
      <c r="A11" s="21">
        <v>2</v>
      </c>
      <c r="B11" s="50" t="s">
        <v>29</v>
      </c>
      <c r="C11" s="19"/>
      <c r="D11" s="7"/>
      <c r="E11" s="2"/>
      <c r="F11" s="1"/>
      <c r="G11" s="11"/>
      <c r="H11" s="15"/>
      <c r="I11" s="11"/>
      <c r="J11" s="17"/>
    </row>
    <row r="12" spans="1:10" ht="11.25" customHeight="1" x14ac:dyDescent="0.2">
      <c r="A12" s="2" t="s">
        <v>30</v>
      </c>
      <c r="B12" s="18" t="s">
        <v>31</v>
      </c>
      <c r="C12" s="2" t="s">
        <v>21</v>
      </c>
      <c r="D12" s="8">
        <v>1</v>
      </c>
      <c r="E12" s="24">
        <v>46500</v>
      </c>
      <c r="F12" s="24">
        <f t="shared" si="0"/>
        <v>46500</v>
      </c>
      <c r="G12" s="11"/>
      <c r="H12" s="15">
        <f t="shared" si="1"/>
        <v>0</v>
      </c>
      <c r="I12" s="26">
        <f>+D12+G12</f>
        <v>1</v>
      </c>
      <c r="J12" s="17">
        <f t="shared" si="3"/>
        <v>46500</v>
      </c>
    </row>
    <row r="13" spans="1:10" ht="11.25" customHeight="1" x14ac:dyDescent="0.2">
      <c r="A13" s="2" t="s">
        <v>33</v>
      </c>
      <c r="B13" s="18" t="s">
        <v>34</v>
      </c>
      <c r="C13" s="2" t="s">
        <v>35</v>
      </c>
      <c r="D13" s="8">
        <v>3</v>
      </c>
      <c r="E13" s="24">
        <v>9300</v>
      </c>
      <c r="F13" s="24">
        <f t="shared" si="0"/>
        <v>27900</v>
      </c>
      <c r="G13" s="11">
        <v>26</v>
      </c>
      <c r="H13" s="15">
        <f t="shared" si="1"/>
        <v>241800</v>
      </c>
      <c r="I13" s="26">
        <v>35</v>
      </c>
      <c r="J13" s="17">
        <f t="shared" si="3"/>
        <v>325500</v>
      </c>
    </row>
    <row r="14" spans="1:10" ht="36.75" customHeight="1" x14ac:dyDescent="0.2">
      <c r="A14" s="2" t="s">
        <v>36</v>
      </c>
      <c r="B14" s="18" t="s">
        <v>2</v>
      </c>
      <c r="C14" s="2" t="s">
        <v>21</v>
      </c>
      <c r="D14" s="8">
        <v>5</v>
      </c>
      <c r="E14" s="24">
        <v>193750</v>
      </c>
      <c r="F14" s="24">
        <f t="shared" si="0"/>
        <v>968750</v>
      </c>
      <c r="G14" s="11">
        <f>10+1+4+2+1+3+1+3+2+1+1-5</f>
        <v>24</v>
      </c>
      <c r="H14" s="15">
        <f t="shared" si="1"/>
        <v>4650000</v>
      </c>
      <c r="I14" s="26">
        <v>30</v>
      </c>
      <c r="J14" s="17">
        <f t="shared" si="3"/>
        <v>5812500</v>
      </c>
    </row>
    <row r="15" spans="1:10" ht="34.5" customHeight="1" x14ac:dyDescent="0.2">
      <c r="A15" s="2" t="s">
        <v>37</v>
      </c>
      <c r="B15" s="54" t="s">
        <v>172</v>
      </c>
      <c r="C15" s="2" t="s">
        <v>21</v>
      </c>
      <c r="D15" s="8">
        <v>3</v>
      </c>
      <c r="E15" s="24">
        <v>271250</v>
      </c>
      <c r="F15" s="24">
        <f t="shared" si="0"/>
        <v>813750</v>
      </c>
      <c r="G15" s="11"/>
      <c r="H15" s="17">
        <f t="shared" si="1"/>
        <v>0</v>
      </c>
      <c r="I15" s="26">
        <f t="shared" ref="I13:I23" si="4">+D15+G15</f>
        <v>3</v>
      </c>
      <c r="J15" s="17">
        <f t="shared" si="3"/>
        <v>813750</v>
      </c>
    </row>
    <row r="16" spans="1:10" ht="18.75" customHeight="1" x14ac:dyDescent="0.2">
      <c r="A16" s="2" t="s">
        <v>38</v>
      </c>
      <c r="B16" s="18" t="s">
        <v>39</v>
      </c>
      <c r="C16" s="2" t="s">
        <v>21</v>
      </c>
      <c r="D16" s="8">
        <v>1</v>
      </c>
      <c r="E16" s="25">
        <v>1550000</v>
      </c>
      <c r="F16" s="24">
        <f t="shared" si="0"/>
        <v>1550000</v>
      </c>
      <c r="G16" s="11"/>
      <c r="H16" s="15">
        <f t="shared" si="1"/>
        <v>0</v>
      </c>
      <c r="I16" s="26">
        <f t="shared" si="4"/>
        <v>1</v>
      </c>
      <c r="J16" s="17">
        <f t="shared" si="3"/>
        <v>1550000</v>
      </c>
    </row>
    <row r="17" spans="1:11" ht="10.5" customHeight="1" x14ac:dyDescent="0.2">
      <c r="A17" s="2" t="s">
        <v>40</v>
      </c>
      <c r="B17" s="18" t="s">
        <v>41</v>
      </c>
      <c r="C17" s="2" t="s">
        <v>21</v>
      </c>
      <c r="D17" s="8">
        <v>1</v>
      </c>
      <c r="E17" s="25">
        <v>2325000</v>
      </c>
      <c r="F17" s="24">
        <f t="shared" si="0"/>
        <v>2325000</v>
      </c>
      <c r="G17" s="11"/>
      <c r="H17" s="15">
        <f t="shared" si="1"/>
        <v>0</v>
      </c>
      <c r="I17" s="26">
        <f t="shared" si="4"/>
        <v>1</v>
      </c>
      <c r="J17" s="17">
        <f t="shared" si="3"/>
        <v>2325000</v>
      </c>
    </row>
    <row r="18" spans="1:11" ht="18" customHeight="1" x14ac:dyDescent="0.2">
      <c r="A18" s="2" t="s">
        <v>42</v>
      </c>
      <c r="B18" s="18" t="s">
        <v>43</v>
      </c>
      <c r="C18" s="2" t="s">
        <v>21</v>
      </c>
      <c r="D18" s="8">
        <v>1</v>
      </c>
      <c r="E18" s="25">
        <v>1937500</v>
      </c>
      <c r="F18" s="24">
        <f t="shared" si="0"/>
        <v>1937500</v>
      </c>
      <c r="G18" s="11"/>
      <c r="H18" s="15">
        <f t="shared" si="1"/>
        <v>0</v>
      </c>
      <c r="I18" s="26">
        <f t="shared" si="4"/>
        <v>1</v>
      </c>
      <c r="J18" s="17">
        <f t="shared" si="3"/>
        <v>1937500</v>
      </c>
    </row>
    <row r="19" spans="1:11" ht="15" customHeight="1" x14ac:dyDescent="0.2">
      <c r="A19" s="2" t="s">
        <v>44</v>
      </c>
      <c r="B19" s="18" t="s">
        <v>45</v>
      </c>
      <c r="C19" s="2" t="s">
        <v>21</v>
      </c>
      <c r="D19" s="8">
        <v>1</v>
      </c>
      <c r="E19" s="25">
        <v>69750</v>
      </c>
      <c r="F19" s="24">
        <f t="shared" si="0"/>
        <v>69750</v>
      </c>
      <c r="G19" s="11"/>
      <c r="H19" s="15">
        <f t="shared" si="1"/>
        <v>0</v>
      </c>
      <c r="I19" s="26">
        <f t="shared" si="4"/>
        <v>1</v>
      </c>
      <c r="J19" s="17">
        <f t="shared" si="3"/>
        <v>69750</v>
      </c>
    </row>
    <row r="20" spans="1:11" ht="14.25" customHeight="1" x14ac:dyDescent="0.2">
      <c r="A20" s="2" t="s">
        <v>46</v>
      </c>
      <c r="B20" s="18" t="s">
        <v>47</v>
      </c>
      <c r="C20" s="2" t="s">
        <v>21</v>
      </c>
      <c r="D20" s="8">
        <v>1</v>
      </c>
      <c r="E20" s="25">
        <v>93000</v>
      </c>
      <c r="F20" s="24">
        <f t="shared" si="0"/>
        <v>93000</v>
      </c>
      <c r="G20" s="11"/>
      <c r="H20" s="15">
        <f t="shared" si="1"/>
        <v>0</v>
      </c>
      <c r="I20" s="26">
        <f t="shared" si="4"/>
        <v>1</v>
      </c>
      <c r="J20" s="17">
        <f t="shared" si="3"/>
        <v>93000</v>
      </c>
    </row>
    <row r="21" spans="1:11" ht="20.25" customHeight="1" x14ac:dyDescent="0.2">
      <c r="A21" s="2" t="s">
        <v>48</v>
      </c>
      <c r="B21" s="18" t="s">
        <v>3</v>
      </c>
      <c r="C21" s="2" t="s">
        <v>93</v>
      </c>
      <c r="D21" s="8">
        <v>750</v>
      </c>
      <c r="E21" s="24">
        <v>6200</v>
      </c>
      <c r="F21" s="24">
        <f t="shared" si="0"/>
        <v>4650000</v>
      </c>
      <c r="G21" s="11">
        <f>12+20+5+35+4+16.5+6+6+6+35+30+60+20+35+20+87</f>
        <v>397.5</v>
      </c>
      <c r="H21" s="15">
        <f t="shared" si="1"/>
        <v>2464500</v>
      </c>
      <c r="I21" s="26">
        <f t="shared" si="4"/>
        <v>1147.5</v>
      </c>
      <c r="J21" s="17">
        <f t="shared" si="3"/>
        <v>7114500</v>
      </c>
    </row>
    <row r="22" spans="1:11" ht="11.25" customHeight="1" x14ac:dyDescent="0.2">
      <c r="A22" s="2" t="s">
        <v>50</v>
      </c>
      <c r="B22" s="18" t="s">
        <v>51</v>
      </c>
      <c r="C22" s="2" t="s">
        <v>21</v>
      </c>
      <c r="D22" s="8">
        <v>1</v>
      </c>
      <c r="E22" s="24">
        <v>38750</v>
      </c>
      <c r="F22" s="24">
        <f t="shared" si="0"/>
        <v>38750</v>
      </c>
      <c r="G22" s="11"/>
      <c r="H22" s="15">
        <f t="shared" si="1"/>
        <v>0</v>
      </c>
      <c r="I22" s="26">
        <f t="shared" si="4"/>
        <v>1</v>
      </c>
      <c r="J22" s="17">
        <f t="shared" si="3"/>
        <v>38750</v>
      </c>
    </row>
    <row r="23" spans="1:11" ht="11.25" customHeight="1" x14ac:dyDescent="0.2">
      <c r="A23" s="2" t="s">
        <v>52</v>
      </c>
      <c r="B23" s="18" t="s">
        <v>53</v>
      </c>
      <c r="C23" s="2" t="s">
        <v>93</v>
      </c>
      <c r="D23" s="8">
        <v>60</v>
      </c>
      <c r="E23" s="24">
        <v>9300</v>
      </c>
      <c r="F23" s="24">
        <f t="shared" si="0"/>
        <v>558000</v>
      </c>
      <c r="G23" s="11"/>
      <c r="H23" s="15">
        <f t="shared" si="1"/>
        <v>0</v>
      </c>
      <c r="I23" s="26">
        <f t="shared" si="4"/>
        <v>60</v>
      </c>
      <c r="J23" s="17">
        <f t="shared" si="3"/>
        <v>558000</v>
      </c>
    </row>
    <row r="24" spans="1:11" ht="21.75" customHeight="1" x14ac:dyDescent="0.2">
      <c r="A24" s="7"/>
      <c r="B24" s="50" t="s">
        <v>54</v>
      </c>
      <c r="C24" s="19"/>
      <c r="D24" s="7"/>
      <c r="E24" s="7"/>
      <c r="F24" s="9">
        <f>SUM(F11:F23)</f>
        <v>13078900</v>
      </c>
      <c r="G24" s="11"/>
      <c r="H24" s="14">
        <f>SUM(H11:H23)</f>
        <v>7356300</v>
      </c>
      <c r="I24" s="52"/>
      <c r="J24" s="45">
        <f>SUM(J11:J23)</f>
        <v>20684750</v>
      </c>
    </row>
    <row r="25" spans="1:11" ht="9.9499999999999993" customHeight="1" x14ac:dyDescent="0.2">
      <c r="A25" s="21">
        <v>3</v>
      </c>
      <c r="B25" s="50" t="s">
        <v>55</v>
      </c>
      <c r="C25" s="19"/>
      <c r="D25" s="7"/>
      <c r="E25" s="7"/>
      <c r="F25" s="1"/>
      <c r="G25" s="11"/>
      <c r="H25" s="15">
        <f t="shared" si="1"/>
        <v>0</v>
      </c>
      <c r="I25" s="11"/>
      <c r="J25" s="17">
        <f t="shared" si="3"/>
        <v>0</v>
      </c>
    </row>
    <row r="26" spans="1:11" ht="48.95" customHeight="1" x14ac:dyDescent="0.2">
      <c r="A26" s="2" t="s">
        <v>56</v>
      </c>
      <c r="B26" s="54" t="s">
        <v>57</v>
      </c>
      <c r="C26" s="2" t="s">
        <v>21</v>
      </c>
      <c r="D26" s="8">
        <v>1</v>
      </c>
      <c r="E26" s="27">
        <v>2325000</v>
      </c>
      <c r="F26" s="24">
        <f t="shared" si="0"/>
        <v>2325000</v>
      </c>
      <c r="G26" s="11"/>
      <c r="H26" s="28">
        <f t="shared" si="1"/>
        <v>0</v>
      </c>
      <c r="I26" s="26">
        <f>+D26+G26</f>
        <v>1</v>
      </c>
      <c r="J26" s="17">
        <f t="shared" si="3"/>
        <v>2325000</v>
      </c>
    </row>
    <row r="27" spans="1:11" ht="45.95" customHeight="1" x14ac:dyDescent="0.2">
      <c r="A27" s="2" t="s">
        <v>58</v>
      </c>
      <c r="B27" s="54" t="s">
        <v>59</v>
      </c>
      <c r="C27" s="2" t="s">
        <v>21</v>
      </c>
      <c r="D27" s="8">
        <v>40</v>
      </c>
      <c r="E27" s="27">
        <f>2712500/40</f>
        <v>67812.5</v>
      </c>
      <c r="F27" s="24">
        <f>+E27*D27</f>
        <v>2712500</v>
      </c>
      <c r="G27" s="11">
        <v>0</v>
      </c>
      <c r="H27" s="28">
        <f t="shared" si="1"/>
        <v>0</v>
      </c>
      <c r="I27" s="26">
        <v>40</v>
      </c>
      <c r="J27" s="17">
        <f>+I27*E27</f>
        <v>2712500</v>
      </c>
    </row>
    <row r="28" spans="1:11" ht="56.1" customHeight="1" x14ac:dyDescent="0.2">
      <c r="A28" s="2" t="s">
        <v>60</v>
      </c>
      <c r="B28" s="54" t="s">
        <v>4</v>
      </c>
      <c r="C28" s="2" t="s">
        <v>21</v>
      </c>
      <c r="D28" s="8">
        <v>30</v>
      </c>
      <c r="E28" s="172">
        <f>7750000/30</f>
        <v>258333.33333333334</v>
      </c>
      <c r="F28" s="24">
        <f t="shared" si="0"/>
        <v>7750000</v>
      </c>
      <c r="G28" s="11">
        <v>5</v>
      </c>
      <c r="H28" s="28">
        <f t="shared" si="1"/>
        <v>1291666.6666666667</v>
      </c>
      <c r="I28" s="26">
        <v>35</v>
      </c>
      <c r="J28" s="17">
        <f t="shared" si="3"/>
        <v>9041666.6666666679</v>
      </c>
      <c r="K28" s="10"/>
    </row>
    <row r="29" spans="1:11" ht="59.25" customHeight="1" x14ac:dyDescent="0.2">
      <c r="A29" s="2" t="s">
        <v>61</v>
      </c>
      <c r="B29" s="54" t="s">
        <v>62</v>
      </c>
      <c r="C29" s="2" t="s">
        <v>21</v>
      </c>
      <c r="D29" s="8">
        <v>4</v>
      </c>
      <c r="E29" s="172">
        <f>7750000/4</f>
        <v>1937500</v>
      </c>
      <c r="F29" s="24">
        <f t="shared" si="0"/>
        <v>7750000</v>
      </c>
      <c r="G29" s="11"/>
      <c r="H29" s="28">
        <f t="shared" si="1"/>
        <v>0</v>
      </c>
      <c r="I29" s="26">
        <f t="shared" ref="I29:I40" si="5">+D29+G29</f>
        <v>4</v>
      </c>
      <c r="J29" s="17">
        <f t="shared" si="3"/>
        <v>7750000</v>
      </c>
      <c r="K29" s="10"/>
    </row>
    <row r="30" spans="1:11" ht="30.75" customHeight="1" x14ac:dyDescent="0.2">
      <c r="A30" s="202" t="s">
        <v>14</v>
      </c>
      <c r="B30" s="202"/>
      <c r="C30" s="202"/>
      <c r="D30" s="202"/>
      <c r="E30" s="202"/>
      <c r="F30" s="202"/>
      <c r="G30" s="11"/>
      <c r="H30" s="15"/>
      <c r="I30" s="26"/>
      <c r="J30" s="17"/>
    </row>
    <row r="31" spans="1:11" ht="9.9499999999999993" customHeight="1" x14ac:dyDescent="0.2">
      <c r="A31" s="4" t="s">
        <v>0</v>
      </c>
      <c r="B31" s="4" t="s">
        <v>1</v>
      </c>
      <c r="C31" s="4" t="s">
        <v>15</v>
      </c>
      <c r="D31" s="50" t="s">
        <v>16</v>
      </c>
      <c r="E31" s="2" t="s">
        <v>12</v>
      </c>
      <c r="F31" s="2" t="s">
        <v>13</v>
      </c>
      <c r="G31" s="11"/>
      <c r="H31" s="15"/>
      <c r="I31" s="26"/>
      <c r="J31" s="17"/>
    </row>
    <row r="32" spans="1:11" ht="60" customHeight="1" x14ac:dyDescent="0.2">
      <c r="A32" s="2" t="s">
        <v>63</v>
      </c>
      <c r="B32" s="54" t="s">
        <v>64</v>
      </c>
      <c r="C32" s="2" t="s">
        <v>21</v>
      </c>
      <c r="D32" s="8">
        <v>4</v>
      </c>
      <c r="E32" s="172">
        <f>6975000/D32</f>
        <v>1743750</v>
      </c>
      <c r="F32" s="24">
        <f>+E32*D32</f>
        <v>6975000</v>
      </c>
      <c r="G32" s="11">
        <v>1</v>
      </c>
      <c r="H32" s="15">
        <f t="shared" si="1"/>
        <v>1743750</v>
      </c>
      <c r="I32" s="26">
        <v>5</v>
      </c>
      <c r="J32" s="17">
        <f>+I32*E32</f>
        <v>8718750</v>
      </c>
    </row>
    <row r="33" spans="1:12" ht="18.75" customHeight="1" x14ac:dyDescent="0.2">
      <c r="A33" s="2" t="s">
        <v>66</v>
      </c>
      <c r="B33" s="18" t="s">
        <v>74</v>
      </c>
      <c r="C33" s="2" t="s">
        <v>93</v>
      </c>
      <c r="D33" s="8"/>
      <c r="E33" s="25">
        <v>4100</v>
      </c>
      <c r="F33" s="24"/>
      <c r="G33" s="7">
        <v>1200</v>
      </c>
      <c r="H33" s="15">
        <f t="shared" si="1"/>
        <v>4920000</v>
      </c>
      <c r="I33" s="26">
        <f t="shared" si="5"/>
        <v>1200</v>
      </c>
      <c r="J33" s="17">
        <f>+I33*E33</f>
        <v>4920000</v>
      </c>
    </row>
    <row r="34" spans="1:12" ht="23.25" customHeight="1" x14ac:dyDescent="0.2">
      <c r="A34" s="2" t="s">
        <v>67</v>
      </c>
      <c r="B34" s="18" t="s">
        <v>129</v>
      </c>
      <c r="C34" s="2" t="s">
        <v>93</v>
      </c>
      <c r="D34" s="8"/>
      <c r="E34" s="25">
        <v>22500</v>
      </c>
      <c r="F34" s="24"/>
      <c r="G34" s="11">
        <f>3.9+3.1+2.5</f>
        <v>9.5</v>
      </c>
      <c r="H34" s="15">
        <f t="shared" si="1"/>
        <v>213750</v>
      </c>
      <c r="I34" s="26">
        <f t="shared" si="5"/>
        <v>9.5</v>
      </c>
      <c r="J34" s="17">
        <f t="shared" ref="J34:J41" si="6">+I34*E34</f>
        <v>213750</v>
      </c>
    </row>
    <row r="35" spans="1:12" ht="42" customHeight="1" x14ac:dyDescent="0.2">
      <c r="A35" s="2" t="s">
        <v>68</v>
      </c>
      <c r="B35" s="18" t="s">
        <v>130</v>
      </c>
      <c r="C35" s="2" t="s">
        <v>93</v>
      </c>
      <c r="D35" s="8"/>
      <c r="E35" s="25">
        <v>85500</v>
      </c>
      <c r="F35" s="24"/>
      <c r="G35" s="11">
        <f>3.9+3.1+2.5</f>
        <v>9.5</v>
      </c>
      <c r="H35" s="15">
        <f t="shared" si="1"/>
        <v>812250</v>
      </c>
      <c r="I35" s="26">
        <f t="shared" si="5"/>
        <v>9.5</v>
      </c>
      <c r="J35" s="17">
        <f t="shared" si="6"/>
        <v>812250</v>
      </c>
    </row>
    <row r="36" spans="1:12" ht="13.5" customHeight="1" x14ac:dyDescent="0.2">
      <c r="A36" s="2" t="s">
        <v>69</v>
      </c>
      <c r="B36" s="18" t="s">
        <v>131</v>
      </c>
      <c r="C36" s="2" t="s">
        <v>93</v>
      </c>
      <c r="D36" s="8"/>
      <c r="E36" s="25">
        <v>17500</v>
      </c>
      <c r="F36" s="24"/>
      <c r="G36" s="11">
        <v>4.5</v>
      </c>
      <c r="H36" s="15">
        <f t="shared" si="1"/>
        <v>78750</v>
      </c>
      <c r="I36" s="26">
        <f t="shared" si="5"/>
        <v>4.5</v>
      </c>
      <c r="J36" s="17">
        <f t="shared" si="6"/>
        <v>78750</v>
      </c>
    </row>
    <row r="37" spans="1:12" ht="26.25" customHeight="1" x14ac:dyDescent="0.2">
      <c r="A37" s="2" t="s">
        <v>70</v>
      </c>
      <c r="B37" s="18" t="s">
        <v>187</v>
      </c>
      <c r="C37" s="2" t="s">
        <v>93</v>
      </c>
      <c r="D37" s="8"/>
      <c r="E37" s="25">
        <f>126900/2.4+15862</f>
        <v>68737</v>
      </c>
      <c r="F37" s="24"/>
      <c r="G37" s="11">
        <f>2.4+4+4+8+1.5</f>
        <v>19.899999999999999</v>
      </c>
      <c r="H37" s="15">
        <f t="shared" si="1"/>
        <v>1367866.2999999998</v>
      </c>
      <c r="I37" s="26">
        <f t="shared" si="5"/>
        <v>19.899999999999999</v>
      </c>
      <c r="J37" s="17">
        <f t="shared" si="6"/>
        <v>1367866.2999999998</v>
      </c>
    </row>
    <row r="38" spans="1:12" ht="13.5" customHeight="1" x14ac:dyDescent="0.2">
      <c r="A38" s="2" t="s">
        <v>71</v>
      </c>
      <c r="B38" s="18" t="s">
        <v>79</v>
      </c>
      <c r="C38" s="2" t="s">
        <v>21</v>
      </c>
      <c r="D38" s="8"/>
      <c r="E38" s="25">
        <v>450000</v>
      </c>
      <c r="F38" s="24"/>
      <c r="G38" s="11">
        <v>1</v>
      </c>
      <c r="H38" s="15">
        <f t="shared" si="1"/>
        <v>450000</v>
      </c>
      <c r="I38" s="26">
        <f t="shared" si="5"/>
        <v>1</v>
      </c>
      <c r="J38" s="17">
        <f t="shared" si="6"/>
        <v>450000</v>
      </c>
    </row>
    <row r="39" spans="1:12" ht="35.25" customHeight="1" x14ac:dyDescent="0.2">
      <c r="A39" s="2" t="s">
        <v>72</v>
      </c>
      <c r="B39" s="54" t="s">
        <v>134</v>
      </c>
      <c r="C39" s="2" t="s">
        <v>93</v>
      </c>
      <c r="D39" s="8"/>
      <c r="E39" s="25">
        <f>16700+1640+5500</f>
        <v>23840</v>
      </c>
      <c r="F39" s="24"/>
      <c r="G39" s="11">
        <f>20+20+6+1.5+35+20+6+12+10</f>
        <v>130.5</v>
      </c>
      <c r="H39" s="15">
        <f t="shared" si="1"/>
        <v>3111120</v>
      </c>
      <c r="I39" s="26">
        <v>196</v>
      </c>
      <c r="J39" s="17">
        <f t="shared" si="6"/>
        <v>4672640</v>
      </c>
    </row>
    <row r="40" spans="1:12" ht="45" customHeight="1" x14ac:dyDescent="0.2">
      <c r="A40" s="2" t="s">
        <v>80</v>
      </c>
      <c r="B40" s="18" t="s">
        <v>133</v>
      </c>
      <c r="C40" s="2" t="s">
        <v>21</v>
      </c>
      <c r="D40" s="8"/>
      <c r="E40" s="3">
        <f>193750*40%</f>
        <v>77500</v>
      </c>
      <c r="F40" s="1"/>
      <c r="G40" s="11">
        <v>2</v>
      </c>
      <c r="H40" s="15">
        <f t="shared" si="1"/>
        <v>155000</v>
      </c>
      <c r="I40" s="26">
        <f t="shared" si="5"/>
        <v>2</v>
      </c>
      <c r="J40" s="17">
        <f t="shared" si="6"/>
        <v>155000</v>
      </c>
    </row>
    <row r="41" spans="1:12" ht="32.25" customHeight="1" x14ac:dyDescent="0.2">
      <c r="A41" s="2" t="s">
        <v>81</v>
      </c>
      <c r="B41" s="54" t="s">
        <v>132</v>
      </c>
      <c r="C41" s="2" t="s">
        <v>97</v>
      </c>
      <c r="D41" s="8"/>
      <c r="E41" s="3">
        <v>20500</v>
      </c>
      <c r="F41" s="1"/>
      <c r="G41" s="11">
        <v>50</v>
      </c>
      <c r="H41" s="15">
        <f t="shared" si="1"/>
        <v>1025000</v>
      </c>
      <c r="I41" s="26">
        <f>122+25</f>
        <v>147</v>
      </c>
      <c r="J41" s="17">
        <f t="shared" si="6"/>
        <v>3013500</v>
      </c>
      <c r="L41" s="268"/>
    </row>
    <row r="42" spans="1:12" ht="4.5" customHeight="1" x14ac:dyDescent="0.2">
      <c r="A42" s="2"/>
      <c r="B42" s="18"/>
      <c r="C42" s="2"/>
      <c r="D42" s="8"/>
      <c r="E42" s="3"/>
      <c r="F42" s="1"/>
      <c r="G42" s="11"/>
      <c r="H42" s="15">
        <f t="shared" si="1"/>
        <v>0</v>
      </c>
      <c r="I42" s="11"/>
      <c r="J42" s="17"/>
    </row>
    <row r="43" spans="1:12" x14ac:dyDescent="0.2">
      <c r="A43" s="201" t="s">
        <v>8</v>
      </c>
      <c r="B43" s="201"/>
      <c r="C43" s="201"/>
      <c r="D43" s="201"/>
      <c r="E43" s="11"/>
      <c r="F43" s="31">
        <f>+F26+F27+F28+F29+F32</f>
        <v>27512500</v>
      </c>
      <c r="G43" s="49"/>
      <c r="H43" s="33">
        <f>SUM(H26:H42)</f>
        <v>15169152.966666669</v>
      </c>
      <c r="I43" s="51"/>
      <c r="J43" s="46">
        <f>SUM(J26:J41)</f>
        <v>46231672.966666669</v>
      </c>
    </row>
    <row r="44" spans="1:12" x14ac:dyDescent="0.2">
      <c r="A44" s="201" t="s">
        <v>7</v>
      </c>
      <c r="B44" s="201"/>
      <c r="C44" s="201"/>
      <c r="D44" s="201"/>
      <c r="E44" s="11"/>
      <c r="F44" s="12">
        <f>+F43+F24+F10</f>
        <v>56999700</v>
      </c>
      <c r="G44" s="11"/>
      <c r="H44" s="12">
        <f>+H43+H24+H10</f>
        <v>22525452.966666669</v>
      </c>
      <c r="I44" s="11"/>
      <c r="J44" s="12">
        <f>+J43+J24+J10</f>
        <v>83324722.966666669</v>
      </c>
    </row>
    <row r="45" spans="1:12" x14ac:dyDescent="0.2">
      <c r="A45" s="201" t="s">
        <v>5</v>
      </c>
      <c r="B45" s="201"/>
      <c r="C45" s="201"/>
      <c r="D45" s="201"/>
      <c r="E45" s="11"/>
      <c r="F45" s="15">
        <f>+F44*29%</f>
        <v>16529912.999999998</v>
      </c>
      <c r="G45" s="11"/>
      <c r="H45" s="15">
        <f>+H44*29%</f>
        <v>6532381.3603333337</v>
      </c>
      <c r="I45" s="47">
        <v>0.28999999999999998</v>
      </c>
      <c r="J45" s="15">
        <f>+J44*29%</f>
        <v>24164169.660333332</v>
      </c>
    </row>
    <row r="46" spans="1:12" x14ac:dyDescent="0.2">
      <c r="A46" s="201" t="s">
        <v>10</v>
      </c>
      <c r="B46" s="201"/>
      <c r="C46" s="201"/>
      <c r="D46" s="201"/>
      <c r="E46" s="11"/>
      <c r="F46" s="15">
        <f>+F44*1%</f>
        <v>569997</v>
      </c>
      <c r="G46" s="11"/>
      <c r="H46" s="15">
        <f>+H44*1%</f>
        <v>225254.5296666667</v>
      </c>
      <c r="I46" s="47">
        <v>0.01</v>
      </c>
      <c r="J46" s="15">
        <f>+J44*1%</f>
        <v>833247.22966666671</v>
      </c>
    </row>
    <row r="47" spans="1:12" x14ac:dyDescent="0.2">
      <c r="A47" s="201" t="s">
        <v>6</v>
      </c>
      <c r="B47" s="201"/>
      <c r="C47" s="201"/>
      <c r="D47" s="201"/>
      <c r="E47" s="11"/>
      <c r="F47" s="15">
        <f>+F44*5%</f>
        <v>2849985</v>
      </c>
      <c r="G47" s="11"/>
      <c r="H47" s="15">
        <f>+H44*5%</f>
        <v>1126272.6483333334</v>
      </c>
      <c r="I47" s="47">
        <v>0.05</v>
      </c>
      <c r="J47" s="15">
        <f>+J44*5%</f>
        <v>4166236.1483333334</v>
      </c>
    </row>
    <row r="48" spans="1:12" x14ac:dyDescent="0.2">
      <c r="A48" s="201" t="s">
        <v>11</v>
      </c>
      <c r="B48" s="201"/>
      <c r="C48" s="201"/>
      <c r="D48" s="201"/>
      <c r="E48" s="11"/>
      <c r="F48" s="17">
        <f>+F47*19%</f>
        <v>541497.15</v>
      </c>
      <c r="G48" s="11"/>
      <c r="H48" s="17">
        <f>+H47*19%</f>
        <v>213991.80318333337</v>
      </c>
      <c r="I48" s="47">
        <v>0.19</v>
      </c>
      <c r="J48" s="17">
        <f>+J47*19%</f>
        <v>791584.86818333331</v>
      </c>
    </row>
    <row r="49" spans="1:12" x14ac:dyDescent="0.2">
      <c r="A49" s="209" t="s">
        <v>9</v>
      </c>
      <c r="B49" s="209"/>
      <c r="C49" s="209"/>
      <c r="D49" s="209"/>
      <c r="E49" s="52"/>
      <c r="F49" s="30">
        <f>+F44+F45+F46+F47+F48</f>
        <v>77491092.150000006</v>
      </c>
      <c r="G49" s="11"/>
      <c r="H49" s="30">
        <f>+H44+H45+H46+H47+H48</f>
        <v>30623353.308183335</v>
      </c>
      <c r="I49" s="11"/>
      <c r="J49" s="48">
        <f>+J44+J45+J46+J47+J48</f>
        <v>113279960.87318332</v>
      </c>
      <c r="K49" s="192"/>
      <c r="L49" s="192"/>
    </row>
    <row r="50" spans="1:12" ht="12.75" x14ac:dyDescent="0.2">
      <c r="A50" s="206" t="s">
        <v>105</v>
      </c>
      <c r="B50" s="207"/>
      <c r="C50" s="207"/>
      <c r="D50" s="207"/>
      <c r="E50" s="207"/>
      <c r="F50" s="207"/>
      <c r="G50" s="207"/>
      <c r="H50" s="207"/>
      <c r="I50" s="207"/>
      <c r="J50" s="208"/>
    </row>
    <row r="51" spans="1:12" x14ac:dyDescent="0.2">
      <c r="A51" s="204" t="s">
        <v>104</v>
      </c>
      <c r="B51" s="205"/>
      <c r="C51" s="205"/>
      <c r="D51" s="205"/>
      <c r="E51" s="205"/>
      <c r="F51" s="205"/>
      <c r="G51" s="205"/>
      <c r="H51" s="205"/>
      <c r="I51" s="205"/>
      <c r="J51" s="205"/>
    </row>
    <row r="52" spans="1:12" x14ac:dyDescent="0.2">
      <c r="A52" s="205"/>
      <c r="B52" s="205"/>
      <c r="C52" s="205"/>
      <c r="D52" s="205"/>
      <c r="E52" s="205"/>
      <c r="F52" s="205"/>
      <c r="G52" s="205"/>
      <c r="H52" s="205"/>
      <c r="I52" s="205"/>
      <c r="J52" s="205"/>
    </row>
    <row r="53" spans="1:12" x14ac:dyDescent="0.2">
      <c r="A53" s="205"/>
      <c r="B53" s="205"/>
      <c r="C53" s="205"/>
      <c r="D53" s="205"/>
      <c r="E53" s="205"/>
      <c r="F53" s="205"/>
      <c r="G53" s="205"/>
      <c r="H53" s="205"/>
      <c r="I53" s="205"/>
      <c r="J53" s="205"/>
    </row>
    <row r="54" spans="1:12" x14ac:dyDescent="0.2">
      <c r="A54" s="205"/>
      <c r="B54" s="205"/>
      <c r="C54" s="205"/>
      <c r="D54" s="205"/>
      <c r="E54" s="205"/>
      <c r="F54" s="205"/>
      <c r="G54" s="205"/>
      <c r="H54" s="205"/>
      <c r="I54" s="205"/>
      <c r="J54" s="205"/>
    </row>
    <row r="55" spans="1:12" x14ac:dyDescent="0.2">
      <c r="A55" s="205"/>
      <c r="B55" s="205"/>
      <c r="C55" s="205"/>
      <c r="D55" s="205"/>
      <c r="E55" s="205"/>
      <c r="F55" s="205"/>
      <c r="G55" s="205"/>
      <c r="H55" s="205"/>
      <c r="I55" s="205"/>
      <c r="J55" s="205"/>
    </row>
    <row r="56" spans="1:12" x14ac:dyDescent="0.2">
      <c r="A56" s="205"/>
      <c r="B56" s="205"/>
      <c r="C56" s="205"/>
      <c r="D56" s="205"/>
      <c r="E56" s="205"/>
      <c r="F56" s="205"/>
      <c r="G56" s="205"/>
      <c r="H56" s="205"/>
      <c r="I56" s="205"/>
      <c r="J56" s="205"/>
    </row>
    <row r="57" spans="1:12" x14ac:dyDescent="0.2">
      <c r="A57" s="205"/>
      <c r="B57" s="205"/>
      <c r="C57" s="205"/>
      <c r="D57" s="205"/>
      <c r="E57" s="205"/>
      <c r="F57" s="205"/>
      <c r="G57" s="205"/>
      <c r="H57" s="205"/>
      <c r="I57" s="205"/>
      <c r="J57" s="205"/>
    </row>
    <row r="58" spans="1:12" x14ac:dyDescent="0.2">
      <c r="A58" s="205"/>
      <c r="B58" s="205"/>
      <c r="C58" s="205"/>
      <c r="D58" s="205"/>
      <c r="E58" s="205"/>
      <c r="F58" s="205"/>
      <c r="G58" s="205"/>
      <c r="H58" s="205"/>
      <c r="I58" s="205"/>
      <c r="J58" s="205"/>
    </row>
    <row r="59" spans="1:12" x14ac:dyDescent="0.2">
      <c r="A59" s="205"/>
      <c r="B59" s="205"/>
      <c r="C59" s="205"/>
      <c r="D59" s="205"/>
      <c r="E59" s="205"/>
      <c r="F59" s="205"/>
      <c r="G59" s="205"/>
      <c r="H59" s="205"/>
      <c r="I59" s="205"/>
      <c r="J59" s="205"/>
    </row>
    <row r="60" spans="1:12" x14ac:dyDescent="0.2">
      <c r="A60" s="205"/>
      <c r="B60" s="205"/>
      <c r="C60" s="205"/>
      <c r="D60" s="205"/>
      <c r="E60" s="205"/>
      <c r="F60" s="205"/>
      <c r="G60" s="205"/>
      <c r="H60" s="205"/>
      <c r="I60" s="205"/>
      <c r="J60" s="205"/>
    </row>
    <row r="61" spans="1:12" x14ac:dyDescent="0.2">
      <c r="A61" s="205"/>
      <c r="B61" s="205"/>
      <c r="C61" s="205"/>
      <c r="D61" s="205"/>
      <c r="E61" s="205"/>
      <c r="F61" s="205"/>
      <c r="G61" s="205"/>
      <c r="H61" s="205"/>
      <c r="I61" s="205"/>
      <c r="J61" s="205"/>
    </row>
    <row r="62" spans="1:12" x14ac:dyDescent="0.2">
      <c r="A62" s="205"/>
      <c r="B62" s="205"/>
      <c r="C62" s="205"/>
      <c r="D62" s="205"/>
      <c r="E62" s="205"/>
      <c r="F62" s="205"/>
      <c r="G62" s="205"/>
      <c r="H62" s="205"/>
      <c r="I62" s="205"/>
      <c r="J62" s="205"/>
    </row>
    <row r="63" spans="1:12" x14ac:dyDescent="0.2">
      <c r="A63" s="205"/>
      <c r="B63" s="205"/>
      <c r="C63" s="205"/>
      <c r="D63" s="205"/>
      <c r="E63" s="205"/>
      <c r="F63" s="205"/>
      <c r="G63" s="205"/>
      <c r="H63" s="205"/>
      <c r="I63" s="205"/>
      <c r="J63" s="205"/>
    </row>
    <row r="64" spans="1:12" x14ac:dyDescent="0.2">
      <c r="A64" s="205"/>
      <c r="B64" s="205"/>
      <c r="C64" s="205"/>
      <c r="D64" s="205"/>
      <c r="E64" s="205"/>
      <c r="F64" s="205"/>
      <c r="G64" s="205"/>
      <c r="H64" s="205"/>
      <c r="I64" s="205"/>
      <c r="J64" s="205"/>
    </row>
    <row r="65" spans="1:10" x14ac:dyDescent="0.2">
      <c r="A65" s="205"/>
      <c r="B65" s="205"/>
      <c r="C65" s="205"/>
      <c r="D65" s="205"/>
      <c r="E65" s="205"/>
      <c r="F65" s="205"/>
      <c r="G65" s="205"/>
      <c r="H65" s="205"/>
      <c r="I65" s="205"/>
      <c r="J65" s="205"/>
    </row>
  </sheetData>
  <mergeCells count="12">
    <mergeCell ref="A51:J65"/>
    <mergeCell ref="A1:J1"/>
    <mergeCell ref="A2:J2"/>
    <mergeCell ref="A30:F30"/>
    <mergeCell ref="A43:D43"/>
    <mergeCell ref="A44:D44"/>
    <mergeCell ref="A45:D45"/>
    <mergeCell ref="A46:D46"/>
    <mergeCell ref="A47:D47"/>
    <mergeCell ref="A48:D48"/>
    <mergeCell ref="A49:D49"/>
    <mergeCell ref="A50:J50"/>
  </mergeCells>
  <phoneticPr fontId="13" type="noConversion"/>
  <pageMargins left="0.31496062992125984" right="0.31496062992125984" top="0.35433070866141736" bottom="0.35433070866141736" header="0.31496062992125984" footer="0.31496062992125984"/>
  <pageSetup paperSize="9" scale="8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AC56-8985-4FAC-AE20-6FDB31699D8C}">
  <dimension ref="A1:K77"/>
  <sheetViews>
    <sheetView zoomScaleNormal="100" workbookViewId="0">
      <selection activeCell="S62" sqref="S62"/>
    </sheetView>
  </sheetViews>
  <sheetFormatPr baseColWidth="10" defaultColWidth="9.33203125" defaultRowHeight="11.25" x14ac:dyDescent="0.2"/>
  <cols>
    <col min="1" max="1" width="9" style="20" customWidth="1"/>
    <col min="2" max="2" width="61.5" style="6" customWidth="1"/>
    <col min="3" max="3" width="10.5" style="6" customWidth="1"/>
    <col min="4" max="4" width="9.6640625" style="6" hidden="1" customWidth="1"/>
    <col min="5" max="5" width="16.1640625" style="20" hidden="1" customWidth="1"/>
    <col min="6" max="6" width="20.33203125" style="6" hidden="1" customWidth="1"/>
    <col min="7" max="7" width="18.5" style="20" hidden="1" customWidth="1"/>
    <col min="8" max="8" width="24.33203125" style="6" hidden="1" customWidth="1"/>
    <col min="9" max="9" width="18.5" style="20" customWidth="1"/>
    <col min="10" max="10" width="18.1640625" style="6" hidden="1" customWidth="1"/>
    <col min="11" max="11" width="18.33203125" style="6" hidden="1" customWidth="1"/>
    <col min="12" max="12" width="14.33203125" style="6" customWidth="1"/>
    <col min="13" max="16384" width="9.33203125" style="6"/>
  </cols>
  <sheetData>
    <row r="1" spans="1:11" ht="92.25" customHeight="1" x14ac:dyDescent="0.2">
      <c r="A1" s="210" t="s">
        <v>108</v>
      </c>
      <c r="B1" s="211"/>
      <c r="C1" s="211"/>
      <c r="D1" s="211"/>
      <c r="E1" s="211"/>
      <c r="F1" s="211"/>
      <c r="G1" s="211"/>
      <c r="H1" s="211"/>
      <c r="I1" s="211"/>
    </row>
    <row r="2" spans="1:11" ht="34.5" hidden="1" customHeight="1" x14ac:dyDescent="0.2">
      <c r="A2" s="203" t="s">
        <v>14</v>
      </c>
      <c r="B2" s="203"/>
      <c r="C2" s="203"/>
      <c r="D2" s="203"/>
      <c r="E2" s="203"/>
      <c r="F2" s="203"/>
      <c r="G2" s="203"/>
      <c r="H2" s="203"/>
      <c r="I2" s="203"/>
      <c r="J2" s="203"/>
    </row>
    <row r="3" spans="1:11" ht="37.5" customHeight="1" x14ac:dyDescent="0.2">
      <c r="A3" s="4" t="s">
        <v>0</v>
      </c>
      <c r="B3" s="4" t="s">
        <v>1</v>
      </c>
      <c r="C3" s="4" t="s">
        <v>15</v>
      </c>
      <c r="D3" s="4" t="s">
        <v>16</v>
      </c>
      <c r="E3" s="4" t="s">
        <v>12</v>
      </c>
      <c r="F3" s="4" t="s">
        <v>13</v>
      </c>
      <c r="G3" s="29" t="s">
        <v>89</v>
      </c>
      <c r="H3" s="29" t="s">
        <v>88</v>
      </c>
      <c r="I3" s="29" t="s">
        <v>16</v>
      </c>
      <c r="J3" s="29" t="s">
        <v>91</v>
      </c>
      <c r="K3" s="11"/>
    </row>
    <row r="4" spans="1:11" ht="9" customHeight="1" x14ac:dyDescent="0.2">
      <c r="A4" s="21">
        <v>1</v>
      </c>
      <c r="B4" s="22" t="s">
        <v>17</v>
      </c>
      <c r="C4" s="19"/>
      <c r="D4" s="19"/>
      <c r="E4" s="7"/>
      <c r="F4" s="19"/>
      <c r="G4" s="11"/>
      <c r="H4" s="16"/>
      <c r="I4" s="11"/>
      <c r="J4" s="16"/>
      <c r="K4" s="11"/>
    </row>
    <row r="5" spans="1:11" ht="9.9499999999999993" hidden="1" customHeight="1" x14ac:dyDescent="0.2">
      <c r="A5" s="23">
        <v>1.1000000000000001</v>
      </c>
      <c r="B5" s="22" t="s">
        <v>18</v>
      </c>
      <c r="C5" s="19"/>
      <c r="D5" s="19"/>
      <c r="E5" s="7"/>
      <c r="F5" s="19"/>
      <c r="G5" s="11"/>
      <c r="H5" s="16"/>
      <c r="I5" s="11"/>
      <c r="J5" s="16"/>
      <c r="K5" s="11"/>
    </row>
    <row r="6" spans="1:11" ht="72.95" hidden="1" customHeight="1" x14ac:dyDescent="0.2">
      <c r="A6" s="2" t="s">
        <v>19</v>
      </c>
      <c r="B6" s="18" t="s">
        <v>20</v>
      </c>
      <c r="C6" s="2" t="s">
        <v>21</v>
      </c>
      <c r="D6" s="8">
        <v>1</v>
      </c>
      <c r="E6" s="24">
        <v>620000</v>
      </c>
      <c r="F6" s="24">
        <f>+E6*D6</f>
        <v>620000</v>
      </c>
      <c r="G6" s="11"/>
      <c r="H6" s="15">
        <f>+G6*E6</f>
        <v>0</v>
      </c>
      <c r="I6" s="26">
        <f>+D6</f>
        <v>1</v>
      </c>
      <c r="J6" s="17">
        <f>+I6*E6</f>
        <v>620000</v>
      </c>
      <c r="K6" s="11"/>
    </row>
    <row r="7" spans="1:11" x14ac:dyDescent="0.2">
      <c r="A7" s="2" t="s">
        <v>22</v>
      </c>
      <c r="B7" s="18" t="s">
        <v>110</v>
      </c>
      <c r="C7" s="2" t="s">
        <v>21</v>
      </c>
      <c r="D7" s="8">
        <v>3</v>
      </c>
      <c r="E7" s="24">
        <v>2528050</v>
      </c>
      <c r="F7" s="24">
        <f t="shared" ref="F7:F27" si="0">+E7*D7</f>
        <v>7584150</v>
      </c>
      <c r="G7" s="11"/>
      <c r="H7" s="15">
        <f t="shared" ref="H7:H36" si="1">+G7*E7</f>
        <v>0</v>
      </c>
      <c r="I7" s="26">
        <f t="shared" ref="I7:I9" si="2">+D7</f>
        <v>3</v>
      </c>
      <c r="J7" s="17">
        <f t="shared" ref="J7:J30" si="3">+I7*E7</f>
        <v>7584150</v>
      </c>
      <c r="K7" s="11">
        <v>3</v>
      </c>
    </row>
    <row r="8" spans="1:11" x14ac:dyDescent="0.2">
      <c r="A8" s="2" t="s">
        <v>24</v>
      </c>
      <c r="B8" s="18" t="s">
        <v>111</v>
      </c>
      <c r="C8" s="2" t="s">
        <v>21</v>
      </c>
      <c r="D8" s="8">
        <v>3</v>
      </c>
      <c r="E8" s="24">
        <v>2528050</v>
      </c>
      <c r="F8" s="24">
        <f t="shared" si="0"/>
        <v>7584150</v>
      </c>
      <c r="G8" s="11"/>
      <c r="H8" s="15">
        <f t="shared" si="1"/>
        <v>0</v>
      </c>
      <c r="I8" s="26">
        <f t="shared" si="2"/>
        <v>3</v>
      </c>
      <c r="J8" s="17">
        <f t="shared" si="3"/>
        <v>7584150</v>
      </c>
      <c r="K8" s="11">
        <v>3</v>
      </c>
    </row>
    <row r="9" spans="1:11" ht="77.099999999999994" hidden="1" customHeight="1" x14ac:dyDescent="0.2">
      <c r="A9" s="2" t="s">
        <v>26</v>
      </c>
      <c r="B9" s="18" t="s">
        <v>27</v>
      </c>
      <c r="C9" s="2" t="s">
        <v>21</v>
      </c>
      <c r="D9" s="8">
        <v>1</v>
      </c>
      <c r="E9" s="24">
        <v>620000</v>
      </c>
      <c r="F9" s="24">
        <f t="shared" si="0"/>
        <v>620000</v>
      </c>
      <c r="G9" s="11"/>
      <c r="H9" s="15">
        <f t="shared" si="1"/>
        <v>0</v>
      </c>
      <c r="I9" s="26">
        <f t="shared" si="2"/>
        <v>1</v>
      </c>
      <c r="J9" s="17">
        <f t="shared" si="3"/>
        <v>620000</v>
      </c>
      <c r="K9" s="11"/>
    </row>
    <row r="10" spans="1:11" ht="11.25" customHeight="1" x14ac:dyDescent="0.2">
      <c r="A10" s="21">
        <v>2</v>
      </c>
      <c r="B10" s="22" t="s">
        <v>29</v>
      </c>
      <c r="C10" s="19"/>
      <c r="D10" s="7"/>
      <c r="E10" s="2"/>
      <c r="F10" s="1"/>
      <c r="G10" s="11"/>
      <c r="H10" s="15"/>
      <c r="I10" s="11"/>
      <c r="J10" s="17"/>
      <c r="K10" s="11"/>
    </row>
    <row r="11" spans="1:11" ht="11.25" customHeight="1" x14ac:dyDescent="0.2">
      <c r="A11" s="2" t="s">
        <v>30</v>
      </c>
      <c r="B11" s="18" t="s">
        <v>31</v>
      </c>
      <c r="C11" s="2" t="s">
        <v>32</v>
      </c>
      <c r="D11" s="8">
        <v>1</v>
      </c>
      <c r="E11" s="24">
        <v>46500</v>
      </c>
      <c r="F11" s="24">
        <f t="shared" si="0"/>
        <v>46500</v>
      </c>
      <c r="G11" s="11"/>
      <c r="H11" s="15">
        <f t="shared" si="1"/>
        <v>0</v>
      </c>
      <c r="I11" s="26">
        <f>+D11+G11</f>
        <v>1</v>
      </c>
      <c r="J11" s="17">
        <f t="shared" si="3"/>
        <v>46500</v>
      </c>
      <c r="K11" s="26">
        <f>+I11</f>
        <v>1</v>
      </c>
    </row>
    <row r="12" spans="1:11" ht="11.25" customHeight="1" x14ac:dyDescent="0.2">
      <c r="A12" s="2" t="s">
        <v>33</v>
      </c>
      <c r="B12" s="18" t="s">
        <v>92</v>
      </c>
      <c r="C12" s="2" t="s">
        <v>35</v>
      </c>
      <c r="D12" s="8">
        <v>3</v>
      </c>
      <c r="E12" s="24">
        <v>9300</v>
      </c>
      <c r="F12" s="24">
        <f t="shared" si="0"/>
        <v>27900</v>
      </c>
      <c r="G12" s="11">
        <v>26</v>
      </c>
      <c r="H12" s="15">
        <f t="shared" si="1"/>
        <v>241800</v>
      </c>
      <c r="I12" s="26">
        <f t="shared" ref="I12:I22" si="4">+D12+G12</f>
        <v>29</v>
      </c>
      <c r="J12" s="17">
        <f t="shared" si="3"/>
        <v>269700</v>
      </c>
      <c r="K12" s="26">
        <f>+I12</f>
        <v>29</v>
      </c>
    </row>
    <row r="13" spans="1:11" ht="22.5" x14ac:dyDescent="0.2">
      <c r="A13" s="2" t="s">
        <v>36</v>
      </c>
      <c r="B13" s="18" t="s">
        <v>2</v>
      </c>
      <c r="C13" s="2" t="s">
        <v>32</v>
      </c>
      <c r="D13" s="8">
        <v>5</v>
      </c>
      <c r="E13" s="24">
        <v>193750</v>
      </c>
      <c r="F13" s="24">
        <f t="shared" si="0"/>
        <v>968750</v>
      </c>
      <c r="G13" s="11">
        <f>10+1+4+2+1+3+1+3+2+1+1-5</f>
        <v>24</v>
      </c>
      <c r="H13" s="15">
        <f t="shared" si="1"/>
        <v>4650000</v>
      </c>
      <c r="I13" s="26">
        <f t="shared" si="4"/>
        <v>29</v>
      </c>
      <c r="J13" s="17">
        <f t="shared" si="3"/>
        <v>5618750</v>
      </c>
      <c r="K13" s="11"/>
    </row>
    <row r="14" spans="1:11" ht="34.5" customHeight="1" x14ac:dyDescent="0.2">
      <c r="A14" s="2" t="s">
        <v>37</v>
      </c>
      <c r="B14" s="19" t="s">
        <v>65</v>
      </c>
      <c r="C14" s="2" t="s">
        <v>32</v>
      </c>
      <c r="D14" s="8">
        <v>3</v>
      </c>
      <c r="E14" s="24">
        <v>271250</v>
      </c>
      <c r="F14" s="24">
        <f t="shared" si="0"/>
        <v>813750</v>
      </c>
      <c r="G14" s="11"/>
      <c r="H14" s="17">
        <f t="shared" si="1"/>
        <v>0</v>
      </c>
      <c r="I14" s="26">
        <f t="shared" si="4"/>
        <v>3</v>
      </c>
      <c r="J14" s="17">
        <f t="shared" si="3"/>
        <v>813750</v>
      </c>
      <c r="K14" s="11"/>
    </row>
    <row r="15" spans="1:11" ht="18.75" customHeight="1" x14ac:dyDescent="0.2">
      <c r="A15" s="2" t="s">
        <v>38</v>
      </c>
      <c r="B15" s="18" t="s">
        <v>39</v>
      </c>
      <c r="C15" s="2" t="s">
        <v>32</v>
      </c>
      <c r="D15" s="8">
        <v>1</v>
      </c>
      <c r="E15" s="25">
        <v>1550000</v>
      </c>
      <c r="F15" s="24">
        <f t="shared" si="0"/>
        <v>1550000</v>
      </c>
      <c r="G15" s="11"/>
      <c r="H15" s="15">
        <f t="shared" si="1"/>
        <v>0</v>
      </c>
      <c r="I15" s="26">
        <f t="shared" si="4"/>
        <v>1</v>
      </c>
      <c r="J15" s="17">
        <f t="shared" si="3"/>
        <v>1550000</v>
      </c>
      <c r="K15" s="11"/>
    </row>
    <row r="16" spans="1:11" ht="10.5" customHeight="1" x14ac:dyDescent="0.2">
      <c r="A16" s="2" t="s">
        <v>40</v>
      </c>
      <c r="B16" s="18" t="s">
        <v>41</v>
      </c>
      <c r="C16" s="2" t="s">
        <v>32</v>
      </c>
      <c r="D16" s="8">
        <v>1</v>
      </c>
      <c r="E16" s="25">
        <v>2325000</v>
      </c>
      <c r="F16" s="24">
        <f t="shared" si="0"/>
        <v>2325000</v>
      </c>
      <c r="G16" s="11"/>
      <c r="H16" s="15">
        <f t="shared" si="1"/>
        <v>0</v>
      </c>
      <c r="I16" s="26">
        <f t="shared" si="4"/>
        <v>1</v>
      </c>
      <c r="J16" s="17">
        <f t="shared" si="3"/>
        <v>2325000</v>
      </c>
      <c r="K16" s="11"/>
    </row>
    <row r="17" spans="1:11" ht="18" customHeight="1" x14ac:dyDescent="0.2">
      <c r="A17" s="2" t="s">
        <v>42</v>
      </c>
      <c r="B17" s="18" t="s">
        <v>43</v>
      </c>
      <c r="C17" s="2" t="s">
        <v>35</v>
      </c>
      <c r="D17" s="8">
        <v>1</v>
      </c>
      <c r="E17" s="25">
        <v>1937500</v>
      </c>
      <c r="F17" s="24">
        <f t="shared" si="0"/>
        <v>1937500</v>
      </c>
      <c r="G17" s="11"/>
      <c r="H17" s="15">
        <f t="shared" si="1"/>
        <v>0</v>
      </c>
      <c r="I17" s="26">
        <f t="shared" si="4"/>
        <v>1</v>
      </c>
      <c r="J17" s="17">
        <f t="shared" si="3"/>
        <v>1937500</v>
      </c>
      <c r="K17" s="11"/>
    </row>
    <row r="18" spans="1:11" ht="15" customHeight="1" x14ac:dyDescent="0.2">
      <c r="A18" s="2" t="s">
        <v>44</v>
      </c>
      <c r="B18" s="18" t="s">
        <v>45</v>
      </c>
      <c r="C18" s="2" t="s">
        <v>32</v>
      </c>
      <c r="D18" s="8">
        <v>1</v>
      </c>
      <c r="E18" s="25">
        <v>69750</v>
      </c>
      <c r="F18" s="24">
        <f t="shared" si="0"/>
        <v>69750</v>
      </c>
      <c r="G18" s="11"/>
      <c r="H18" s="15">
        <f t="shared" si="1"/>
        <v>0</v>
      </c>
      <c r="I18" s="26">
        <f t="shared" si="4"/>
        <v>1</v>
      </c>
      <c r="J18" s="17">
        <f t="shared" si="3"/>
        <v>69750</v>
      </c>
      <c r="K18" s="11"/>
    </row>
    <row r="19" spans="1:11" ht="14.25" customHeight="1" x14ac:dyDescent="0.2">
      <c r="A19" s="2" t="s">
        <v>46</v>
      </c>
      <c r="B19" s="18" t="s">
        <v>47</v>
      </c>
      <c r="C19" s="2" t="s">
        <v>32</v>
      </c>
      <c r="D19" s="8">
        <v>1</v>
      </c>
      <c r="E19" s="25">
        <v>93000</v>
      </c>
      <c r="F19" s="24">
        <f t="shared" si="0"/>
        <v>93000</v>
      </c>
      <c r="G19" s="11"/>
      <c r="H19" s="15">
        <f t="shared" si="1"/>
        <v>0</v>
      </c>
      <c r="I19" s="26">
        <f t="shared" si="4"/>
        <v>1</v>
      </c>
      <c r="J19" s="17">
        <f t="shared" si="3"/>
        <v>93000</v>
      </c>
      <c r="K19" s="11"/>
    </row>
    <row r="20" spans="1:11" ht="20.25" customHeight="1" x14ac:dyDescent="0.2">
      <c r="A20" s="2" t="s">
        <v>48</v>
      </c>
      <c r="B20" s="18" t="s">
        <v>3</v>
      </c>
      <c r="C20" s="2" t="s">
        <v>49</v>
      </c>
      <c r="D20" s="8">
        <v>750</v>
      </c>
      <c r="E20" s="24">
        <v>6200</v>
      </c>
      <c r="F20" s="24">
        <f t="shared" si="0"/>
        <v>4650000</v>
      </c>
      <c r="G20" s="11">
        <f>12+20+5+35+4+16.5+6+6+6+35+30+60+20+35+20+87</f>
        <v>397.5</v>
      </c>
      <c r="H20" s="15">
        <f t="shared" si="1"/>
        <v>2464500</v>
      </c>
      <c r="I20" s="26">
        <f t="shared" si="4"/>
        <v>1147.5</v>
      </c>
      <c r="J20" s="17">
        <f t="shared" si="3"/>
        <v>7114500</v>
      </c>
      <c r="K20" s="11"/>
    </row>
    <row r="21" spans="1:11" ht="11.25" customHeight="1" x14ac:dyDescent="0.2">
      <c r="A21" s="2" t="s">
        <v>50</v>
      </c>
      <c r="B21" s="18" t="s">
        <v>51</v>
      </c>
      <c r="C21" s="2" t="s">
        <v>32</v>
      </c>
      <c r="D21" s="8">
        <v>1</v>
      </c>
      <c r="E21" s="24">
        <v>38750</v>
      </c>
      <c r="F21" s="24">
        <f t="shared" si="0"/>
        <v>38750</v>
      </c>
      <c r="G21" s="11"/>
      <c r="H21" s="15">
        <f t="shared" si="1"/>
        <v>0</v>
      </c>
      <c r="I21" s="26">
        <f t="shared" si="4"/>
        <v>1</v>
      </c>
      <c r="J21" s="17">
        <f t="shared" si="3"/>
        <v>38750</v>
      </c>
      <c r="K21" s="11"/>
    </row>
    <row r="22" spans="1:11" ht="11.25" customHeight="1" x14ac:dyDescent="0.2">
      <c r="A22" s="2" t="s">
        <v>52</v>
      </c>
      <c r="B22" s="18" t="s">
        <v>53</v>
      </c>
      <c r="C22" s="2" t="s">
        <v>49</v>
      </c>
      <c r="D22" s="8">
        <v>60</v>
      </c>
      <c r="E22" s="24">
        <v>9300</v>
      </c>
      <c r="F22" s="24">
        <f t="shared" si="0"/>
        <v>558000</v>
      </c>
      <c r="G22" s="11"/>
      <c r="H22" s="15">
        <f t="shared" si="1"/>
        <v>0</v>
      </c>
      <c r="I22" s="26">
        <f t="shared" si="4"/>
        <v>60</v>
      </c>
      <c r="J22" s="17">
        <f t="shared" si="3"/>
        <v>558000</v>
      </c>
      <c r="K22" s="11"/>
    </row>
    <row r="23" spans="1:11" ht="21.75" hidden="1" customHeight="1" x14ac:dyDescent="0.2">
      <c r="A23" s="7"/>
      <c r="B23" s="22" t="s">
        <v>54</v>
      </c>
      <c r="C23" s="19"/>
      <c r="D23" s="7"/>
      <c r="E23" s="7"/>
      <c r="F23" s="9">
        <f>SUM(F10:F22)</f>
        <v>13078900</v>
      </c>
      <c r="G23" s="11"/>
      <c r="H23" s="14">
        <f>SUM(H10:H22)</f>
        <v>7356300</v>
      </c>
      <c r="I23" s="5"/>
      <c r="J23" s="14">
        <f>SUM(J10:J22)</f>
        <v>20435200</v>
      </c>
      <c r="K23" s="11"/>
    </row>
    <row r="24" spans="1:11" ht="48.95" hidden="1" customHeight="1" x14ac:dyDescent="0.2">
      <c r="A24" s="2" t="s">
        <v>56</v>
      </c>
      <c r="B24" s="18" t="s">
        <v>57</v>
      </c>
      <c r="C24" s="2" t="s">
        <v>32</v>
      </c>
      <c r="D24" s="8">
        <v>1</v>
      </c>
      <c r="E24" s="27">
        <v>2325000</v>
      </c>
      <c r="F24" s="24">
        <f t="shared" si="0"/>
        <v>2325000</v>
      </c>
      <c r="G24" s="11"/>
      <c r="H24" s="28">
        <f t="shared" si="1"/>
        <v>0</v>
      </c>
      <c r="I24" s="26">
        <f>+D24+G24</f>
        <v>1</v>
      </c>
      <c r="J24" s="17">
        <f t="shared" si="3"/>
        <v>2325000</v>
      </c>
      <c r="K24" s="11"/>
    </row>
    <row r="25" spans="1:11" ht="45.95" hidden="1" customHeight="1" x14ac:dyDescent="0.2">
      <c r="A25" s="2" t="s">
        <v>58</v>
      </c>
      <c r="B25" s="18" t="s">
        <v>59</v>
      </c>
      <c r="C25" s="2" t="s">
        <v>32</v>
      </c>
      <c r="D25" s="8">
        <v>40</v>
      </c>
      <c r="E25" s="27">
        <f>2712500/40</f>
        <v>67812.5</v>
      </c>
      <c r="F25" s="24">
        <f>+E25*D25</f>
        <v>2712500</v>
      </c>
      <c r="G25" s="11">
        <v>5</v>
      </c>
      <c r="H25" s="28">
        <f t="shared" si="1"/>
        <v>339062.5</v>
      </c>
      <c r="I25" s="26">
        <f t="shared" ref="I25:I35" si="5">+D25+G25</f>
        <v>45</v>
      </c>
      <c r="J25" s="17">
        <f>+I25*E25</f>
        <v>3051562.5</v>
      </c>
      <c r="K25" s="11"/>
    </row>
    <row r="26" spans="1:11" ht="56.1" hidden="1" customHeight="1" x14ac:dyDescent="0.2">
      <c r="A26" s="2" t="s">
        <v>60</v>
      </c>
      <c r="B26" s="18" t="s">
        <v>4</v>
      </c>
      <c r="C26" s="2" t="s">
        <v>93</v>
      </c>
      <c r="D26" s="8">
        <v>30</v>
      </c>
      <c r="E26" s="27">
        <f>7750000/30</f>
        <v>258333.33333333334</v>
      </c>
      <c r="F26" s="24">
        <f t="shared" si="0"/>
        <v>7750000</v>
      </c>
      <c r="G26" s="11">
        <v>15</v>
      </c>
      <c r="H26" s="28">
        <f t="shared" si="1"/>
        <v>3875000</v>
      </c>
      <c r="I26" s="26">
        <v>1100</v>
      </c>
      <c r="J26" s="17">
        <f t="shared" si="3"/>
        <v>284166666.66666669</v>
      </c>
      <c r="K26" s="15"/>
    </row>
    <row r="27" spans="1:11" ht="59.25" hidden="1" customHeight="1" x14ac:dyDescent="0.2">
      <c r="A27" s="2" t="s">
        <v>61</v>
      </c>
      <c r="B27" s="18" t="s">
        <v>62</v>
      </c>
      <c r="C27" s="2" t="s">
        <v>32</v>
      </c>
      <c r="D27" s="8">
        <v>4</v>
      </c>
      <c r="E27" s="27">
        <f>7750000/4</f>
        <v>1937500</v>
      </c>
      <c r="F27" s="24">
        <f t="shared" si="0"/>
        <v>7750000</v>
      </c>
      <c r="G27" s="11"/>
      <c r="H27" s="28">
        <f t="shared" si="1"/>
        <v>0</v>
      </c>
      <c r="I27" s="26">
        <f t="shared" si="5"/>
        <v>4</v>
      </c>
      <c r="J27" s="17">
        <f t="shared" si="3"/>
        <v>7750000</v>
      </c>
      <c r="K27" s="15"/>
    </row>
    <row r="28" spans="1:11" ht="30.75" customHeight="1" x14ac:dyDescent="0.2">
      <c r="A28" s="202" t="s">
        <v>14</v>
      </c>
      <c r="B28" s="202"/>
      <c r="C28" s="202"/>
      <c r="D28" s="202"/>
      <c r="E28" s="202"/>
      <c r="F28" s="202"/>
      <c r="G28" s="11"/>
      <c r="H28" s="15"/>
      <c r="I28" s="26"/>
      <c r="J28" s="17"/>
      <c r="K28" s="11"/>
    </row>
    <row r="29" spans="1:11" ht="9.9499999999999993" customHeight="1" x14ac:dyDescent="0.2">
      <c r="A29" s="4" t="s">
        <v>0</v>
      </c>
      <c r="B29" s="4" t="s">
        <v>1</v>
      </c>
      <c r="C29" s="4" t="s">
        <v>15</v>
      </c>
      <c r="D29" s="22" t="s">
        <v>16</v>
      </c>
      <c r="E29" s="2" t="s">
        <v>12</v>
      </c>
      <c r="F29" s="2" t="s">
        <v>13</v>
      </c>
      <c r="G29" s="11"/>
      <c r="H29" s="15"/>
      <c r="I29" s="26"/>
      <c r="J29" s="17"/>
      <c r="K29" s="11"/>
    </row>
    <row r="30" spans="1:11" ht="60" hidden="1" customHeight="1" x14ac:dyDescent="0.2">
      <c r="A30" s="2" t="s">
        <v>63</v>
      </c>
      <c r="B30" s="18" t="s">
        <v>64</v>
      </c>
      <c r="C30" s="2" t="s">
        <v>32</v>
      </c>
      <c r="D30" s="8">
        <v>4</v>
      </c>
      <c r="E30" s="27">
        <f>6975000/D30</f>
        <v>1743750</v>
      </c>
      <c r="F30" s="24">
        <f>+E30*D30</f>
        <v>6975000</v>
      </c>
      <c r="G30" s="11"/>
      <c r="H30" s="15">
        <f t="shared" si="1"/>
        <v>0</v>
      </c>
      <c r="I30" s="26">
        <f t="shared" si="5"/>
        <v>4</v>
      </c>
      <c r="J30" s="17">
        <f t="shared" si="3"/>
        <v>6975000</v>
      </c>
      <c r="K30" s="11"/>
    </row>
    <row r="31" spans="1:11" ht="13.5" customHeight="1" x14ac:dyDescent="0.2">
      <c r="A31" s="2">
        <v>1</v>
      </c>
      <c r="B31" s="18" t="s">
        <v>112</v>
      </c>
      <c r="C31" s="2" t="s">
        <v>73</v>
      </c>
      <c r="D31" s="8"/>
      <c r="E31" s="25">
        <v>4100</v>
      </c>
      <c r="F31" s="24"/>
      <c r="G31" s="7">
        <v>1200</v>
      </c>
      <c r="H31" s="15">
        <f t="shared" si="1"/>
        <v>4920000</v>
      </c>
      <c r="I31" s="26">
        <v>1100</v>
      </c>
      <c r="J31" s="17">
        <f>+I31*E31</f>
        <v>4510000</v>
      </c>
      <c r="K31" s="11"/>
    </row>
    <row r="32" spans="1:11" ht="13.5" customHeight="1" x14ac:dyDescent="0.2">
      <c r="A32" s="2">
        <v>2</v>
      </c>
      <c r="B32" s="18" t="s">
        <v>78</v>
      </c>
      <c r="C32" s="2" t="s">
        <v>73</v>
      </c>
      <c r="D32" s="8"/>
      <c r="E32" s="25">
        <f>126900/2.4+15862</f>
        <v>68737</v>
      </c>
      <c r="F32" s="24"/>
      <c r="G32" s="11">
        <f>2.4+4+4+8+1.5</f>
        <v>19.899999999999999</v>
      </c>
      <c r="H32" s="15">
        <f t="shared" si="1"/>
        <v>1367866.2999999998</v>
      </c>
      <c r="I32" s="26">
        <f t="shared" si="5"/>
        <v>19.899999999999999</v>
      </c>
      <c r="J32" s="17">
        <f t="shared" ref="J32:J35" si="6">+I32*E32</f>
        <v>1367866.2999999998</v>
      </c>
      <c r="K32" s="11"/>
    </row>
    <row r="33" spans="1:11" ht="13.5" customHeight="1" x14ac:dyDescent="0.2">
      <c r="A33" s="2">
        <v>3</v>
      </c>
      <c r="B33" s="18" t="s">
        <v>95</v>
      </c>
      <c r="C33" s="2" t="s">
        <v>32</v>
      </c>
      <c r="D33" s="8"/>
      <c r="E33" s="3">
        <f>87900*1.3</f>
        <v>114270</v>
      </c>
      <c r="F33" s="1"/>
      <c r="G33" s="11">
        <v>4</v>
      </c>
      <c r="H33" s="15">
        <f t="shared" si="1"/>
        <v>457080</v>
      </c>
      <c r="I33" s="26">
        <f t="shared" si="5"/>
        <v>4</v>
      </c>
      <c r="J33" s="17">
        <f t="shared" si="6"/>
        <v>457080</v>
      </c>
      <c r="K33" s="11"/>
    </row>
    <row r="34" spans="1:11" ht="13.5" hidden="1" customHeight="1" x14ac:dyDescent="0.2">
      <c r="A34" s="2" t="s">
        <v>81</v>
      </c>
      <c r="B34" s="18" t="s">
        <v>86</v>
      </c>
      <c r="C34" s="2" t="s">
        <v>32</v>
      </c>
      <c r="D34" s="8"/>
      <c r="E34" s="3">
        <f>193750*40%</f>
        <v>77500</v>
      </c>
      <c r="F34" s="1"/>
      <c r="G34" s="11">
        <v>2</v>
      </c>
      <c r="H34" s="15">
        <f t="shared" si="1"/>
        <v>155000</v>
      </c>
      <c r="I34" s="26">
        <f t="shared" si="5"/>
        <v>2</v>
      </c>
      <c r="J34" s="17">
        <f t="shared" si="6"/>
        <v>155000</v>
      </c>
      <c r="K34" s="11"/>
    </row>
    <row r="35" spans="1:11" ht="6" hidden="1" customHeight="1" x14ac:dyDescent="0.2">
      <c r="A35" s="2" t="s">
        <v>87</v>
      </c>
      <c r="B35" s="18" t="s">
        <v>84</v>
      </c>
      <c r="C35" s="2" t="s">
        <v>32</v>
      </c>
      <c r="D35" s="8"/>
      <c r="E35" s="3">
        <v>650000</v>
      </c>
      <c r="F35" s="1"/>
      <c r="G35" s="11">
        <v>1</v>
      </c>
      <c r="H35" s="15">
        <f t="shared" si="1"/>
        <v>650000</v>
      </c>
      <c r="I35" s="26">
        <f t="shared" si="5"/>
        <v>1</v>
      </c>
      <c r="J35" s="38">
        <f t="shared" si="6"/>
        <v>650000</v>
      </c>
      <c r="K35" s="11"/>
    </row>
    <row r="36" spans="1:11" ht="4.5" hidden="1" customHeight="1" x14ac:dyDescent="0.2">
      <c r="A36" s="2"/>
      <c r="B36" s="18"/>
      <c r="C36" s="2"/>
      <c r="D36" s="8"/>
      <c r="E36" s="3"/>
      <c r="F36" s="1"/>
      <c r="G36" s="11"/>
      <c r="H36" s="15">
        <f t="shared" si="1"/>
        <v>0</v>
      </c>
      <c r="I36" s="11"/>
      <c r="J36" s="38"/>
    </row>
    <row r="37" spans="1:11" hidden="1" x14ac:dyDescent="0.2">
      <c r="A37" s="201" t="s">
        <v>8</v>
      </c>
      <c r="B37" s="201"/>
      <c r="C37" s="201"/>
      <c r="D37" s="201"/>
      <c r="E37" s="11"/>
      <c r="F37" s="31">
        <f>+F24+F25+F26+F27+F30</f>
        <v>27512500</v>
      </c>
      <c r="G37" s="32"/>
      <c r="H37" s="33">
        <f>SUM(H24:H36)</f>
        <v>11764008.800000001</v>
      </c>
      <c r="I37" s="34"/>
      <c r="J37" s="39">
        <f>SUM(J24:J35)</f>
        <v>311408175.4666667</v>
      </c>
    </row>
    <row r="38" spans="1:11" hidden="1" x14ac:dyDescent="0.2">
      <c r="A38" s="201" t="s">
        <v>7</v>
      </c>
      <c r="B38" s="201"/>
      <c r="C38" s="201"/>
      <c r="D38" s="201"/>
      <c r="E38" s="11"/>
      <c r="F38" s="12" t="e">
        <f>+F37+F23+#REF!</f>
        <v>#REF!</v>
      </c>
      <c r="G38" s="11"/>
      <c r="H38" s="12" t="e">
        <f>+H37+H23+#REF!</f>
        <v>#REF!</v>
      </c>
      <c r="I38" s="11"/>
      <c r="J38" s="40" t="e">
        <f>+J37+J23+#REF!</f>
        <v>#REF!</v>
      </c>
    </row>
    <row r="39" spans="1:11" hidden="1" x14ac:dyDescent="0.2">
      <c r="A39" s="201" t="s">
        <v>5</v>
      </c>
      <c r="B39" s="201"/>
      <c r="C39" s="201"/>
      <c r="D39" s="201"/>
      <c r="E39" s="11"/>
      <c r="F39" s="15" t="e">
        <f>+F38*29%</f>
        <v>#REF!</v>
      </c>
      <c r="G39" s="11"/>
      <c r="H39" s="15" t="e">
        <f>+H38*29%</f>
        <v>#REF!</v>
      </c>
      <c r="I39" s="11"/>
      <c r="J39" s="41" t="e">
        <f>+J38*29%</f>
        <v>#REF!</v>
      </c>
    </row>
    <row r="40" spans="1:11" hidden="1" x14ac:dyDescent="0.2">
      <c r="A40" s="201" t="s">
        <v>10</v>
      </c>
      <c r="B40" s="201"/>
      <c r="C40" s="201"/>
      <c r="D40" s="201"/>
      <c r="E40" s="11"/>
      <c r="F40" s="15" t="e">
        <f>+F38*1%</f>
        <v>#REF!</v>
      </c>
      <c r="G40" s="11"/>
      <c r="H40" s="15" t="e">
        <f>+H38*1%</f>
        <v>#REF!</v>
      </c>
      <c r="I40" s="11"/>
      <c r="J40" s="41" t="e">
        <f>+J38*1%</f>
        <v>#REF!</v>
      </c>
    </row>
    <row r="41" spans="1:11" hidden="1" x14ac:dyDescent="0.2">
      <c r="A41" s="201" t="s">
        <v>6</v>
      </c>
      <c r="B41" s="201"/>
      <c r="C41" s="201"/>
      <c r="D41" s="201"/>
      <c r="E41" s="11"/>
      <c r="F41" s="15" t="e">
        <f>+F38*5%</f>
        <v>#REF!</v>
      </c>
      <c r="G41" s="11"/>
      <c r="H41" s="15" t="e">
        <f>+H38*5%</f>
        <v>#REF!</v>
      </c>
      <c r="I41" s="11"/>
      <c r="J41" s="41" t="e">
        <f>+J38*5%</f>
        <v>#REF!</v>
      </c>
    </row>
    <row r="42" spans="1:11" hidden="1" x14ac:dyDescent="0.2">
      <c r="A42" s="201" t="s">
        <v>11</v>
      </c>
      <c r="B42" s="201"/>
      <c r="C42" s="201"/>
      <c r="D42" s="201"/>
      <c r="E42" s="11"/>
      <c r="F42" s="17" t="e">
        <f>+F41*19%</f>
        <v>#REF!</v>
      </c>
      <c r="G42" s="11"/>
      <c r="H42" s="17" t="e">
        <f>+H41*19%</f>
        <v>#REF!</v>
      </c>
      <c r="I42" s="11"/>
      <c r="J42" s="38" t="e">
        <f>+J41*19%</f>
        <v>#REF!</v>
      </c>
    </row>
    <row r="43" spans="1:11" hidden="1" x14ac:dyDescent="0.2">
      <c r="A43" s="209" t="s">
        <v>9</v>
      </c>
      <c r="B43" s="209"/>
      <c r="C43" s="209"/>
      <c r="D43" s="209"/>
      <c r="E43" s="5"/>
      <c r="F43" s="30" t="e">
        <f>+F38+F39+F40+F41+F42</f>
        <v>#REF!</v>
      </c>
      <c r="G43" s="11"/>
      <c r="H43" s="30" t="e">
        <f>+H38+H39+H40+H41+H42</f>
        <v>#REF!</v>
      </c>
      <c r="I43" s="11"/>
      <c r="J43" s="42" t="e">
        <f>+J38+J39+J40+J41+J42</f>
        <v>#REF!</v>
      </c>
    </row>
    <row r="44" spans="1:11" hidden="1" x14ac:dyDescent="0.2">
      <c r="A44" s="11"/>
      <c r="B44" s="16"/>
      <c r="C44" s="16"/>
      <c r="D44" s="16"/>
      <c r="E44" s="11"/>
      <c r="F44" s="16"/>
      <c r="G44" s="11"/>
      <c r="H44" s="16"/>
      <c r="I44" s="11"/>
    </row>
    <row r="45" spans="1:11" hidden="1" x14ac:dyDescent="0.2">
      <c r="A45" s="11"/>
      <c r="B45" s="16"/>
      <c r="C45" s="16"/>
      <c r="D45" s="16"/>
      <c r="E45" s="11"/>
      <c r="F45" s="16"/>
      <c r="G45" s="11"/>
      <c r="H45" s="16"/>
      <c r="I45" s="11"/>
    </row>
    <row r="46" spans="1:11" hidden="1" x14ac:dyDescent="0.2">
      <c r="A46" s="11"/>
      <c r="B46" s="16"/>
      <c r="C46" s="16"/>
      <c r="D46" s="16"/>
      <c r="E46" s="11"/>
      <c r="F46" s="16"/>
      <c r="G46" s="11"/>
      <c r="H46" s="43"/>
      <c r="I46" s="11"/>
    </row>
    <row r="47" spans="1:11" x14ac:dyDescent="0.2">
      <c r="A47" s="11">
        <v>4</v>
      </c>
      <c r="B47" s="16" t="s">
        <v>126</v>
      </c>
      <c r="C47" s="11" t="s">
        <v>94</v>
      </c>
      <c r="D47" s="16"/>
      <c r="E47" s="11"/>
      <c r="F47" s="17"/>
      <c r="G47" s="11"/>
      <c r="H47" s="16"/>
      <c r="I47" s="11">
        <v>35</v>
      </c>
    </row>
    <row r="48" spans="1:11" x14ac:dyDescent="0.2">
      <c r="A48" s="11">
        <v>4</v>
      </c>
      <c r="B48" s="16" t="s">
        <v>127</v>
      </c>
      <c r="C48" s="11" t="s">
        <v>94</v>
      </c>
      <c r="D48" s="16"/>
      <c r="E48" s="11"/>
      <c r="F48" s="17"/>
      <c r="G48" s="11"/>
      <c r="H48" s="16"/>
      <c r="I48" s="11">
        <v>4</v>
      </c>
    </row>
    <row r="49" spans="1:9" x14ac:dyDescent="0.2">
      <c r="A49" s="11">
        <v>5</v>
      </c>
      <c r="B49" s="16" t="s">
        <v>98</v>
      </c>
      <c r="C49" s="11" t="s">
        <v>94</v>
      </c>
      <c r="D49" s="16"/>
      <c r="E49" s="11"/>
      <c r="F49" s="43"/>
      <c r="G49" s="11"/>
      <c r="H49" s="17"/>
      <c r="I49" s="11">
        <f>35+8</f>
        <v>43</v>
      </c>
    </row>
    <row r="50" spans="1:9" x14ac:dyDescent="0.2">
      <c r="A50" s="11">
        <v>6</v>
      </c>
      <c r="B50" s="16" t="s">
        <v>99</v>
      </c>
      <c r="C50" s="11" t="s">
        <v>94</v>
      </c>
      <c r="D50" s="16"/>
      <c r="E50" s="11"/>
      <c r="F50" s="16"/>
      <c r="G50" s="11"/>
      <c r="H50" s="16"/>
      <c r="I50" s="11">
        <f>35+8</f>
        <v>43</v>
      </c>
    </row>
    <row r="51" spans="1:9" x14ac:dyDescent="0.2">
      <c r="A51" s="11">
        <v>7</v>
      </c>
      <c r="B51" s="16" t="s">
        <v>113</v>
      </c>
      <c r="C51" s="11" t="s">
        <v>94</v>
      </c>
      <c r="D51" s="16"/>
      <c r="E51" s="11"/>
      <c r="F51" s="16"/>
      <c r="G51" s="11"/>
      <c r="H51" s="16"/>
      <c r="I51" s="11">
        <v>50</v>
      </c>
    </row>
    <row r="52" spans="1:9" x14ac:dyDescent="0.2">
      <c r="A52" s="11">
        <v>8</v>
      </c>
      <c r="B52" s="16" t="s">
        <v>114</v>
      </c>
      <c r="C52" s="11" t="s">
        <v>94</v>
      </c>
      <c r="D52" s="16"/>
      <c r="E52" s="11"/>
      <c r="F52" s="16"/>
      <c r="G52" s="11"/>
      <c r="H52" s="16"/>
      <c r="I52" s="11">
        <v>100</v>
      </c>
    </row>
    <row r="53" spans="1:9" x14ac:dyDescent="0.2">
      <c r="A53" s="11">
        <v>9</v>
      </c>
      <c r="B53" s="16" t="s">
        <v>115</v>
      </c>
      <c r="C53" s="11" t="s">
        <v>94</v>
      </c>
      <c r="D53" s="16"/>
      <c r="E53" s="11"/>
      <c r="F53" s="16"/>
      <c r="G53" s="11"/>
      <c r="H53" s="16"/>
      <c r="I53" s="11">
        <v>100</v>
      </c>
    </row>
    <row r="54" spans="1:9" x14ac:dyDescent="0.2">
      <c r="A54" s="11">
        <v>10</v>
      </c>
      <c r="B54" s="16" t="s">
        <v>116</v>
      </c>
      <c r="C54" s="11" t="s">
        <v>93</v>
      </c>
      <c r="D54" s="16"/>
      <c r="E54" s="11"/>
      <c r="F54" s="16"/>
      <c r="G54" s="11"/>
      <c r="H54" s="16"/>
      <c r="I54" s="11">
        <v>3</v>
      </c>
    </row>
    <row r="55" spans="1:9" x14ac:dyDescent="0.2">
      <c r="A55" s="11">
        <v>11</v>
      </c>
      <c r="B55" s="16" t="s">
        <v>117</v>
      </c>
      <c r="C55" s="11" t="s">
        <v>94</v>
      </c>
      <c r="D55" s="16"/>
      <c r="E55" s="11"/>
      <c r="F55" s="16"/>
      <c r="G55" s="11"/>
      <c r="H55" s="16"/>
      <c r="I55" s="11">
        <v>100</v>
      </c>
    </row>
    <row r="56" spans="1:9" x14ac:dyDescent="0.2">
      <c r="A56" s="11">
        <v>12</v>
      </c>
      <c r="B56" s="16" t="s">
        <v>118</v>
      </c>
      <c r="C56" s="11" t="s">
        <v>119</v>
      </c>
      <c r="D56" s="16"/>
      <c r="E56" s="11"/>
      <c r="F56" s="16"/>
      <c r="G56" s="11"/>
      <c r="H56" s="16"/>
      <c r="I56" s="11">
        <v>3</v>
      </c>
    </row>
    <row r="57" spans="1:9" x14ac:dyDescent="0.2">
      <c r="A57" s="11">
        <v>13</v>
      </c>
      <c r="B57" s="16" t="s">
        <v>120</v>
      </c>
      <c r="C57" s="11" t="s">
        <v>119</v>
      </c>
      <c r="D57" s="16"/>
      <c r="E57" s="11"/>
      <c r="F57" s="16"/>
      <c r="G57" s="11"/>
      <c r="H57" s="16"/>
      <c r="I57" s="11">
        <v>3</v>
      </c>
    </row>
    <row r="58" spans="1:9" x14ac:dyDescent="0.2">
      <c r="A58" s="11">
        <v>14</v>
      </c>
      <c r="B58" s="16" t="s">
        <v>121</v>
      </c>
      <c r="C58" s="11" t="s">
        <v>94</v>
      </c>
      <c r="D58" s="16"/>
      <c r="E58" s="11"/>
      <c r="F58" s="16"/>
      <c r="G58" s="11"/>
      <c r="H58" s="16"/>
      <c r="I58" s="11">
        <v>15</v>
      </c>
    </row>
    <row r="59" spans="1:9" x14ac:dyDescent="0.2">
      <c r="A59" s="11">
        <v>15</v>
      </c>
      <c r="B59" s="16" t="s">
        <v>122</v>
      </c>
      <c r="C59" s="11" t="s">
        <v>119</v>
      </c>
      <c r="D59" s="16"/>
      <c r="E59" s="11"/>
      <c r="F59" s="16"/>
      <c r="G59" s="11"/>
      <c r="H59" s="16"/>
      <c r="I59" s="11">
        <v>2</v>
      </c>
    </row>
    <row r="60" spans="1:9" x14ac:dyDescent="0.2">
      <c r="A60" s="11">
        <v>16</v>
      </c>
      <c r="B60" s="16" t="s">
        <v>123</v>
      </c>
      <c r="C60" s="11" t="s">
        <v>94</v>
      </c>
      <c r="D60" s="16"/>
      <c r="E60" s="11"/>
      <c r="F60" s="16"/>
      <c r="G60" s="11"/>
      <c r="H60" s="16"/>
      <c r="I60" s="11">
        <v>30</v>
      </c>
    </row>
    <row r="61" spans="1:9" x14ac:dyDescent="0.2">
      <c r="A61" s="11">
        <v>17</v>
      </c>
      <c r="B61" s="16" t="s">
        <v>124</v>
      </c>
      <c r="C61" s="11" t="s">
        <v>94</v>
      </c>
      <c r="D61" s="16"/>
      <c r="E61" s="11"/>
      <c r="F61" s="16"/>
      <c r="G61" s="11"/>
      <c r="H61" s="16"/>
      <c r="I61" s="11">
        <v>4</v>
      </c>
    </row>
    <row r="62" spans="1:9" x14ac:dyDescent="0.2">
      <c r="A62" s="11">
        <v>18</v>
      </c>
      <c r="B62" s="16" t="s">
        <v>125</v>
      </c>
      <c r="C62" s="11" t="s">
        <v>94</v>
      </c>
      <c r="D62" s="16"/>
      <c r="E62" s="11"/>
      <c r="F62" s="16"/>
      <c r="G62" s="11"/>
      <c r="H62" s="16"/>
      <c r="I62" s="11">
        <v>10</v>
      </c>
    </row>
    <row r="63" spans="1:9" x14ac:dyDescent="0.2">
      <c r="A63" s="11">
        <v>19</v>
      </c>
      <c r="B63" s="16" t="s">
        <v>128</v>
      </c>
      <c r="C63" s="11" t="s">
        <v>94</v>
      </c>
      <c r="D63" s="16"/>
      <c r="E63" s="11"/>
      <c r="F63" s="16"/>
      <c r="G63" s="11"/>
      <c r="H63" s="16"/>
      <c r="I63" s="11">
        <v>1</v>
      </c>
    </row>
    <row r="64" spans="1:9" x14ac:dyDescent="0.2">
      <c r="A64" s="11"/>
      <c r="B64" s="16"/>
      <c r="C64" s="16"/>
      <c r="D64" s="16"/>
      <c r="E64" s="11"/>
      <c r="F64" s="16"/>
      <c r="G64" s="11"/>
      <c r="H64" s="43"/>
      <c r="I64" s="11"/>
    </row>
    <row r="65" spans="1:9" ht="12.75" x14ac:dyDescent="0.2">
      <c r="A65" s="214" t="s">
        <v>106</v>
      </c>
      <c r="B65" s="214"/>
      <c r="C65" s="214"/>
      <c r="D65" s="214"/>
      <c r="E65" s="214"/>
      <c r="F65" s="214"/>
      <c r="G65" s="214"/>
      <c r="H65" s="214"/>
      <c r="I65" s="214"/>
    </row>
    <row r="66" spans="1:9" x14ac:dyDescent="0.2">
      <c r="A66" s="212" t="s">
        <v>107</v>
      </c>
      <c r="B66" s="213"/>
      <c r="C66" s="213"/>
      <c r="D66" s="213"/>
      <c r="E66" s="213"/>
      <c r="F66" s="213"/>
      <c r="G66" s="213"/>
      <c r="H66" s="213"/>
      <c r="I66" s="213"/>
    </row>
    <row r="67" spans="1:9" x14ac:dyDescent="0.2">
      <c r="A67" s="212"/>
      <c r="B67" s="213"/>
      <c r="C67" s="213"/>
      <c r="D67" s="213"/>
      <c r="E67" s="213"/>
      <c r="F67" s="213"/>
      <c r="G67" s="213"/>
      <c r="H67" s="213"/>
      <c r="I67" s="213"/>
    </row>
    <row r="68" spans="1:9" x14ac:dyDescent="0.2">
      <c r="A68" s="212"/>
      <c r="B68" s="213"/>
      <c r="C68" s="213"/>
      <c r="D68" s="213"/>
      <c r="E68" s="213"/>
      <c r="F68" s="213"/>
      <c r="G68" s="213"/>
      <c r="H68" s="213"/>
      <c r="I68" s="213"/>
    </row>
    <row r="69" spans="1:9" x14ac:dyDescent="0.2">
      <c r="A69" s="212"/>
      <c r="B69" s="213"/>
      <c r="C69" s="213"/>
      <c r="D69" s="213"/>
      <c r="E69" s="213"/>
      <c r="F69" s="213"/>
      <c r="G69" s="213"/>
      <c r="H69" s="213"/>
      <c r="I69" s="213"/>
    </row>
    <row r="70" spans="1:9" x14ac:dyDescent="0.2">
      <c r="A70" s="213"/>
      <c r="B70" s="213"/>
      <c r="C70" s="213"/>
      <c r="D70" s="213"/>
      <c r="E70" s="213"/>
      <c r="F70" s="213"/>
      <c r="G70" s="213"/>
      <c r="H70" s="213"/>
      <c r="I70" s="213"/>
    </row>
    <row r="71" spans="1:9" x14ac:dyDescent="0.2">
      <c r="A71" s="213"/>
      <c r="B71" s="213"/>
      <c r="C71" s="213"/>
      <c r="D71" s="213"/>
      <c r="E71" s="213"/>
      <c r="F71" s="213"/>
      <c r="G71" s="213"/>
      <c r="H71" s="213"/>
      <c r="I71" s="213"/>
    </row>
    <row r="72" spans="1:9" x14ac:dyDescent="0.2">
      <c r="A72" s="213"/>
      <c r="B72" s="213"/>
      <c r="C72" s="213"/>
      <c r="D72" s="213"/>
      <c r="E72" s="213"/>
      <c r="F72" s="213"/>
      <c r="G72" s="213"/>
      <c r="H72" s="213"/>
      <c r="I72" s="213"/>
    </row>
    <row r="73" spans="1:9" x14ac:dyDescent="0.2">
      <c r="A73" s="213"/>
      <c r="B73" s="213"/>
      <c r="C73" s="213"/>
      <c r="D73" s="213"/>
      <c r="E73" s="213"/>
      <c r="F73" s="213"/>
      <c r="G73" s="213"/>
      <c r="H73" s="213"/>
      <c r="I73" s="213"/>
    </row>
    <row r="74" spans="1:9" x14ac:dyDescent="0.2">
      <c r="A74" s="213"/>
      <c r="B74" s="213"/>
      <c r="C74" s="213"/>
      <c r="D74" s="213"/>
      <c r="E74" s="213"/>
      <c r="F74" s="213"/>
      <c r="G74" s="213"/>
      <c r="H74" s="213"/>
      <c r="I74" s="213"/>
    </row>
    <row r="75" spans="1:9" x14ac:dyDescent="0.2">
      <c r="A75" s="213"/>
      <c r="B75" s="213"/>
      <c r="C75" s="213"/>
      <c r="D75" s="213"/>
      <c r="E75" s="213"/>
      <c r="F75" s="213"/>
      <c r="G75" s="213"/>
      <c r="H75" s="213"/>
      <c r="I75" s="213"/>
    </row>
    <row r="76" spans="1:9" x14ac:dyDescent="0.2">
      <c r="A76" s="213"/>
      <c r="B76" s="213"/>
      <c r="C76" s="213"/>
      <c r="D76" s="213"/>
      <c r="E76" s="213"/>
      <c r="F76" s="213"/>
      <c r="G76" s="213"/>
      <c r="H76" s="213"/>
      <c r="I76" s="213"/>
    </row>
    <row r="77" spans="1:9" x14ac:dyDescent="0.2">
      <c r="A77" s="213"/>
      <c r="B77" s="213"/>
      <c r="C77" s="213"/>
      <c r="D77" s="213"/>
      <c r="E77" s="213"/>
      <c r="F77" s="213"/>
      <c r="G77" s="213"/>
      <c r="H77" s="213"/>
      <c r="I77" s="213"/>
    </row>
  </sheetData>
  <mergeCells count="12">
    <mergeCell ref="A39:D39"/>
    <mergeCell ref="A66:I77"/>
    <mergeCell ref="A65:I65"/>
    <mergeCell ref="A40:D40"/>
    <mergeCell ref="A41:D41"/>
    <mergeCell ref="A42:D42"/>
    <mergeCell ref="A43:D43"/>
    <mergeCell ref="A1:I1"/>
    <mergeCell ref="A2:J2"/>
    <mergeCell ref="A28:F28"/>
    <mergeCell ref="A37:D37"/>
    <mergeCell ref="A38:D38"/>
  </mergeCells>
  <phoneticPr fontId="7" type="noConversion"/>
  <pageMargins left="0.7" right="0.7" top="0.75" bottom="0.75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DD485-6023-4081-ABFA-34390487192A}">
  <dimension ref="A1:K65"/>
  <sheetViews>
    <sheetView tabSelected="1" topLeftCell="A41" zoomScaleNormal="100" workbookViewId="0">
      <selection activeCell="H49" sqref="H49"/>
    </sheetView>
  </sheetViews>
  <sheetFormatPr baseColWidth="10" defaultColWidth="9.33203125" defaultRowHeight="11.25" x14ac:dyDescent="0.2"/>
  <cols>
    <col min="1" max="1" width="5.5" style="20" customWidth="1"/>
    <col min="2" max="2" width="45.83203125" style="6" customWidth="1"/>
    <col min="3" max="3" width="10.5" style="6" customWidth="1"/>
    <col min="4" max="4" width="9.6640625" style="6" customWidth="1"/>
    <col min="5" max="5" width="16.1640625" style="20" customWidth="1"/>
    <col min="6" max="6" width="20.33203125" style="6" customWidth="1"/>
    <col min="7" max="7" width="18.5" style="20" customWidth="1"/>
    <col min="8" max="8" width="24.33203125" style="6" customWidth="1"/>
    <col min="9" max="9" width="18.5" style="191" customWidth="1"/>
    <col min="10" max="10" width="18.1640625" style="6" customWidth="1"/>
    <col min="11" max="11" width="18.33203125" style="6" customWidth="1"/>
    <col min="12" max="16384" width="9.33203125" style="6"/>
  </cols>
  <sheetData>
    <row r="1" spans="1:10" ht="83.25" customHeight="1" x14ac:dyDescent="0.2">
      <c r="A1" s="200" t="s">
        <v>103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ht="34.5" customHeight="1" x14ac:dyDescent="0.2">
      <c r="A2" s="203" t="s">
        <v>14</v>
      </c>
      <c r="B2" s="203"/>
      <c r="C2" s="203"/>
      <c r="D2" s="203"/>
      <c r="E2" s="203"/>
      <c r="F2" s="203"/>
      <c r="G2" s="203"/>
      <c r="H2" s="203"/>
      <c r="I2" s="203"/>
      <c r="J2" s="203"/>
    </row>
    <row r="3" spans="1:10" ht="37.5" customHeight="1" x14ac:dyDescent="0.2">
      <c r="A3" s="4" t="s">
        <v>0</v>
      </c>
      <c r="B3" s="4" t="s">
        <v>1</v>
      </c>
      <c r="C3" s="4" t="s">
        <v>15</v>
      </c>
      <c r="D3" s="4" t="s">
        <v>109</v>
      </c>
      <c r="E3" s="4" t="s">
        <v>12</v>
      </c>
      <c r="F3" s="4" t="s">
        <v>13</v>
      </c>
      <c r="G3" s="157" t="s">
        <v>89</v>
      </c>
      <c r="H3" s="193" t="s">
        <v>88</v>
      </c>
      <c r="I3" s="188" t="s">
        <v>90</v>
      </c>
      <c r="J3" s="157" t="s">
        <v>91</v>
      </c>
    </row>
    <row r="4" spans="1:10" ht="9" customHeight="1" x14ac:dyDescent="0.2">
      <c r="A4" s="21">
        <v>1</v>
      </c>
      <c r="B4" s="156" t="s">
        <v>17</v>
      </c>
      <c r="C4" s="19"/>
      <c r="D4" s="19"/>
      <c r="E4" s="7"/>
      <c r="F4" s="19"/>
      <c r="G4" s="11"/>
      <c r="H4" s="16"/>
      <c r="I4" s="44"/>
      <c r="J4" s="16"/>
    </row>
    <row r="5" spans="1:10" ht="9.9499999999999993" customHeight="1" x14ac:dyDescent="0.2">
      <c r="A5" s="23">
        <v>1.1000000000000001</v>
      </c>
      <c r="B5" s="156" t="s">
        <v>18</v>
      </c>
      <c r="C5" s="19"/>
      <c r="D5" s="19"/>
      <c r="E5" s="7"/>
      <c r="F5" s="19"/>
      <c r="G5" s="11"/>
      <c r="H5" s="16"/>
      <c r="I5" s="44"/>
      <c r="J5" s="16"/>
    </row>
    <row r="6" spans="1:10" ht="72.95" customHeight="1" x14ac:dyDescent="0.2">
      <c r="A6" s="2" t="s">
        <v>19</v>
      </c>
      <c r="B6" s="54" t="s">
        <v>20</v>
      </c>
      <c r="C6" s="2" t="s">
        <v>21</v>
      </c>
      <c r="D6" s="8">
        <v>1</v>
      </c>
      <c r="E6" s="24">
        <v>620000</v>
      </c>
      <c r="F6" s="24">
        <f>+E6*D6</f>
        <v>620000</v>
      </c>
      <c r="G6" s="11"/>
      <c r="H6" s="15">
        <f>+G6*E6</f>
        <v>0</v>
      </c>
      <c r="I6" s="44">
        <f>+D6</f>
        <v>1</v>
      </c>
      <c r="J6" s="17">
        <f>+I6*E6</f>
        <v>620000</v>
      </c>
    </row>
    <row r="7" spans="1:10" ht="42" customHeight="1" x14ac:dyDescent="0.2">
      <c r="A7" s="2" t="s">
        <v>22</v>
      </c>
      <c r="B7" s="54" t="s">
        <v>23</v>
      </c>
      <c r="C7" s="2" t="s">
        <v>21</v>
      </c>
      <c r="D7" s="8">
        <v>3</v>
      </c>
      <c r="E7" s="24">
        <v>2528050</v>
      </c>
      <c r="F7" s="24">
        <f t="shared" ref="F7:F29" si="0">+E7*D7</f>
        <v>7584150</v>
      </c>
      <c r="G7" s="11"/>
      <c r="H7" s="15">
        <f t="shared" ref="H7:H42" si="1">+G7*E7</f>
        <v>0</v>
      </c>
      <c r="I7" s="44">
        <f t="shared" ref="I7:I9" si="2">+D7</f>
        <v>3</v>
      </c>
      <c r="J7" s="17">
        <f t="shared" ref="J7:J29" si="3">+I7*E7</f>
        <v>7584150</v>
      </c>
    </row>
    <row r="8" spans="1:10" ht="38.1" customHeight="1" x14ac:dyDescent="0.2">
      <c r="A8" s="2" t="s">
        <v>24</v>
      </c>
      <c r="B8" s="54" t="s">
        <v>25</v>
      </c>
      <c r="C8" s="2" t="s">
        <v>21</v>
      </c>
      <c r="D8" s="8">
        <v>3</v>
      </c>
      <c r="E8" s="24">
        <v>2528050</v>
      </c>
      <c r="F8" s="24">
        <f t="shared" si="0"/>
        <v>7584150</v>
      </c>
      <c r="G8" s="11"/>
      <c r="H8" s="15">
        <f t="shared" si="1"/>
        <v>0</v>
      </c>
      <c r="I8" s="44">
        <f t="shared" si="2"/>
        <v>3</v>
      </c>
      <c r="J8" s="17">
        <f t="shared" si="3"/>
        <v>7584150</v>
      </c>
    </row>
    <row r="9" spans="1:10" ht="77.099999999999994" customHeight="1" x14ac:dyDescent="0.2">
      <c r="A9" s="2" t="s">
        <v>26</v>
      </c>
      <c r="B9" s="54" t="s">
        <v>27</v>
      </c>
      <c r="C9" s="2" t="s">
        <v>21</v>
      </c>
      <c r="D9" s="8">
        <v>1</v>
      </c>
      <c r="E9" s="24">
        <v>620000</v>
      </c>
      <c r="F9" s="24">
        <f t="shared" si="0"/>
        <v>620000</v>
      </c>
      <c r="G9" s="11"/>
      <c r="H9" s="15">
        <f t="shared" si="1"/>
        <v>0</v>
      </c>
      <c r="I9" s="44">
        <f t="shared" si="2"/>
        <v>1</v>
      </c>
      <c r="J9" s="17">
        <f t="shared" si="3"/>
        <v>620000</v>
      </c>
    </row>
    <row r="10" spans="1:10" ht="11.25" customHeight="1" x14ac:dyDescent="0.2">
      <c r="A10" s="7"/>
      <c r="B10" s="156" t="s">
        <v>28</v>
      </c>
      <c r="C10" s="19"/>
      <c r="D10" s="7"/>
      <c r="E10" s="2"/>
      <c r="F10" s="197">
        <f>SUM(F6:F9)</f>
        <v>16408300</v>
      </c>
      <c r="G10" s="11"/>
      <c r="H10" s="14">
        <f>SUM(H6:H9)</f>
        <v>0</v>
      </c>
      <c r="I10" s="189"/>
      <c r="J10" s="199">
        <f>SUM(J6:J9)</f>
        <v>16408300</v>
      </c>
    </row>
    <row r="11" spans="1:10" ht="11.25" customHeight="1" x14ac:dyDescent="0.2">
      <c r="A11" s="21">
        <v>2</v>
      </c>
      <c r="B11" s="156" t="s">
        <v>29</v>
      </c>
      <c r="C11" s="19"/>
      <c r="D11" s="7"/>
      <c r="E11" s="2"/>
      <c r="F11" s="1"/>
      <c r="G11" s="11"/>
      <c r="H11" s="15"/>
      <c r="I11" s="44"/>
      <c r="J11" s="17"/>
    </row>
    <row r="12" spans="1:10" ht="11.25" customHeight="1" x14ac:dyDescent="0.2">
      <c r="A12" s="2" t="s">
        <v>30</v>
      </c>
      <c r="B12" s="18" t="s">
        <v>31</v>
      </c>
      <c r="C12" s="2" t="s">
        <v>21</v>
      </c>
      <c r="D12" s="8">
        <v>1</v>
      </c>
      <c r="E12" s="24">
        <v>46500</v>
      </c>
      <c r="F12" s="24">
        <f t="shared" si="0"/>
        <v>46500</v>
      </c>
      <c r="G12" s="11"/>
      <c r="H12" s="15">
        <f t="shared" si="1"/>
        <v>0</v>
      </c>
      <c r="I12" s="44">
        <f>+D12+G12</f>
        <v>1</v>
      </c>
      <c r="J12" s="17">
        <f t="shared" si="3"/>
        <v>46500</v>
      </c>
    </row>
    <row r="13" spans="1:10" ht="11.25" customHeight="1" x14ac:dyDescent="0.2">
      <c r="A13" s="2" t="s">
        <v>33</v>
      </c>
      <c r="B13" s="18" t="s">
        <v>34</v>
      </c>
      <c r="C13" s="2" t="s">
        <v>35</v>
      </c>
      <c r="D13" s="8">
        <v>3</v>
      </c>
      <c r="E13" s="24">
        <v>9300</v>
      </c>
      <c r="F13" s="24">
        <f t="shared" si="0"/>
        <v>27900</v>
      </c>
      <c r="G13" s="11">
        <v>32</v>
      </c>
      <c r="H13" s="15">
        <f t="shared" si="1"/>
        <v>297600</v>
      </c>
      <c r="I13" s="44">
        <v>35</v>
      </c>
      <c r="J13" s="17">
        <f t="shared" si="3"/>
        <v>325500</v>
      </c>
    </row>
    <row r="14" spans="1:10" ht="36.75" customHeight="1" x14ac:dyDescent="0.2">
      <c r="A14" s="2" t="s">
        <v>36</v>
      </c>
      <c r="B14" s="18" t="s">
        <v>2</v>
      </c>
      <c r="C14" s="2" t="s">
        <v>21</v>
      </c>
      <c r="D14" s="8">
        <v>5</v>
      </c>
      <c r="E14" s="24">
        <v>193750</v>
      </c>
      <c r="F14" s="24">
        <f t="shared" si="0"/>
        <v>968750</v>
      </c>
      <c r="G14" s="11">
        <v>25</v>
      </c>
      <c r="H14" s="15">
        <f t="shared" si="1"/>
        <v>4843750</v>
      </c>
      <c r="I14" s="44">
        <v>30</v>
      </c>
      <c r="J14" s="17">
        <f t="shared" si="3"/>
        <v>5812500</v>
      </c>
    </row>
    <row r="15" spans="1:10" ht="34.5" customHeight="1" x14ac:dyDescent="0.2">
      <c r="A15" s="2" t="s">
        <v>37</v>
      </c>
      <c r="B15" s="54" t="s">
        <v>172</v>
      </c>
      <c r="C15" s="2" t="s">
        <v>21</v>
      </c>
      <c r="D15" s="8">
        <v>3</v>
      </c>
      <c r="E15" s="24">
        <v>271250</v>
      </c>
      <c r="F15" s="24">
        <f t="shared" si="0"/>
        <v>813750</v>
      </c>
      <c r="G15" s="11"/>
      <c r="H15" s="17">
        <f t="shared" si="1"/>
        <v>0</v>
      </c>
      <c r="I15" s="44">
        <f t="shared" ref="I13:I23" si="4">+D15+G15</f>
        <v>3</v>
      </c>
      <c r="J15" s="17">
        <f t="shared" si="3"/>
        <v>813750</v>
      </c>
    </row>
    <row r="16" spans="1:10" ht="18.75" customHeight="1" x14ac:dyDescent="0.2">
      <c r="A16" s="2" t="s">
        <v>38</v>
      </c>
      <c r="B16" s="18" t="s">
        <v>39</v>
      </c>
      <c r="C16" s="2" t="s">
        <v>21</v>
      </c>
      <c r="D16" s="8">
        <v>1</v>
      </c>
      <c r="E16" s="25">
        <v>1550000</v>
      </c>
      <c r="F16" s="24">
        <f t="shared" si="0"/>
        <v>1550000</v>
      </c>
      <c r="G16" s="11"/>
      <c r="H16" s="15">
        <f t="shared" si="1"/>
        <v>0</v>
      </c>
      <c r="I16" s="44">
        <f t="shared" si="4"/>
        <v>1</v>
      </c>
      <c r="J16" s="17">
        <f t="shared" si="3"/>
        <v>1550000</v>
      </c>
    </row>
    <row r="17" spans="1:11" ht="10.5" customHeight="1" x14ac:dyDescent="0.2">
      <c r="A17" s="2" t="s">
        <v>40</v>
      </c>
      <c r="B17" s="18" t="s">
        <v>41</v>
      </c>
      <c r="C17" s="2" t="s">
        <v>21</v>
      </c>
      <c r="D17" s="8">
        <v>1</v>
      </c>
      <c r="E17" s="25">
        <v>2325000</v>
      </c>
      <c r="F17" s="24">
        <f t="shared" si="0"/>
        <v>2325000</v>
      </c>
      <c r="G17" s="11"/>
      <c r="H17" s="15">
        <f t="shared" si="1"/>
        <v>0</v>
      </c>
      <c r="I17" s="44">
        <f t="shared" si="4"/>
        <v>1</v>
      </c>
      <c r="J17" s="17">
        <f t="shared" si="3"/>
        <v>2325000</v>
      </c>
    </row>
    <row r="18" spans="1:11" ht="18" customHeight="1" x14ac:dyDescent="0.2">
      <c r="A18" s="2" t="s">
        <v>42</v>
      </c>
      <c r="B18" s="18" t="s">
        <v>43</v>
      </c>
      <c r="C18" s="2" t="s">
        <v>21</v>
      </c>
      <c r="D18" s="8">
        <v>1</v>
      </c>
      <c r="E18" s="25">
        <v>1937500</v>
      </c>
      <c r="F18" s="24">
        <f t="shared" si="0"/>
        <v>1937500</v>
      </c>
      <c r="G18" s="11"/>
      <c r="H18" s="15">
        <f t="shared" si="1"/>
        <v>0</v>
      </c>
      <c r="I18" s="44">
        <f t="shared" si="4"/>
        <v>1</v>
      </c>
      <c r="J18" s="17">
        <f t="shared" si="3"/>
        <v>1937500</v>
      </c>
    </row>
    <row r="19" spans="1:11" ht="15" customHeight="1" x14ac:dyDescent="0.2">
      <c r="A19" s="2" t="s">
        <v>44</v>
      </c>
      <c r="B19" s="18" t="s">
        <v>45</v>
      </c>
      <c r="C19" s="2" t="s">
        <v>21</v>
      </c>
      <c r="D19" s="8">
        <v>1</v>
      </c>
      <c r="E19" s="25">
        <v>69750</v>
      </c>
      <c r="F19" s="24">
        <f t="shared" si="0"/>
        <v>69750</v>
      </c>
      <c r="G19" s="11"/>
      <c r="H19" s="15">
        <f t="shared" si="1"/>
        <v>0</v>
      </c>
      <c r="I19" s="44">
        <f t="shared" si="4"/>
        <v>1</v>
      </c>
      <c r="J19" s="17">
        <f t="shared" si="3"/>
        <v>69750</v>
      </c>
    </row>
    <row r="20" spans="1:11" ht="14.25" customHeight="1" x14ac:dyDescent="0.2">
      <c r="A20" s="2" t="s">
        <v>46</v>
      </c>
      <c r="B20" s="18" t="s">
        <v>47</v>
      </c>
      <c r="C20" s="2" t="s">
        <v>21</v>
      </c>
      <c r="D20" s="8">
        <v>1</v>
      </c>
      <c r="E20" s="25">
        <v>93000</v>
      </c>
      <c r="F20" s="24">
        <f t="shared" si="0"/>
        <v>93000</v>
      </c>
      <c r="G20" s="11"/>
      <c r="H20" s="15">
        <f t="shared" si="1"/>
        <v>0</v>
      </c>
      <c r="I20" s="44">
        <f t="shared" si="4"/>
        <v>1</v>
      </c>
      <c r="J20" s="17">
        <f t="shared" si="3"/>
        <v>93000</v>
      </c>
    </row>
    <row r="21" spans="1:11" ht="20.25" customHeight="1" x14ac:dyDescent="0.2">
      <c r="A21" s="2" t="s">
        <v>48</v>
      </c>
      <c r="B21" s="18" t="s">
        <v>3</v>
      </c>
      <c r="C21" s="2" t="s">
        <v>93</v>
      </c>
      <c r="D21" s="8">
        <v>750</v>
      </c>
      <c r="E21" s="24">
        <v>6200</v>
      </c>
      <c r="F21" s="24">
        <f t="shared" si="0"/>
        <v>4650000</v>
      </c>
      <c r="G21" s="11">
        <f>12+20+5+35+4+16.5+6+6+6+35+30+60+20+35+20+87</f>
        <v>397.5</v>
      </c>
      <c r="H21" s="15">
        <f t="shared" si="1"/>
        <v>2464500</v>
      </c>
      <c r="I21" s="44">
        <f t="shared" si="4"/>
        <v>1147.5</v>
      </c>
      <c r="J21" s="17">
        <f t="shared" si="3"/>
        <v>7114500</v>
      </c>
    </row>
    <row r="22" spans="1:11" ht="11.25" customHeight="1" x14ac:dyDescent="0.2">
      <c r="A22" s="2" t="s">
        <v>50</v>
      </c>
      <c r="B22" s="18" t="s">
        <v>51</v>
      </c>
      <c r="C22" s="2" t="s">
        <v>21</v>
      </c>
      <c r="D22" s="8">
        <v>1</v>
      </c>
      <c r="E22" s="24">
        <v>38750</v>
      </c>
      <c r="F22" s="24">
        <f t="shared" si="0"/>
        <v>38750</v>
      </c>
      <c r="G22" s="11"/>
      <c r="H22" s="15">
        <f t="shared" si="1"/>
        <v>0</v>
      </c>
      <c r="I22" s="44">
        <f t="shared" si="4"/>
        <v>1</v>
      </c>
      <c r="J22" s="17">
        <f t="shared" si="3"/>
        <v>38750</v>
      </c>
    </row>
    <row r="23" spans="1:11" ht="11.25" customHeight="1" x14ac:dyDescent="0.2">
      <c r="A23" s="2" t="s">
        <v>52</v>
      </c>
      <c r="B23" s="18" t="s">
        <v>53</v>
      </c>
      <c r="C23" s="2" t="s">
        <v>93</v>
      </c>
      <c r="D23" s="8">
        <v>60</v>
      </c>
      <c r="E23" s="24">
        <v>9300</v>
      </c>
      <c r="F23" s="24">
        <f t="shared" si="0"/>
        <v>558000</v>
      </c>
      <c r="G23" s="11"/>
      <c r="H23" s="15">
        <f t="shared" si="1"/>
        <v>0</v>
      </c>
      <c r="I23" s="44">
        <f t="shared" si="4"/>
        <v>60</v>
      </c>
      <c r="J23" s="17">
        <f t="shared" si="3"/>
        <v>558000</v>
      </c>
    </row>
    <row r="24" spans="1:11" ht="21.75" customHeight="1" x14ac:dyDescent="0.2">
      <c r="A24" s="7"/>
      <c r="B24" s="156" t="s">
        <v>54</v>
      </c>
      <c r="C24" s="19"/>
      <c r="D24" s="7"/>
      <c r="E24" s="7"/>
      <c r="F24" s="197">
        <f>SUM(F11:F23)</f>
        <v>13078900</v>
      </c>
      <c r="G24" s="11"/>
      <c r="H24" s="14">
        <f>SUM(H11:H23)</f>
        <v>7605850</v>
      </c>
      <c r="I24" s="189"/>
      <c r="J24" s="199">
        <f>SUM(J11:J23)</f>
        <v>20684750</v>
      </c>
    </row>
    <row r="25" spans="1:11" ht="9.9499999999999993" customHeight="1" x14ac:dyDescent="0.2">
      <c r="A25" s="21">
        <v>3</v>
      </c>
      <c r="B25" s="156" t="s">
        <v>55</v>
      </c>
      <c r="C25" s="19"/>
      <c r="D25" s="7"/>
      <c r="E25" s="7"/>
      <c r="F25" s="1"/>
      <c r="G25" s="11"/>
      <c r="H25" s="15">
        <f t="shared" si="1"/>
        <v>0</v>
      </c>
      <c r="I25" s="44"/>
      <c r="J25" s="17">
        <f t="shared" si="3"/>
        <v>0</v>
      </c>
    </row>
    <row r="26" spans="1:11" ht="48.95" customHeight="1" x14ac:dyDescent="0.2">
      <c r="A26" s="2" t="s">
        <v>56</v>
      </c>
      <c r="B26" s="54" t="s">
        <v>57</v>
      </c>
      <c r="C26" s="2" t="s">
        <v>21</v>
      </c>
      <c r="D26" s="8">
        <v>1</v>
      </c>
      <c r="E26" s="27">
        <v>2325000</v>
      </c>
      <c r="F26" s="24">
        <f t="shared" si="0"/>
        <v>2325000</v>
      </c>
      <c r="G26" s="11"/>
      <c r="H26" s="28">
        <f t="shared" si="1"/>
        <v>0</v>
      </c>
      <c r="I26" s="44">
        <f>+D26+G26</f>
        <v>1</v>
      </c>
      <c r="J26" s="17">
        <f t="shared" si="3"/>
        <v>2325000</v>
      </c>
    </row>
    <row r="27" spans="1:11" ht="45.95" customHeight="1" x14ac:dyDescent="0.2">
      <c r="A27" s="2" t="s">
        <v>58</v>
      </c>
      <c r="B27" s="54" t="s">
        <v>59</v>
      </c>
      <c r="C27" s="2" t="s">
        <v>21</v>
      </c>
      <c r="D27" s="8">
        <v>40</v>
      </c>
      <c r="E27" s="27">
        <f>2712500/40</f>
        <v>67812.5</v>
      </c>
      <c r="F27" s="24">
        <f>+E27*D27</f>
        <v>2712500</v>
      </c>
      <c r="G27" s="11"/>
      <c r="H27" s="28">
        <f t="shared" si="1"/>
        <v>0</v>
      </c>
      <c r="I27" s="44">
        <v>40</v>
      </c>
      <c r="J27" s="17">
        <f>+I27*E27</f>
        <v>2712500</v>
      </c>
    </row>
    <row r="28" spans="1:11" ht="56.1" customHeight="1" x14ac:dyDescent="0.2">
      <c r="A28" s="2" t="s">
        <v>60</v>
      </c>
      <c r="B28" s="54" t="s">
        <v>4</v>
      </c>
      <c r="C28" s="2" t="s">
        <v>21</v>
      </c>
      <c r="D28" s="8">
        <v>30</v>
      </c>
      <c r="E28" s="172">
        <f>7750000/30</f>
        <v>258333.33333333334</v>
      </c>
      <c r="F28" s="24">
        <f t="shared" si="0"/>
        <v>7750000</v>
      </c>
      <c r="G28" s="11">
        <v>5</v>
      </c>
      <c r="H28" s="28">
        <f t="shared" si="1"/>
        <v>1291666.6666666667</v>
      </c>
      <c r="I28" s="44">
        <v>35</v>
      </c>
      <c r="J28" s="17">
        <f t="shared" si="3"/>
        <v>9041666.6666666679</v>
      </c>
      <c r="K28" s="10"/>
    </row>
    <row r="29" spans="1:11" ht="59.25" customHeight="1" x14ac:dyDescent="0.2">
      <c r="A29" s="2" t="s">
        <v>61</v>
      </c>
      <c r="B29" s="54" t="s">
        <v>62</v>
      </c>
      <c r="C29" s="2" t="s">
        <v>21</v>
      </c>
      <c r="D29" s="8">
        <v>4</v>
      </c>
      <c r="E29" s="172">
        <f>7750000/4</f>
        <v>1937500</v>
      </c>
      <c r="F29" s="24">
        <f t="shared" si="0"/>
        <v>7750000</v>
      </c>
      <c r="G29" s="11"/>
      <c r="H29" s="28">
        <f t="shared" si="1"/>
        <v>0</v>
      </c>
      <c r="I29" s="44">
        <f t="shared" ref="I29:I40" si="5">+D29+G29</f>
        <v>4</v>
      </c>
      <c r="J29" s="17">
        <f t="shared" si="3"/>
        <v>7750000</v>
      </c>
      <c r="K29" s="192">
        <f>+H29-J29</f>
        <v>-7750000</v>
      </c>
    </row>
    <row r="30" spans="1:11" ht="30.75" customHeight="1" x14ac:dyDescent="0.2">
      <c r="A30" s="202" t="s">
        <v>14</v>
      </c>
      <c r="B30" s="202"/>
      <c r="C30" s="202"/>
      <c r="D30" s="202"/>
      <c r="E30" s="202"/>
      <c r="F30" s="202"/>
      <c r="G30" s="11"/>
      <c r="H30" s="15"/>
      <c r="I30" s="44"/>
      <c r="J30" s="17"/>
    </row>
    <row r="31" spans="1:11" ht="9.9499999999999993" customHeight="1" x14ac:dyDescent="0.2">
      <c r="A31" s="4" t="s">
        <v>0</v>
      </c>
      <c r="B31" s="4" t="s">
        <v>1</v>
      </c>
      <c r="C31" s="4" t="s">
        <v>15</v>
      </c>
      <c r="D31" s="156" t="s">
        <v>16</v>
      </c>
      <c r="E31" s="2" t="s">
        <v>12</v>
      </c>
      <c r="F31" s="2" t="s">
        <v>13</v>
      </c>
      <c r="G31" s="11"/>
      <c r="H31" s="15"/>
      <c r="I31" s="44"/>
      <c r="J31" s="17"/>
    </row>
    <row r="32" spans="1:11" ht="60" customHeight="1" x14ac:dyDescent="0.2">
      <c r="A32" s="2" t="s">
        <v>63</v>
      </c>
      <c r="B32" s="54" t="s">
        <v>64</v>
      </c>
      <c r="C32" s="2" t="s">
        <v>21</v>
      </c>
      <c r="D32" s="8">
        <v>4</v>
      </c>
      <c r="E32" s="172">
        <f>6975000/D32</f>
        <v>1743750</v>
      </c>
      <c r="F32" s="24">
        <f>+E32*D32</f>
        <v>6975000</v>
      </c>
      <c r="G32" s="11">
        <v>1</v>
      </c>
      <c r="H32" s="15">
        <f t="shared" si="1"/>
        <v>1743750</v>
      </c>
      <c r="I32" s="44">
        <v>5</v>
      </c>
      <c r="J32" s="17">
        <f>+I32*E32</f>
        <v>8718750</v>
      </c>
      <c r="K32" s="192">
        <f>+H32-J32</f>
        <v>-6975000</v>
      </c>
    </row>
    <row r="33" spans="1:11" ht="18.75" customHeight="1" x14ac:dyDescent="0.2">
      <c r="A33" s="2" t="s">
        <v>66</v>
      </c>
      <c r="B33" s="18" t="s">
        <v>74</v>
      </c>
      <c r="C33" s="2" t="s">
        <v>93</v>
      </c>
      <c r="D33" s="8"/>
      <c r="E33" s="25">
        <v>4100</v>
      </c>
      <c r="F33" s="24"/>
      <c r="G33" s="7">
        <v>1200</v>
      </c>
      <c r="H33" s="15">
        <f t="shared" si="1"/>
        <v>4920000</v>
      </c>
      <c r="I33" s="44">
        <f t="shared" si="5"/>
        <v>1200</v>
      </c>
      <c r="J33" s="17">
        <f>+I33*E33</f>
        <v>4920000</v>
      </c>
      <c r="K33" s="192">
        <f>+H33-J33</f>
        <v>0</v>
      </c>
    </row>
    <row r="34" spans="1:11" ht="23.25" customHeight="1" x14ac:dyDescent="0.2">
      <c r="A34" s="2" t="s">
        <v>67</v>
      </c>
      <c r="B34" s="18" t="s">
        <v>129</v>
      </c>
      <c r="C34" s="2" t="s">
        <v>93</v>
      </c>
      <c r="D34" s="8"/>
      <c r="E34" s="25">
        <v>22500</v>
      </c>
      <c r="F34" s="24"/>
      <c r="G34" s="11">
        <f>3.9+3.1+2.5</f>
        <v>9.5</v>
      </c>
      <c r="H34" s="15">
        <f t="shared" si="1"/>
        <v>213750</v>
      </c>
      <c r="I34" s="44">
        <f t="shared" si="5"/>
        <v>9.5</v>
      </c>
      <c r="J34" s="17">
        <f t="shared" ref="J34:J41" si="6">+I34*E34</f>
        <v>213750</v>
      </c>
      <c r="K34" s="192">
        <f>+H34-J34</f>
        <v>0</v>
      </c>
    </row>
    <row r="35" spans="1:11" ht="42" customHeight="1" x14ac:dyDescent="0.2">
      <c r="A35" s="2" t="s">
        <v>68</v>
      </c>
      <c r="B35" s="18" t="s">
        <v>130</v>
      </c>
      <c r="C35" s="2" t="s">
        <v>93</v>
      </c>
      <c r="D35" s="8"/>
      <c r="E35" s="25">
        <v>85500</v>
      </c>
      <c r="F35" s="24"/>
      <c r="G35" s="11">
        <f>3.9+3.1+2.5</f>
        <v>9.5</v>
      </c>
      <c r="H35" s="15">
        <f t="shared" si="1"/>
        <v>812250</v>
      </c>
      <c r="I35" s="44">
        <f t="shared" si="5"/>
        <v>9.5</v>
      </c>
      <c r="J35" s="17">
        <f t="shared" si="6"/>
        <v>812250</v>
      </c>
      <c r="K35" s="192">
        <f>+H35-J35</f>
        <v>0</v>
      </c>
    </row>
    <row r="36" spans="1:11" ht="13.5" customHeight="1" x14ac:dyDescent="0.2">
      <c r="A36" s="2" t="s">
        <v>69</v>
      </c>
      <c r="B36" s="18" t="s">
        <v>131</v>
      </c>
      <c r="C36" s="2" t="s">
        <v>93</v>
      </c>
      <c r="D36" s="8"/>
      <c r="E36" s="25">
        <v>17500</v>
      </c>
      <c r="F36" s="24"/>
      <c r="G36" s="11">
        <v>4.5</v>
      </c>
      <c r="H36" s="15">
        <f t="shared" si="1"/>
        <v>78750</v>
      </c>
      <c r="I36" s="44">
        <f t="shared" si="5"/>
        <v>4.5</v>
      </c>
      <c r="J36" s="17">
        <f t="shared" si="6"/>
        <v>78750</v>
      </c>
      <c r="K36" s="192">
        <f>+H36-J36</f>
        <v>0</v>
      </c>
    </row>
    <row r="37" spans="1:11" ht="26.25" customHeight="1" x14ac:dyDescent="0.2">
      <c r="A37" s="2" t="s">
        <v>70</v>
      </c>
      <c r="B37" s="18" t="s">
        <v>187</v>
      </c>
      <c r="C37" s="2" t="s">
        <v>93</v>
      </c>
      <c r="D37" s="8"/>
      <c r="E37" s="25">
        <f>126900/2.4+15862</f>
        <v>68737</v>
      </c>
      <c r="F37" s="24"/>
      <c r="G37" s="11">
        <f>2.4+4+4+8+1.5</f>
        <v>19.899999999999999</v>
      </c>
      <c r="H37" s="15">
        <f t="shared" si="1"/>
        <v>1367866.2999999998</v>
      </c>
      <c r="I37" s="44">
        <f t="shared" si="5"/>
        <v>19.899999999999999</v>
      </c>
      <c r="J37" s="17">
        <f t="shared" si="6"/>
        <v>1367866.2999999998</v>
      </c>
      <c r="K37" s="192">
        <f>+H37-J37</f>
        <v>0</v>
      </c>
    </row>
    <row r="38" spans="1:11" ht="13.5" customHeight="1" x14ac:dyDescent="0.2">
      <c r="A38" s="2" t="s">
        <v>71</v>
      </c>
      <c r="B38" s="18" t="s">
        <v>79</v>
      </c>
      <c r="C38" s="2" t="s">
        <v>21</v>
      </c>
      <c r="D38" s="8"/>
      <c r="E38" s="25">
        <v>450000</v>
      </c>
      <c r="F38" s="24"/>
      <c r="G38" s="11">
        <v>1</v>
      </c>
      <c r="H38" s="15">
        <f t="shared" si="1"/>
        <v>450000</v>
      </c>
      <c r="I38" s="44">
        <f t="shared" si="5"/>
        <v>1</v>
      </c>
      <c r="J38" s="17">
        <f t="shared" si="6"/>
        <v>450000</v>
      </c>
      <c r="K38" s="192">
        <f>+H38-J38</f>
        <v>0</v>
      </c>
    </row>
    <row r="39" spans="1:11" ht="35.25" customHeight="1" x14ac:dyDescent="0.2">
      <c r="A39" s="2" t="s">
        <v>72</v>
      </c>
      <c r="B39" s="54" t="s">
        <v>134</v>
      </c>
      <c r="C39" s="2" t="s">
        <v>93</v>
      </c>
      <c r="D39" s="8"/>
      <c r="E39" s="25">
        <f>16700+1640+5500</f>
        <v>23840</v>
      </c>
      <c r="F39" s="24"/>
      <c r="G39" s="26">
        <v>196</v>
      </c>
      <c r="H39" s="15">
        <f t="shared" si="1"/>
        <v>4672640</v>
      </c>
      <c r="I39" s="44">
        <v>196</v>
      </c>
      <c r="J39" s="17">
        <f t="shared" si="6"/>
        <v>4672640</v>
      </c>
      <c r="K39" s="192">
        <f>+H39-J39</f>
        <v>0</v>
      </c>
    </row>
    <row r="40" spans="1:11" ht="45" customHeight="1" x14ac:dyDescent="0.2">
      <c r="A40" s="2" t="s">
        <v>80</v>
      </c>
      <c r="B40" s="18" t="s">
        <v>133</v>
      </c>
      <c r="C40" s="2" t="s">
        <v>21</v>
      </c>
      <c r="D40" s="8"/>
      <c r="E40" s="3">
        <f>193750*40%</f>
        <v>77500</v>
      </c>
      <c r="F40" s="1"/>
      <c r="G40" s="11">
        <v>2</v>
      </c>
      <c r="H40" s="15">
        <f t="shared" si="1"/>
        <v>155000</v>
      </c>
      <c r="I40" s="44">
        <f t="shared" si="5"/>
        <v>2</v>
      </c>
      <c r="J40" s="17">
        <f t="shared" si="6"/>
        <v>155000</v>
      </c>
      <c r="K40" s="192">
        <f>+H40-J40</f>
        <v>0</v>
      </c>
    </row>
    <row r="41" spans="1:11" ht="32.25" customHeight="1" x14ac:dyDescent="0.2">
      <c r="A41" s="2" t="s">
        <v>81</v>
      </c>
      <c r="B41" s="54" t="s">
        <v>132</v>
      </c>
      <c r="C41" s="2" t="s">
        <v>97</v>
      </c>
      <c r="D41" s="8"/>
      <c r="E41" s="3">
        <v>20500</v>
      </c>
      <c r="F41" s="1"/>
      <c r="G41" s="11">
        <v>147</v>
      </c>
      <c r="H41" s="15">
        <f t="shared" si="1"/>
        <v>3013500</v>
      </c>
      <c r="I41" s="26">
        <f>122+25</f>
        <v>147</v>
      </c>
      <c r="J41" s="17">
        <f t="shared" si="6"/>
        <v>3013500</v>
      </c>
      <c r="K41" s="192">
        <f>+H41-J41</f>
        <v>0</v>
      </c>
    </row>
    <row r="42" spans="1:11" ht="4.5" customHeight="1" x14ac:dyDescent="0.2">
      <c r="A42" s="2"/>
      <c r="B42" s="18"/>
      <c r="C42" s="2"/>
      <c r="D42" s="8"/>
      <c r="E42" s="3"/>
      <c r="F42" s="1"/>
      <c r="G42" s="11"/>
      <c r="H42" s="15">
        <f t="shared" si="1"/>
        <v>0</v>
      </c>
      <c r="I42" s="44"/>
      <c r="J42" s="17"/>
    </row>
    <row r="43" spans="1:11" x14ac:dyDescent="0.2">
      <c r="A43" s="201" t="s">
        <v>8</v>
      </c>
      <c r="B43" s="201"/>
      <c r="C43" s="201"/>
      <c r="D43" s="201"/>
      <c r="E43" s="11"/>
      <c r="F43" s="196">
        <f>+F26+F27+F28+F29+F32</f>
        <v>27512500</v>
      </c>
      <c r="G43" s="155"/>
      <c r="H43" s="33">
        <f>SUM(H26:H42)</f>
        <v>18719172.966666669</v>
      </c>
      <c r="I43" s="190"/>
      <c r="J43" s="198">
        <f>SUM(J26:J41)</f>
        <v>46231672.966666669</v>
      </c>
    </row>
    <row r="44" spans="1:11" x14ac:dyDescent="0.2">
      <c r="A44" s="201" t="s">
        <v>7</v>
      </c>
      <c r="B44" s="201"/>
      <c r="C44" s="201"/>
      <c r="D44" s="201"/>
      <c r="E44" s="11"/>
      <c r="F44" s="12">
        <f>+F43+F24+F10</f>
        <v>56999700</v>
      </c>
      <c r="G44" s="11"/>
      <c r="H44" s="12">
        <f>+H43+H24+H10</f>
        <v>26325022.966666669</v>
      </c>
      <c r="I44" s="44"/>
      <c r="J44" s="12">
        <f>+J43+J24+J10</f>
        <v>83324722.966666669</v>
      </c>
    </row>
    <row r="45" spans="1:11" x14ac:dyDescent="0.2">
      <c r="A45" s="201" t="s">
        <v>5</v>
      </c>
      <c r="B45" s="201"/>
      <c r="C45" s="201"/>
      <c r="D45" s="201"/>
      <c r="E45" s="11"/>
      <c r="F45" s="15">
        <f>+F44*29%</f>
        <v>16529912.999999998</v>
      </c>
      <c r="G45" s="11"/>
      <c r="H45" s="15">
        <f>+H44*29%</f>
        <v>7634256.6603333335</v>
      </c>
      <c r="I45" s="44">
        <v>0.28999999999999998</v>
      </c>
      <c r="J45" s="15">
        <f>+J44*29%</f>
        <v>24164169.660333332</v>
      </c>
    </row>
    <row r="46" spans="1:11" x14ac:dyDescent="0.2">
      <c r="A46" s="201" t="s">
        <v>10</v>
      </c>
      <c r="B46" s="201"/>
      <c r="C46" s="201"/>
      <c r="D46" s="201"/>
      <c r="E46" s="11"/>
      <c r="F46" s="15">
        <f>+F44*1%</f>
        <v>569997</v>
      </c>
      <c r="G46" s="11"/>
      <c r="H46" s="15">
        <f>+H44*1%</f>
        <v>263250.22966666671</v>
      </c>
      <c r="I46" s="44">
        <v>0.01</v>
      </c>
      <c r="J46" s="15">
        <f>+J44*1%</f>
        <v>833247.22966666671</v>
      </c>
    </row>
    <row r="47" spans="1:11" x14ac:dyDescent="0.2">
      <c r="A47" s="201" t="s">
        <v>6</v>
      </c>
      <c r="B47" s="201"/>
      <c r="C47" s="201"/>
      <c r="D47" s="201"/>
      <c r="E47" s="11"/>
      <c r="F47" s="15">
        <f>+F44*5%</f>
        <v>2849985</v>
      </c>
      <c r="G47" s="11"/>
      <c r="H47" s="15">
        <f>+H44*5%</f>
        <v>1316251.1483333334</v>
      </c>
      <c r="I47" s="44">
        <v>0.05</v>
      </c>
      <c r="J47" s="15">
        <f>+J44*5%</f>
        <v>4166236.1483333334</v>
      </c>
    </row>
    <row r="48" spans="1:11" x14ac:dyDescent="0.2">
      <c r="A48" s="201" t="s">
        <v>11</v>
      </c>
      <c r="B48" s="201"/>
      <c r="C48" s="201"/>
      <c r="D48" s="201"/>
      <c r="E48" s="11"/>
      <c r="F48" s="17">
        <f>+F47*19%</f>
        <v>541497.15</v>
      </c>
      <c r="G48" s="11"/>
      <c r="H48" s="17">
        <f>+H47*19%</f>
        <v>250087.71818333335</v>
      </c>
      <c r="I48" s="44">
        <v>0.19</v>
      </c>
      <c r="J48" s="17">
        <f>+J47*19%</f>
        <v>791584.86818333331</v>
      </c>
    </row>
    <row r="49" spans="1:11" x14ac:dyDescent="0.2">
      <c r="A49" s="209" t="s">
        <v>9</v>
      </c>
      <c r="B49" s="209"/>
      <c r="C49" s="209"/>
      <c r="D49" s="209"/>
      <c r="E49" s="158"/>
      <c r="F49" s="195">
        <f>+F44+F45+F46+F47+F48</f>
        <v>77491092.150000006</v>
      </c>
      <c r="G49" s="11"/>
      <c r="H49" s="194">
        <f>+H44+H45+H46+H47+H48</f>
        <v>35788868.723183334</v>
      </c>
      <c r="I49" s="44"/>
      <c r="J49" s="30">
        <f>+J44+J45+J46+J47+J48</f>
        <v>113279960.87318332</v>
      </c>
      <c r="K49" s="192"/>
    </row>
    <row r="50" spans="1:11" ht="12.75" x14ac:dyDescent="0.2">
      <c r="A50" s="206" t="s">
        <v>105</v>
      </c>
      <c r="B50" s="207"/>
      <c r="C50" s="207"/>
      <c r="D50" s="207"/>
      <c r="E50" s="207"/>
      <c r="F50" s="207"/>
      <c r="G50" s="207"/>
      <c r="H50" s="207"/>
      <c r="I50" s="207"/>
      <c r="J50" s="208"/>
    </row>
    <row r="51" spans="1:11" x14ac:dyDescent="0.2">
      <c r="A51" s="204" t="s">
        <v>104</v>
      </c>
      <c r="B51" s="205"/>
      <c r="C51" s="205"/>
      <c r="D51" s="205"/>
      <c r="E51" s="205"/>
      <c r="F51" s="205"/>
      <c r="G51" s="205"/>
      <c r="H51" s="205"/>
      <c r="I51" s="205"/>
      <c r="J51" s="205"/>
    </row>
    <row r="52" spans="1:11" x14ac:dyDescent="0.2">
      <c r="A52" s="205"/>
      <c r="B52" s="205"/>
      <c r="C52" s="205"/>
      <c r="D52" s="205"/>
      <c r="E52" s="205"/>
      <c r="F52" s="205"/>
      <c r="G52" s="205"/>
      <c r="H52" s="205"/>
      <c r="I52" s="205"/>
      <c r="J52" s="205"/>
      <c r="K52" s="192"/>
    </row>
    <row r="53" spans="1:11" x14ac:dyDescent="0.2">
      <c r="A53" s="205"/>
      <c r="B53" s="205"/>
      <c r="C53" s="205"/>
      <c r="D53" s="205"/>
      <c r="E53" s="205"/>
      <c r="F53" s="205"/>
      <c r="G53" s="205"/>
      <c r="H53" s="205"/>
      <c r="I53" s="205"/>
      <c r="J53" s="205"/>
    </row>
    <row r="54" spans="1:11" x14ac:dyDescent="0.2">
      <c r="A54" s="205"/>
      <c r="B54" s="205"/>
      <c r="C54" s="205"/>
      <c r="D54" s="205"/>
      <c r="E54" s="205"/>
      <c r="F54" s="205"/>
      <c r="G54" s="205"/>
      <c r="H54" s="205"/>
      <c r="I54" s="205"/>
      <c r="J54" s="205"/>
    </row>
    <row r="55" spans="1:11" x14ac:dyDescent="0.2">
      <c r="A55" s="205"/>
      <c r="B55" s="205"/>
      <c r="C55" s="205"/>
      <c r="D55" s="205"/>
      <c r="E55" s="205"/>
      <c r="F55" s="205"/>
      <c r="G55" s="205"/>
      <c r="H55" s="205"/>
      <c r="I55" s="205"/>
      <c r="J55" s="205"/>
    </row>
    <row r="56" spans="1:11" x14ac:dyDescent="0.2">
      <c r="A56" s="205"/>
      <c r="B56" s="205"/>
      <c r="C56" s="205"/>
      <c r="D56" s="205"/>
      <c r="E56" s="205"/>
      <c r="F56" s="205"/>
      <c r="G56" s="205"/>
      <c r="H56" s="205"/>
      <c r="I56" s="205"/>
      <c r="J56" s="205"/>
    </row>
    <row r="57" spans="1:11" x14ac:dyDescent="0.2">
      <c r="A57" s="205"/>
      <c r="B57" s="205"/>
      <c r="C57" s="205"/>
      <c r="D57" s="205"/>
      <c r="E57" s="205"/>
      <c r="F57" s="205"/>
      <c r="G57" s="205"/>
      <c r="H57" s="205"/>
      <c r="I57" s="205"/>
      <c r="J57" s="205"/>
    </row>
    <row r="58" spans="1:11" x14ac:dyDescent="0.2">
      <c r="A58" s="205"/>
      <c r="B58" s="205"/>
      <c r="C58" s="205"/>
      <c r="D58" s="205"/>
      <c r="E58" s="205"/>
      <c r="F58" s="205"/>
      <c r="G58" s="205"/>
      <c r="H58" s="205"/>
      <c r="I58" s="205"/>
      <c r="J58" s="205"/>
    </row>
    <row r="59" spans="1:11" x14ac:dyDescent="0.2">
      <c r="A59" s="205"/>
      <c r="B59" s="205"/>
      <c r="C59" s="205"/>
      <c r="D59" s="205"/>
      <c r="E59" s="205"/>
      <c r="F59" s="205"/>
      <c r="G59" s="205"/>
      <c r="H59" s="205"/>
      <c r="I59" s="205"/>
      <c r="J59" s="205"/>
    </row>
    <row r="60" spans="1:11" x14ac:dyDescent="0.2">
      <c r="A60" s="205"/>
      <c r="B60" s="205"/>
      <c r="C60" s="205"/>
      <c r="D60" s="205"/>
      <c r="E60" s="205"/>
      <c r="F60" s="205"/>
      <c r="G60" s="205"/>
      <c r="H60" s="205"/>
      <c r="I60" s="205"/>
      <c r="J60" s="205"/>
    </row>
    <row r="61" spans="1:11" x14ac:dyDescent="0.2">
      <c r="A61" s="205"/>
      <c r="B61" s="205"/>
      <c r="C61" s="205"/>
      <c r="D61" s="205"/>
      <c r="E61" s="205"/>
      <c r="F61" s="205"/>
      <c r="G61" s="205"/>
      <c r="H61" s="205"/>
      <c r="I61" s="205"/>
      <c r="J61" s="205"/>
    </row>
    <row r="62" spans="1:11" x14ac:dyDescent="0.2">
      <c r="A62" s="205"/>
      <c r="B62" s="205"/>
      <c r="C62" s="205"/>
      <c r="D62" s="205"/>
      <c r="E62" s="205"/>
      <c r="F62" s="205"/>
      <c r="G62" s="205"/>
      <c r="H62" s="205"/>
      <c r="I62" s="205"/>
      <c r="J62" s="205"/>
    </row>
    <row r="63" spans="1:11" x14ac:dyDescent="0.2">
      <c r="A63" s="205"/>
      <c r="B63" s="205"/>
      <c r="C63" s="205"/>
      <c r="D63" s="205"/>
      <c r="E63" s="205"/>
      <c r="F63" s="205"/>
      <c r="G63" s="205"/>
      <c r="H63" s="205"/>
      <c r="I63" s="205"/>
      <c r="J63" s="205"/>
    </row>
    <row r="64" spans="1:11" x14ac:dyDescent="0.2">
      <c r="A64" s="205"/>
      <c r="B64" s="205"/>
      <c r="C64" s="205"/>
      <c r="D64" s="205"/>
      <c r="E64" s="205"/>
      <c r="F64" s="205"/>
      <c r="G64" s="205"/>
      <c r="H64" s="205"/>
      <c r="I64" s="205"/>
      <c r="J64" s="205"/>
    </row>
    <row r="65" spans="1:10" x14ac:dyDescent="0.2">
      <c r="A65" s="205"/>
      <c r="B65" s="205"/>
      <c r="C65" s="205"/>
      <c r="D65" s="205"/>
      <c r="E65" s="205"/>
      <c r="F65" s="205"/>
      <c r="G65" s="205"/>
      <c r="H65" s="205"/>
      <c r="I65" s="205"/>
      <c r="J65" s="205"/>
    </row>
  </sheetData>
  <mergeCells count="12">
    <mergeCell ref="A51:J65"/>
    <mergeCell ref="A1:J1"/>
    <mergeCell ref="A2:J2"/>
    <mergeCell ref="A30:F30"/>
    <mergeCell ref="A43:D43"/>
    <mergeCell ref="A44:D44"/>
    <mergeCell ref="A45:D45"/>
    <mergeCell ref="A46:D46"/>
    <mergeCell ref="A47:D47"/>
    <mergeCell ref="A48:D48"/>
    <mergeCell ref="A49:D49"/>
    <mergeCell ref="A50:J50"/>
  </mergeCells>
  <pageMargins left="0.31496062992125984" right="0.31496062992125984" top="0.35433070866141736" bottom="0.35433070866141736" header="0.31496062992125984" footer="0.31496062992125984"/>
  <pageSetup paperSize="9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12994-BAEB-4815-B592-B1CC5AF4A207}">
  <dimension ref="A1:I57"/>
  <sheetViews>
    <sheetView view="pageBreakPreview" topLeftCell="A47" zoomScale="85" zoomScaleNormal="100" zoomScaleSheetLayoutView="85" workbookViewId="0">
      <selection activeCell="D66" sqref="D66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3.6640625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 t="s">
        <v>19</v>
      </c>
      <c r="C5" s="240" t="str">
        <f>+'PRESUPUESTO FINAL '!B6</f>
        <v>DESCONEXION Y DESMONTE DEL EQUIPO DE MEDIDA DE DOS ELEMENTOS,  EN MEDIA TENSIÓN , EXISTENTE (DOS TRANFORMADORES DE POTECIAL Y DOS TRANFORMADORES DE CORRIENTE) INCLUYE MANO DE OBRA, HERRAMIENTAS Y MANIOBRAS DE CORTE Y RECONEXIÓN  DE LA ENERGIA ELECTRICA.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'!C6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4500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4500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ht="12.75" customHeight="1" x14ac:dyDescent="0.2">
      <c r="A18" s="220"/>
      <c r="B18" s="221"/>
      <c r="C18" s="83"/>
      <c r="D18" s="84"/>
      <c r="E18" s="85"/>
      <c r="F18" s="86"/>
      <c r="G18" s="60"/>
    </row>
    <row r="19" spans="1:7" x14ac:dyDescent="0.2">
      <c r="A19" s="222"/>
      <c r="B19" s="223"/>
      <c r="C19" s="64"/>
      <c r="D19" s="87"/>
      <c r="E19" s="64"/>
      <c r="F19" s="88"/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02" t="s">
        <v>148</v>
      </c>
      <c r="B26" s="103" t="s">
        <v>149</v>
      </c>
      <c r="C26" s="104" t="s">
        <v>15</v>
      </c>
      <c r="D26" s="10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77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02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2.1371527777777781</v>
      </c>
      <c r="F32" s="86">
        <f>+D32*E32</f>
        <v>615500.00000000012</v>
      </c>
      <c r="G32" s="115"/>
    </row>
    <row r="33" spans="1:9" ht="13.5" thickBot="1" x14ac:dyDescent="0.25">
      <c r="A33" s="56"/>
      <c r="F33" s="77" t="s">
        <v>144</v>
      </c>
      <c r="G33" s="114">
        <f>+SUM(F32:F32)</f>
        <v>615500.00000000012</v>
      </c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77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620000</v>
      </c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179800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6200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31000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5890</v>
      </c>
      <c r="G47" s="60"/>
    </row>
    <row r="48" spans="1:9" ht="13.5" thickBot="1" x14ac:dyDescent="0.25">
      <c r="F48" s="147" t="s">
        <v>144</v>
      </c>
      <c r="G48" s="148">
        <f>+F44+F45+F46+F47</f>
        <v>222890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842890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A17:B17"/>
    <mergeCell ref="A18:B18"/>
    <mergeCell ref="A10:B10"/>
    <mergeCell ref="A11:B11"/>
    <mergeCell ref="A12:B12"/>
    <mergeCell ref="A13:B13"/>
    <mergeCell ref="A14:B14"/>
    <mergeCell ref="A1:G1"/>
    <mergeCell ref="B4:G4"/>
    <mergeCell ref="C8:C9"/>
    <mergeCell ref="D8:D9"/>
    <mergeCell ref="E8:E9"/>
    <mergeCell ref="F8:F9"/>
    <mergeCell ref="C5:G5"/>
    <mergeCell ref="A8:B9"/>
    <mergeCell ref="A19:B19"/>
    <mergeCell ref="A20:B20"/>
    <mergeCell ref="A21:B21"/>
    <mergeCell ref="E43:F43"/>
    <mergeCell ref="A55:D55"/>
    <mergeCell ref="A22:B22"/>
    <mergeCell ref="A56:C56"/>
    <mergeCell ref="A57:C57"/>
    <mergeCell ref="A23:B23"/>
    <mergeCell ref="A35:B35"/>
    <mergeCell ref="A36:B36"/>
    <mergeCell ref="A37:B37"/>
    <mergeCell ref="A38:B38"/>
    <mergeCell ref="A43:B43"/>
    <mergeCell ref="C43:D43"/>
    <mergeCell ref="D41:F41"/>
  </mergeCells>
  <dataValidations count="1">
    <dataValidation type="list" allowBlank="1" showInputMessage="1" showErrorMessage="1" sqref="A19:A22" xr:uid="{B846579B-4B44-45E5-97A7-63202644863F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17D50-F5B4-4D2D-847D-8929DEB5177F}">
  <dimension ref="A1:I57"/>
  <sheetViews>
    <sheetView view="pageBreakPreview" topLeftCell="A37" zoomScale="85" zoomScaleNormal="100" zoomScaleSheetLayoutView="85" workbookViewId="0">
      <selection activeCell="G52" sqref="G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3.6640625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 t="s">
        <v>22</v>
      </c>
      <c r="C5" s="240" t="str">
        <f>+'PRESUPUESTO FINAL '!B7</f>
        <v>SUMINSTRO E INSTALACION DE TRANSFORMADOR DE CORRIENTE, CT 15 KV, USO INTERIOR ,  INCLUYE MANO DE OBRA, HERRAMIENTA.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'!C7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8500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8500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ht="24" customHeight="1" x14ac:dyDescent="0.2">
      <c r="A18" s="220" t="s">
        <v>166</v>
      </c>
      <c r="B18" s="221"/>
      <c r="C18" s="83" t="s">
        <v>94</v>
      </c>
      <c r="D18" s="84">
        <v>1785000</v>
      </c>
      <c r="E18" s="169">
        <v>1</v>
      </c>
      <c r="F18" s="86">
        <f>+D18*E18</f>
        <v>1785000</v>
      </c>
      <c r="G18" s="60"/>
    </row>
    <row r="19" spans="1:7" x14ac:dyDescent="0.2">
      <c r="A19" s="222"/>
      <c r="B19" s="223"/>
      <c r="C19" s="64"/>
      <c r="D19" s="87"/>
      <c r="E19" s="64"/>
      <c r="F19" s="88"/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1785000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2.5505208333333331</v>
      </c>
      <c r="F32" s="86">
        <f>+D32*E32</f>
        <v>734549.99999999988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734549.99999999988</v>
      </c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2528050</v>
      </c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733134.5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25280.5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126402.5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24016.474999999999</v>
      </c>
      <c r="G47" s="60"/>
    </row>
    <row r="48" spans="1:9" ht="13.5" thickBot="1" x14ac:dyDescent="0.25">
      <c r="F48" s="147" t="s">
        <v>144</v>
      </c>
      <c r="G48" s="148">
        <f>+F44+F45+F46+F47</f>
        <v>908833.97499999998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3436884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A38:B38"/>
    <mergeCell ref="D41:F41"/>
    <mergeCell ref="A43:B43"/>
    <mergeCell ref="C43:D43"/>
    <mergeCell ref="E43:F43"/>
    <mergeCell ref="A21:B21"/>
    <mergeCell ref="A22:B22"/>
    <mergeCell ref="A35:B35"/>
    <mergeCell ref="A36:B36"/>
    <mergeCell ref="A37:B37"/>
    <mergeCell ref="A14:B14"/>
    <mergeCell ref="A17:B17"/>
    <mergeCell ref="A18:B18"/>
    <mergeCell ref="A19:B19"/>
    <mergeCell ref="A20:B20"/>
    <mergeCell ref="A57:C57"/>
    <mergeCell ref="A55:D55"/>
    <mergeCell ref="A56:C56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</mergeCells>
  <dataValidations count="1">
    <dataValidation type="list" allowBlank="1" showInputMessage="1" showErrorMessage="1" sqref="A19:A22" xr:uid="{CD84A05E-5C66-4C22-BD2F-8930B1B06885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0FE38-A687-4160-A9C8-07C6A79506C5}">
  <dimension ref="A1:I57"/>
  <sheetViews>
    <sheetView view="pageBreakPreview" topLeftCell="A37" zoomScale="85" zoomScaleNormal="100" zoomScaleSheetLayoutView="85" workbookViewId="0">
      <selection activeCell="G52" sqref="G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3.6640625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 t="s">
        <v>24</v>
      </c>
      <c r="C5" s="240" t="str">
        <f>+'PRESUPUESTO FINAL '!B8</f>
        <v>SUMINSTRO E INSTALACION DE TRANSFORMADOR DE DE VOLTAJE, PT 13,2 KV /120, USO INTERIOR, ,  INCLUYE MANO DE OBRA, HERRAMIENTAS.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'!C7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8500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8500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ht="24" customHeight="1" x14ac:dyDescent="0.2">
      <c r="A18" s="220" t="s">
        <v>165</v>
      </c>
      <c r="B18" s="221"/>
      <c r="C18" s="83" t="s">
        <v>94</v>
      </c>
      <c r="D18" s="84">
        <v>1785000</v>
      </c>
      <c r="E18" s="169">
        <v>1</v>
      </c>
      <c r="F18" s="86">
        <f>+D18*E18</f>
        <v>1785000</v>
      </c>
      <c r="G18" s="60"/>
    </row>
    <row r="19" spans="1:7" x14ac:dyDescent="0.2">
      <c r="A19" s="222"/>
      <c r="B19" s="223"/>
      <c r="C19" s="64"/>
      <c r="D19" s="87"/>
      <c r="E19" s="64"/>
      <c r="F19" s="88"/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1785000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2.5505208333333331</v>
      </c>
      <c r="F32" s="86">
        <f>+D32*E32</f>
        <v>734549.99999999988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734549.99999999988</v>
      </c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2528050</v>
      </c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733134.5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25280.5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126402.5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24016.474999999999</v>
      </c>
      <c r="G47" s="60"/>
    </row>
    <row r="48" spans="1:9" ht="13.5" thickBot="1" x14ac:dyDescent="0.25">
      <c r="F48" s="147" t="s">
        <v>144</v>
      </c>
      <c r="G48" s="148">
        <f>+F44+F45+F46+F47</f>
        <v>908833.97499999998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3436884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A38:B38"/>
    <mergeCell ref="D41:F41"/>
    <mergeCell ref="A43:B43"/>
    <mergeCell ref="C43:D43"/>
    <mergeCell ref="E43:F43"/>
    <mergeCell ref="A21:B21"/>
    <mergeCell ref="A22:B22"/>
    <mergeCell ref="A35:B35"/>
    <mergeCell ref="A36:B36"/>
    <mergeCell ref="A37:B37"/>
    <mergeCell ref="A14:B14"/>
    <mergeCell ref="A17:B17"/>
    <mergeCell ref="A18:B18"/>
    <mergeCell ref="A19:B19"/>
    <mergeCell ref="A20:B20"/>
    <mergeCell ref="A57:C57"/>
    <mergeCell ref="A55:D55"/>
    <mergeCell ref="A56:C56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</mergeCells>
  <dataValidations count="1">
    <dataValidation type="list" allowBlank="1" showInputMessage="1" showErrorMessage="1" sqref="A19:A22" xr:uid="{075C4E7E-AFF1-4A6C-B0FA-9F7A7AB58118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F9E65-6638-4C65-9F5F-71CBBB15F646}">
  <dimension ref="A1:I57"/>
  <sheetViews>
    <sheetView view="pageBreakPreview" topLeftCell="A34" zoomScale="85" zoomScaleNormal="100" zoomScaleSheetLayoutView="85" workbookViewId="0">
      <selection activeCell="A52" sqref="A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3.6640625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 t="s">
        <v>26</v>
      </c>
      <c r="C5" s="240" t="str">
        <f>+'PRESUPUESTO FINAL '!B9</f>
        <v>MANTENIMIENTO A TABLEROS DE DISTRIBUCION DE BAJA TENSION AUTOSOPORTADOS, INCLUYE LIMPIEZA GENERAL, AJUSTE DE CONEXIONES, ARREGLO O REPOSICIÓN DE CHAPA Y CLIPS DE TAPAS LATERALES, CONEXIÓN DE LA ESTRUCTURA Y PUERTAS A BARRAJE DE TIERRAS, Y MANO DE OBRA E INSUMOS.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'!C7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4500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4500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/>
      <c r="B18" s="221"/>
      <c r="C18" s="83"/>
      <c r="D18" s="84"/>
      <c r="E18" s="168"/>
      <c r="F18" s="86"/>
      <c r="G18" s="60"/>
    </row>
    <row r="19" spans="1:7" x14ac:dyDescent="0.2">
      <c r="A19" s="222"/>
      <c r="B19" s="223"/>
      <c r="C19" s="64"/>
      <c r="D19" s="87"/>
      <c r="E19" s="64"/>
      <c r="F19" s="88"/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2.1371527777777781</v>
      </c>
      <c r="F32" s="86">
        <f>+D32*E32</f>
        <v>615500.00000000012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615500.00000000012</v>
      </c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620000</v>
      </c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179800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6200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31000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5890</v>
      </c>
      <c r="G47" s="60"/>
    </row>
    <row r="48" spans="1:9" ht="13.5" thickBot="1" x14ac:dyDescent="0.25">
      <c r="F48" s="147" t="s">
        <v>144</v>
      </c>
      <c r="G48" s="148">
        <f>+F44+F45+F46+F47</f>
        <v>222890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842890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64DDF62E-61DB-486B-85D7-3D5A5EE476E8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A1A7B-EB74-420F-A512-7B7E3143A8D2}">
  <dimension ref="A1:I57"/>
  <sheetViews>
    <sheetView view="pageBreakPreview" topLeftCell="A37" zoomScale="85" zoomScaleNormal="100" zoomScaleSheetLayoutView="85" workbookViewId="0">
      <selection activeCell="A52" sqref="A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3.6640625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2.0099999999999998</v>
      </c>
      <c r="C5" s="240" t="str">
        <f>+'PRESUPUESTO FINAL '!B12</f>
        <v>CAJA DE PLASTICA 15X15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'!C12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150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150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 t="s">
        <v>167</v>
      </c>
      <c r="B18" s="221"/>
      <c r="C18" s="83" t="s">
        <v>94</v>
      </c>
      <c r="D18" s="84">
        <v>33500</v>
      </c>
      <c r="E18" s="169">
        <v>1</v>
      </c>
      <c r="F18" s="86">
        <f>+E18*D18</f>
        <v>33500</v>
      </c>
      <c r="G18" s="60"/>
    </row>
    <row r="19" spans="1:7" x14ac:dyDescent="0.2">
      <c r="A19" s="222" t="s">
        <v>168</v>
      </c>
      <c r="B19" s="223"/>
      <c r="C19" s="64" t="s">
        <v>94</v>
      </c>
      <c r="D19" s="87">
        <v>150</v>
      </c>
      <c r="E19" s="170">
        <v>2</v>
      </c>
      <c r="F19" s="88">
        <f>+E19*D19</f>
        <v>300</v>
      </c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33800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4.3576388888888921E-2</v>
      </c>
      <c r="F32" s="86">
        <f>+D32*E32</f>
        <v>12550.000000000009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12550.000000000009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46500</v>
      </c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13484.999999999998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465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2325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441.75</v>
      </c>
      <c r="G47" s="60"/>
    </row>
    <row r="48" spans="1:9" ht="13.5" thickBot="1" x14ac:dyDescent="0.25">
      <c r="F48" s="147" t="s">
        <v>144</v>
      </c>
      <c r="G48" s="148">
        <f>+F44+F45+F46+F47</f>
        <v>16716.75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63217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76F9E16B-828B-4A2C-8041-EF1F1D90A30C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209BB-80CB-4F86-A2F8-EE43BFA9751B}">
  <dimension ref="A1:I57"/>
  <sheetViews>
    <sheetView view="pageBreakPreview" topLeftCell="A34" zoomScale="85" zoomScaleNormal="100" zoomScaleSheetLayoutView="85" workbookViewId="0">
      <selection activeCell="A52" sqref="A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3.6640625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2.02</v>
      </c>
      <c r="C5" s="240" t="str">
        <f>+'PRESUPUESTO FINAL '!B13</f>
        <v>CAJA DE PASO  10X10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'!C12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150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150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 t="s">
        <v>169</v>
      </c>
      <c r="B18" s="221"/>
      <c r="C18" s="83" t="s">
        <v>94</v>
      </c>
      <c r="D18" s="84">
        <v>4500</v>
      </c>
      <c r="E18" s="169">
        <v>1</v>
      </c>
      <c r="F18" s="86">
        <f>+E18*D18</f>
        <v>4500</v>
      </c>
      <c r="G18" s="60"/>
    </row>
    <row r="19" spans="1:7" x14ac:dyDescent="0.2">
      <c r="A19" s="222" t="s">
        <v>168</v>
      </c>
      <c r="B19" s="223"/>
      <c r="C19" s="64" t="s">
        <v>94</v>
      </c>
      <c r="D19" s="87">
        <v>150</v>
      </c>
      <c r="E19" s="170">
        <v>2</v>
      </c>
      <c r="F19" s="88">
        <f>+E19*D19</f>
        <v>300</v>
      </c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4800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1.510243055555556E-2</v>
      </c>
      <c r="F32" s="86">
        <f>+D32*E32</f>
        <v>4349.5000000000009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4349.5000000000009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9300</v>
      </c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2697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93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465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88.35</v>
      </c>
      <c r="G47" s="60"/>
    </row>
    <row r="48" spans="1:9" ht="13.5" thickBot="1" x14ac:dyDescent="0.25">
      <c r="F48" s="147" t="s">
        <v>144</v>
      </c>
      <c r="G48" s="148">
        <f>+F44+F45+F46+F47</f>
        <v>3343.35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12643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53A913C4-5955-42E7-8540-90C739E1E8B6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7FAAE-9551-45B6-AC27-8EB75B8225DA}">
  <dimension ref="A1:I57"/>
  <sheetViews>
    <sheetView view="pageBreakPreview" topLeftCell="A34" zoomScale="85" zoomScaleNormal="100" zoomScaleSheetLayoutView="85" workbookViewId="0">
      <selection activeCell="A52" sqref="A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3.6640625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2.0299999999999998</v>
      </c>
      <c r="C5" s="240" t="str">
        <f>+'PRESUPUESTO FINAL '!B14</f>
        <v>DETECTOR FOTOELÉCTRICO DE HUMO CONVENCIONAL DE
4 HILOS. INCLUYE BASE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'!C12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250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250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 t="s">
        <v>170</v>
      </c>
      <c r="B18" s="221"/>
      <c r="C18" s="83" t="s">
        <v>94</v>
      </c>
      <c r="D18" s="84">
        <v>95857</v>
      </c>
      <c r="E18" s="169">
        <v>1</v>
      </c>
      <c r="F18" s="86">
        <f>+E18*D18</f>
        <v>95857</v>
      </c>
      <c r="G18" s="60"/>
    </row>
    <row r="19" spans="1:7" x14ac:dyDescent="0.2">
      <c r="A19" s="222" t="s">
        <v>171</v>
      </c>
      <c r="B19" s="223"/>
      <c r="C19" s="64" t="s">
        <v>94</v>
      </c>
      <c r="D19" s="87">
        <v>13500</v>
      </c>
      <c r="E19" s="170">
        <v>2</v>
      </c>
      <c r="F19" s="88">
        <f>+E19*D19</f>
        <v>27000</v>
      </c>
      <c r="G19" s="89"/>
    </row>
    <row r="20" spans="1:7" ht="12.75" customHeight="1" x14ac:dyDescent="0.2">
      <c r="A20" s="222" t="s">
        <v>168</v>
      </c>
      <c r="B20" s="223"/>
      <c r="C20" s="64" t="s">
        <v>94</v>
      </c>
      <c r="D20" s="87">
        <v>150</v>
      </c>
      <c r="E20" s="170">
        <v>2</v>
      </c>
      <c r="F20" s="88">
        <f>+E20*D20</f>
        <v>300</v>
      </c>
      <c r="G20" s="89"/>
    </row>
    <row r="21" spans="1:7" ht="11.25" customHeight="1" x14ac:dyDescent="0.2">
      <c r="A21" s="222"/>
      <c r="B21" s="223"/>
      <c r="C21" s="64"/>
      <c r="D21" s="87"/>
      <c r="E21" s="64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123157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0.24424657962934027</v>
      </c>
      <c r="F32" s="86">
        <f>+D32*E32</f>
        <v>70343.01493325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70343.01493325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193750</v>
      </c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56187.499999999993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1937.5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9687.5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1840.625</v>
      </c>
      <c r="G47" s="60"/>
    </row>
    <row r="48" spans="1:9" ht="13.5" thickBot="1" x14ac:dyDescent="0.25">
      <c r="F48" s="147" t="s">
        <v>144</v>
      </c>
      <c r="G48" s="148">
        <f>+F44+F45+F46+F47</f>
        <v>69653.125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263403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8422C2FE-83B9-43E7-9B8B-657228CF28D4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A250C-810E-4E4C-9117-AE4BE66B8AE2}">
  <dimension ref="A1:I57"/>
  <sheetViews>
    <sheetView view="pageBreakPreview" topLeftCell="A37" zoomScale="85" zoomScaleNormal="100" zoomScaleSheetLayoutView="85" workbookViewId="0">
      <selection activeCell="A52" sqref="A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3.6640625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2.04</v>
      </c>
      <c r="C5" s="240" t="str">
        <f>+'PRESUPUESTO FINAL '!B15</f>
        <v>ESTACION MANUAL DE EMERGENCIA, DOBLE ACCION,
CONVENCIONAL, CON MENSAJE EN ESPAÑOL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'!C12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250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250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ht="33" customHeight="1" x14ac:dyDescent="0.2">
      <c r="A18" s="220" t="s">
        <v>173</v>
      </c>
      <c r="B18" s="221"/>
      <c r="C18" s="83" t="s">
        <v>94</v>
      </c>
      <c r="D18" s="84">
        <v>184500</v>
      </c>
      <c r="E18" s="169">
        <v>1</v>
      </c>
      <c r="F18" s="86">
        <f>+E18*D18</f>
        <v>184500</v>
      </c>
      <c r="G18" s="60"/>
    </row>
    <row r="19" spans="1:7" ht="12.75" customHeight="1" x14ac:dyDescent="0.2">
      <c r="A19" s="222" t="s">
        <v>168</v>
      </c>
      <c r="B19" s="223"/>
      <c r="C19" s="64" t="s">
        <v>94</v>
      </c>
      <c r="D19" s="87">
        <v>150</v>
      </c>
      <c r="E19" s="170">
        <v>2</v>
      </c>
      <c r="F19" s="88">
        <f>+E19*D19</f>
        <v>300</v>
      </c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184800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0.29930665054829098</v>
      </c>
      <c r="F32" s="86">
        <f>+D32*E32</f>
        <v>86200.315357907806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86200.315357907806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271250</v>
      </c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78662.5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2712.5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13562.5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2576.875</v>
      </c>
      <c r="G47" s="60"/>
    </row>
    <row r="48" spans="1:9" ht="13.5" thickBot="1" x14ac:dyDescent="0.25">
      <c r="F48" s="147" t="s">
        <v>144</v>
      </c>
      <c r="G48" s="148">
        <f>+F44+F45+F46+F47</f>
        <v>97514.375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368764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BBCC3C20-8E45-4847-ADE7-29ECB585FF64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35179-86C4-4991-8AAB-47B555F64ECB}">
  <dimension ref="A1:I57"/>
  <sheetViews>
    <sheetView view="pageBreakPreview" topLeftCell="A34" zoomScale="85" zoomScaleNormal="100" zoomScaleSheetLayoutView="85" workbookViewId="0">
      <selection activeCell="A52" sqref="A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3.6640625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2.0499999999999998</v>
      </c>
      <c r="C5" s="240" t="str">
        <f>+'PRESUPUESTO FINAL '!B16</f>
        <v>MODULO EXPANSOR 8 ZONAS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'!C12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250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250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ht="33" customHeight="1" x14ac:dyDescent="0.2">
      <c r="A18" s="220" t="s">
        <v>39</v>
      </c>
      <c r="B18" s="221"/>
      <c r="C18" s="83" t="s">
        <v>94</v>
      </c>
      <c r="D18" s="84">
        <v>184500</v>
      </c>
      <c r="E18" s="169">
        <v>1</v>
      </c>
      <c r="F18" s="86">
        <f>+E18*D18</f>
        <v>184500</v>
      </c>
      <c r="G18" s="60"/>
    </row>
    <row r="19" spans="1:7" ht="12.75" customHeight="1" x14ac:dyDescent="0.2">
      <c r="A19" s="222" t="s">
        <v>168</v>
      </c>
      <c r="B19" s="223"/>
      <c r="C19" s="64" t="s">
        <v>94</v>
      </c>
      <c r="D19" s="87">
        <v>150</v>
      </c>
      <c r="E19" s="170">
        <v>2</v>
      </c>
      <c r="F19" s="88">
        <f>+E19*D19</f>
        <v>300</v>
      </c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184800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0.30034832102583725</v>
      </c>
      <c r="F32" s="86">
        <f>+D32*E32</f>
        <v>86500.316455441134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86500.316455441134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271550</v>
      </c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78749.5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2715.5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13577.5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2579.7249999999999</v>
      </c>
      <c r="G47" s="60"/>
    </row>
    <row r="48" spans="1:9" ht="13.5" thickBot="1" x14ac:dyDescent="0.25">
      <c r="F48" s="147" t="s">
        <v>144</v>
      </c>
      <c r="G48" s="148">
        <f>+F44+F45+F46+F47</f>
        <v>97622.225000000006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369172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6707F55A-0CBF-4BFE-9ECC-6E3F65FF6F0D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26DDB-39C6-4552-8247-2F86361CBE99}">
  <dimension ref="A1:I57"/>
  <sheetViews>
    <sheetView view="pageBreakPreview" topLeftCell="A37" zoomScale="85" zoomScaleNormal="100" zoomScaleSheetLayoutView="85" workbookViewId="0">
      <selection activeCell="B59" sqref="B59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7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2.06</v>
      </c>
      <c r="C5" s="240" t="str">
        <f>+'PRESUPUESTO FINAL '!B17</f>
        <v>TRANSFORMADOR 16.5V 40AMP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'!C12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850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850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 t="s">
        <v>174</v>
      </c>
      <c r="B18" s="221"/>
      <c r="C18" s="83" t="s">
        <v>94</v>
      </c>
      <c r="D18" s="84">
        <v>2050000</v>
      </c>
      <c r="E18" s="169">
        <v>1</v>
      </c>
      <c r="F18" s="86">
        <f>+E18*D18</f>
        <v>2050000</v>
      </c>
      <c r="G18" s="60"/>
    </row>
    <row r="19" spans="1:7" ht="12.75" customHeight="1" x14ac:dyDescent="0.2">
      <c r="A19" s="222"/>
      <c r="B19" s="223"/>
      <c r="C19" s="64"/>
      <c r="D19" s="87"/>
      <c r="E19" s="170"/>
      <c r="F19" s="88"/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2050000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0.95190954648351034</v>
      </c>
      <c r="F32" s="86">
        <f>+D32*E32</f>
        <v>274149.94938725099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274149.94938725099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2325000</v>
      </c>
      <c r="H41" s="171"/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674250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23250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116250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22087.5</v>
      </c>
      <c r="G47" s="60"/>
    </row>
    <row r="48" spans="1:9" ht="13.5" thickBot="1" x14ac:dyDescent="0.25">
      <c r="F48" s="147" t="s">
        <v>144</v>
      </c>
      <c r="G48" s="148">
        <f>+F44+F45+F46+F47</f>
        <v>835837.5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3160838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E3929DE6-CA21-4F29-9CA5-AA40DF08A04F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5EBCB-3C26-49E8-ABFE-85F4FE5B5B1D}">
  <dimension ref="A1:I57"/>
  <sheetViews>
    <sheetView view="pageBreakPreview" topLeftCell="A46" zoomScale="85" zoomScaleNormal="100" zoomScaleSheetLayoutView="85" workbookViewId="0">
      <selection activeCell="B60" sqref="B60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7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2.0699999999999998</v>
      </c>
      <c r="C5" s="240" t="str">
        <f>+'PRESUPUESTO FINAL '!B18</f>
        <v>FUENTE DE ALIMENTACION 1.5A CONTINUO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'!C12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650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650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 t="s">
        <v>43</v>
      </c>
      <c r="B18" s="221"/>
      <c r="C18" s="83" t="s">
        <v>94</v>
      </c>
      <c r="D18" s="84">
        <v>1350000</v>
      </c>
      <c r="E18" s="169">
        <v>1</v>
      </c>
      <c r="F18" s="86">
        <f>+E18*D18</f>
        <v>1350000</v>
      </c>
      <c r="G18" s="60"/>
    </row>
    <row r="19" spans="1:7" ht="12.75" customHeight="1" x14ac:dyDescent="0.2">
      <c r="A19" s="222"/>
      <c r="B19" s="223"/>
      <c r="C19" s="64"/>
      <c r="D19" s="87"/>
      <c r="E19" s="170"/>
      <c r="F19" s="88"/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1350000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2.037674971032724</v>
      </c>
      <c r="F32" s="86">
        <f>+D32*E32</f>
        <v>586850.39165742451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586850.39165742451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1937500</v>
      </c>
      <c r="H41" s="171"/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561875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19375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96875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18406.25</v>
      </c>
      <c r="G47" s="60"/>
    </row>
    <row r="48" spans="1:9" ht="13.5" thickBot="1" x14ac:dyDescent="0.25">
      <c r="F48" s="147" t="s">
        <v>144</v>
      </c>
      <c r="G48" s="148">
        <f>+F44+F45+F46+F47</f>
        <v>696531.25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2634031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02F7005F-A306-4394-8DC8-CBC14EB1FDDF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4D805-58EE-4AAA-8276-4B6F9815D5DB}">
  <dimension ref="A1:I57"/>
  <sheetViews>
    <sheetView view="pageBreakPreview" topLeftCell="A40" zoomScale="85" zoomScaleNormal="100" zoomScaleSheetLayoutView="85" workbookViewId="0">
      <selection activeCell="A52" sqref="A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7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2.08</v>
      </c>
      <c r="C5" s="240" t="str">
        <f>+'PRESUPUESTO FINAL '!B19</f>
        <v>CAJA METALICA 28 X 28 X 7.6CM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'!C12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650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650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 t="s">
        <v>175</v>
      </c>
      <c r="B18" s="221"/>
      <c r="C18" s="83" t="s">
        <v>94</v>
      </c>
      <c r="D18" s="84">
        <v>43500</v>
      </c>
      <c r="E18" s="169">
        <v>1</v>
      </c>
      <c r="F18" s="86">
        <f>+E18*D18</f>
        <v>43500</v>
      </c>
      <c r="G18" s="60"/>
    </row>
    <row r="19" spans="1:7" ht="12.75" customHeight="1" x14ac:dyDescent="0.2">
      <c r="A19" s="222" t="s">
        <v>168</v>
      </c>
      <c r="B19" s="223"/>
      <c r="C19" s="64" t="s">
        <v>94</v>
      </c>
      <c r="D19" s="87">
        <v>150</v>
      </c>
      <c r="E19" s="170">
        <v>2</v>
      </c>
      <c r="F19" s="88">
        <f>+E19*D19</f>
        <v>300</v>
      </c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43800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8.784554473825068E-2</v>
      </c>
      <c r="F32" s="86">
        <f>+D32*E32</f>
        <v>25299.516884616198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25299.516884616198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69750</v>
      </c>
      <c r="H41" s="171"/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20227.5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697.5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3487.5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662.625</v>
      </c>
      <c r="G47" s="60"/>
    </row>
    <row r="48" spans="1:9" ht="13.5" thickBot="1" x14ac:dyDescent="0.25">
      <c r="F48" s="147" t="s">
        <v>144</v>
      </c>
      <c r="G48" s="148">
        <f>+F44+F45+F46+F47</f>
        <v>25075.125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94825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3F5686DB-4996-430A-A0B7-4345322FD30D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C2F26-59DB-4A0A-ADDF-5D3E1D76FC1A}">
  <dimension ref="A1:I57"/>
  <sheetViews>
    <sheetView view="pageBreakPreview" topLeftCell="A40" zoomScale="85" zoomScaleNormal="100" zoomScaleSheetLayoutView="85" workbookViewId="0">
      <selection activeCell="A51" sqref="A51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7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2.09</v>
      </c>
      <c r="C5" s="240" t="str">
        <f>+'PRESUPUESTO FINAL '!B20</f>
        <v>BATERIA 12V 4AH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'!C12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150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150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 t="s">
        <v>176</v>
      </c>
      <c r="B18" s="221"/>
      <c r="C18" s="83" t="s">
        <v>94</v>
      </c>
      <c r="D18" s="84">
        <v>70500</v>
      </c>
      <c r="E18" s="169">
        <v>1</v>
      </c>
      <c r="F18" s="86">
        <f>+E18*D18</f>
        <v>70500</v>
      </c>
      <c r="G18" s="60"/>
    </row>
    <row r="19" spans="1:7" ht="12.75" customHeight="1" x14ac:dyDescent="0.2">
      <c r="A19" s="222"/>
      <c r="B19" s="223"/>
      <c r="C19" s="64"/>
      <c r="D19" s="87"/>
      <c r="E19" s="170"/>
      <c r="F19" s="88"/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70500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7.7602684778652287E-2</v>
      </c>
      <c r="F32" s="86">
        <f>+D32*E32</f>
        <v>22349.573216251858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22349.573216251858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93000</v>
      </c>
      <c r="H41" s="171"/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26969.999999999996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930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4650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883.5</v>
      </c>
      <c r="G47" s="60"/>
    </row>
    <row r="48" spans="1:9" ht="13.5" thickBot="1" x14ac:dyDescent="0.25">
      <c r="F48" s="147" t="s">
        <v>144</v>
      </c>
      <c r="G48" s="148">
        <f>+F44+F45+F46+F47</f>
        <v>33433.5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126434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B5B052AB-B7CE-443A-88A4-20F1BDC6E8D0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DBAC6-99BC-4BB6-BF92-0035A358D8FF}">
  <dimension ref="A1:I57"/>
  <sheetViews>
    <sheetView view="pageBreakPreview" topLeftCell="A37" zoomScale="85" zoomScaleNormal="100" zoomScaleSheetLayoutView="85" workbookViewId="0">
      <selection activeCell="A51" sqref="A51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7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2.1</v>
      </c>
      <c r="C5" s="240" t="str">
        <f>+'PRESUPUESTO FINAL '!B21</f>
        <v>CABLE 18 AWG, 4 CONDUCTORES, SIN BLINDAR, DE COLOR
ROJO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'!C21</f>
        <v>M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250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250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ht="24" customHeight="1" x14ac:dyDescent="0.2">
      <c r="A18" s="220" t="s">
        <v>177</v>
      </c>
      <c r="B18" s="221"/>
      <c r="C18" s="83" t="s">
        <v>93</v>
      </c>
      <c r="D18" s="84">
        <v>4500</v>
      </c>
      <c r="E18" s="169">
        <v>1</v>
      </c>
      <c r="F18" s="86">
        <f>+E18*D18</f>
        <v>4500</v>
      </c>
      <c r="G18" s="60"/>
    </row>
    <row r="19" spans="1:7" ht="12.75" customHeight="1" x14ac:dyDescent="0.2">
      <c r="A19" s="222"/>
      <c r="B19" s="223"/>
      <c r="C19" s="64"/>
      <c r="D19" s="87"/>
      <c r="E19" s="170"/>
      <c r="F19" s="88"/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4500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5.036362159795759E-3</v>
      </c>
      <c r="F32" s="86">
        <f>+D32*E32</f>
        <v>1450.4723020211786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1450.4723020211786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6200</v>
      </c>
      <c r="H41" s="171"/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1797.9999999999998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62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310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58.9</v>
      </c>
      <c r="G47" s="60"/>
    </row>
    <row r="48" spans="1:9" ht="13.5" thickBot="1" x14ac:dyDescent="0.25">
      <c r="F48" s="147" t="s">
        <v>144</v>
      </c>
      <c r="G48" s="148">
        <f>+F44+F45+F46+F47</f>
        <v>2228.9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8429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7F67A657-A74C-4BBE-B047-5DFCFC759DF6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55ED8-C6F9-4F51-8DEB-A47F8C910FED}">
  <dimension ref="A1:I57"/>
  <sheetViews>
    <sheetView view="pageBreakPreview" topLeftCell="A37" zoomScale="85" zoomScaleNormal="100" zoomScaleSheetLayoutView="85" workbookViewId="0">
      <selection activeCell="A52" sqref="A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7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2.11</v>
      </c>
      <c r="C5" s="240" t="str">
        <f>+'PRESUPUESTO FINAL '!B22</f>
        <v>CLAVIJA DE SEGURIDAD 15A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'!C22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100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100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ht="24" customHeight="1" x14ac:dyDescent="0.2">
      <c r="A18" s="220" t="s">
        <v>178</v>
      </c>
      <c r="B18" s="221"/>
      <c r="C18" s="83" t="s">
        <v>93</v>
      </c>
      <c r="D18" s="84">
        <v>33200</v>
      </c>
      <c r="E18" s="169">
        <v>1</v>
      </c>
      <c r="F18" s="86">
        <f>+E18*D18</f>
        <v>33200</v>
      </c>
      <c r="G18" s="60"/>
    </row>
    <row r="19" spans="1:7" ht="12.75" customHeight="1" x14ac:dyDescent="0.2">
      <c r="A19" s="222"/>
      <c r="B19" s="223"/>
      <c r="C19" s="64"/>
      <c r="D19" s="87"/>
      <c r="E19" s="170"/>
      <c r="F19" s="88"/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33200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1.892262529659389E-2</v>
      </c>
      <c r="F32" s="86">
        <f>+D32*E32</f>
        <v>5449.7160854190406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5449.7160854190406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38750</v>
      </c>
      <c r="H41" s="171"/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11237.5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387.5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1937.5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368.125</v>
      </c>
      <c r="G47" s="60"/>
    </row>
    <row r="48" spans="1:9" ht="13.5" thickBot="1" x14ac:dyDescent="0.25">
      <c r="F48" s="147" t="s">
        <v>144</v>
      </c>
      <c r="G48" s="148">
        <f>+F44+F45+F46+F47</f>
        <v>13930.625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52681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190E6A9E-45B3-4154-BFBC-113BCAEFBEC1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2EC11-086E-41DE-AA4C-56CA927B6446}">
  <dimension ref="A1:I57"/>
  <sheetViews>
    <sheetView view="pageBreakPreview" topLeftCell="A34" zoomScale="85" zoomScaleNormal="100" zoomScaleSheetLayoutView="85" workbookViewId="0">
      <selection activeCell="A52" sqref="A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7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2.12</v>
      </c>
      <c r="C5" s="240" t="str">
        <f>+'PRESUPUESTO FINAL '!B23</f>
        <v>CANALETA PLASTICA 20X10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'!C21</f>
        <v>M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100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100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ht="24" customHeight="1" x14ac:dyDescent="0.2">
      <c r="A18" s="220" t="s">
        <v>179</v>
      </c>
      <c r="B18" s="221"/>
      <c r="C18" s="83" t="s">
        <v>93</v>
      </c>
      <c r="D18" s="84">
        <v>7000</v>
      </c>
      <c r="E18" s="169">
        <v>1</v>
      </c>
      <c r="F18" s="86">
        <f>+E18*D18</f>
        <v>7000</v>
      </c>
      <c r="G18" s="60"/>
    </row>
    <row r="19" spans="1:7" ht="12.75" customHeight="1" x14ac:dyDescent="0.2">
      <c r="A19" s="222"/>
      <c r="B19" s="223"/>
      <c r="C19" s="64"/>
      <c r="D19" s="87"/>
      <c r="E19" s="170"/>
      <c r="F19" s="88"/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7000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7.6402269660834597E-3</v>
      </c>
      <c r="F32" s="86">
        <f>+D32*E32</f>
        <v>2200.3853662320362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2200.3853662320362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9300</v>
      </c>
      <c r="H41" s="171"/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2697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93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465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88.35</v>
      </c>
      <c r="G47" s="60"/>
    </row>
    <row r="48" spans="1:9" ht="13.5" thickBot="1" x14ac:dyDescent="0.25">
      <c r="F48" s="147" t="s">
        <v>144</v>
      </c>
      <c r="G48" s="148">
        <f>+F44+F45+F46+F47</f>
        <v>3343.35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12643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B8F24379-91D0-4974-9B1D-62994E276D23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7F92A-6C45-48FB-8E0A-252E02567EC0}">
  <dimension ref="A1:I57"/>
  <sheetViews>
    <sheetView view="pageBreakPreview" topLeftCell="A40" zoomScale="85" zoomScaleNormal="100" zoomScaleSheetLayoutView="85" workbookViewId="0">
      <selection activeCell="A52" sqref="A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7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3.01</v>
      </c>
      <c r="C5" s="240" t="str">
        <f>+'PRESUPUESTO FINAL '!B26</f>
        <v>MANTENIMIENTO DEL CENTRO DE CABLEADO. INCLUYE REORGANIZACIÓN, PEINADO DE CABLES, MARQUILLADO, ORGANIZADORES DE CABLES, CINTA VELCRO Y TODO LO NECESARIO PARA SU ORGANIZACION.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'!C26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600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600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/>
      <c r="B18" s="221"/>
      <c r="C18" s="83"/>
      <c r="D18" s="84"/>
      <c r="E18" s="169"/>
      <c r="F18" s="86"/>
      <c r="G18" s="60"/>
    </row>
    <row r="19" spans="1:7" ht="12.75" customHeight="1" x14ac:dyDescent="0.2">
      <c r="A19" s="222"/>
      <c r="B19" s="223"/>
      <c r="C19" s="64"/>
      <c r="D19" s="87"/>
      <c r="E19" s="170"/>
      <c r="F19" s="88"/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8.0708331731976681</v>
      </c>
      <c r="F32" s="86">
        <f>+D32*E32</f>
        <v>2324399.9538809285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2324399.9538809285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2325000</v>
      </c>
      <c r="H41" s="171"/>
      <c r="I41" s="13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674250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23250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116250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22087.5</v>
      </c>
      <c r="G47" s="60"/>
    </row>
    <row r="48" spans="1:9" ht="13.5" thickBot="1" x14ac:dyDescent="0.25">
      <c r="F48" s="147" t="s">
        <v>144</v>
      </c>
      <c r="G48" s="148">
        <f>+F44+F45+F46+F47</f>
        <v>835837.5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3160838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660BAE86-8B03-4CE5-8DA7-F87D8AD5C13C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1C2EA-F966-4536-8DD0-F589F5A3268C}">
  <dimension ref="A1:I57"/>
  <sheetViews>
    <sheetView view="pageBreakPreview" topLeftCell="A39" zoomScale="85" zoomScaleNormal="100" zoomScaleSheetLayoutView="85" workbookViewId="0">
      <selection activeCell="A52" sqref="A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8.83203125" style="55" bestFit="1" customWidth="1"/>
    <col min="9" max="9" width="22" style="55" customWidth="1"/>
    <col min="10" max="251" width="13.33203125" style="55" customWidth="1"/>
    <col min="252" max="252" width="26.83203125" style="55" customWidth="1"/>
    <col min="253" max="253" width="21" style="55" customWidth="1"/>
    <col min="254" max="254" width="16.83203125" style="55" customWidth="1"/>
    <col min="255" max="255" width="17.1640625" style="55" customWidth="1"/>
    <col min="256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3.02</v>
      </c>
      <c r="C5" s="240" t="str">
        <f>+'PRESUPUESTO FINAL '!B27</f>
        <v>DESMONTE DE PUNTO DE CABLEADO ESTRUCTURADO EXISTENTE. INCLUYE PUNTO LÓGICO, TOMA REGULADA, TOMA NORMAL, CABLEADO, CANALETA Y DEMÁS ELEMENTOS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'!C26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1133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1133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3"/>
      <c r="C17" s="81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/>
      <c r="B18" s="221"/>
      <c r="C18" s="83"/>
      <c r="D18" s="84"/>
      <c r="E18" s="169"/>
      <c r="F18" s="86"/>
      <c r="G18" s="60"/>
    </row>
    <row r="19" spans="1:7" ht="12.75" customHeight="1" x14ac:dyDescent="0.2">
      <c r="A19" s="222"/>
      <c r="B19" s="223"/>
      <c r="C19" s="64"/>
      <c r="D19" s="87"/>
      <c r="E19" s="170"/>
      <c r="F19" s="88"/>
      <c r="G19" s="89"/>
    </row>
    <row r="20" spans="1:7" ht="12.75" customHeight="1" x14ac:dyDescent="0.2">
      <c r="A20" s="222"/>
      <c r="B20" s="223"/>
      <c r="C20" s="64"/>
      <c r="D20" s="87"/>
      <c r="E20" s="64"/>
      <c r="F20" s="88"/>
      <c r="G20" s="89"/>
    </row>
    <row r="21" spans="1:7" ht="11.25" customHeight="1" x14ac:dyDescent="0.2">
      <c r="A21" s="222"/>
      <c r="B21" s="223"/>
      <c r="C21" s="64"/>
      <c r="D21" s="87"/>
      <c r="E21" s="90"/>
      <c r="F21" s="88"/>
      <c r="G21" s="89"/>
    </row>
    <row r="22" spans="1:7" ht="15.75" customHeight="1" thickBot="1" x14ac:dyDescent="0.25">
      <c r="A22" s="222"/>
      <c r="B22" s="223"/>
      <c r="C22" s="64"/>
      <c r="D22" s="87"/>
      <c r="E22" s="64"/>
      <c r="F22" s="91"/>
      <c r="G22" s="89"/>
    </row>
    <row r="23" spans="1:7" ht="13.5" thickBot="1" x14ac:dyDescent="0.25">
      <c r="A23" s="216"/>
      <c r="B23" s="217"/>
      <c r="C23" s="92"/>
      <c r="D23" s="93"/>
      <c r="E23" s="94"/>
      <c r="F23" s="95" t="s">
        <v>144</v>
      </c>
      <c r="G23" s="96">
        <f>SUM(F18:F22)</f>
        <v>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0.23499999999999999</v>
      </c>
      <c r="F32" s="86">
        <f>+D32*E32</f>
        <v>67680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67680</v>
      </c>
      <c r="I33" s="166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  <c r="H40" s="128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68813</v>
      </c>
      <c r="H41" s="174"/>
      <c r="I41" s="173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19955.77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688.13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3440.65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653.72350000000006</v>
      </c>
      <c r="G47" s="60"/>
    </row>
    <row r="48" spans="1:9" ht="13.5" thickBot="1" x14ac:dyDescent="0.25">
      <c r="F48" s="147" t="s">
        <v>144</v>
      </c>
      <c r="G48" s="148">
        <f>+F44+F45+F46+F47</f>
        <v>24738.273500000003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93551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1">
    <mergeCell ref="D41:F41"/>
    <mergeCell ref="A43:B43"/>
    <mergeCell ref="C43:D43"/>
    <mergeCell ref="E43:F43"/>
    <mergeCell ref="A55:D55"/>
    <mergeCell ref="A22:B22"/>
    <mergeCell ref="A35:B35"/>
    <mergeCell ref="A36:B36"/>
    <mergeCell ref="A37:B37"/>
    <mergeCell ref="A38:B38"/>
    <mergeCell ref="A17:B17"/>
    <mergeCell ref="A18:B18"/>
    <mergeCell ref="A19:B19"/>
    <mergeCell ref="A20:B20"/>
    <mergeCell ref="A21:B21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23:B23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2" xr:uid="{1EFF1FBA-89A7-4660-A722-4FB7E2E604A4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774E1-0F3C-497D-83E2-3F1DBA9B973F}">
  <dimension ref="A1:I57"/>
  <sheetViews>
    <sheetView view="pageBreakPreview" topLeftCell="A37" zoomScale="85" zoomScaleNormal="100" zoomScaleSheetLayoutView="85" workbookViewId="0">
      <selection activeCell="A50" sqref="A50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23.1640625" style="55" customWidth="1"/>
    <col min="9" max="244" width="13.33203125" style="55" customWidth="1"/>
    <col min="245" max="245" width="26.83203125" style="55" customWidth="1"/>
    <col min="246" max="246" width="21" style="55" customWidth="1"/>
    <col min="247" max="247" width="16.83203125" style="55" customWidth="1"/>
    <col min="248" max="248" width="17.1640625" style="55" customWidth="1"/>
    <col min="249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3.03</v>
      </c>
      <c r="C5" s="240" t="str">
        <f>+'PRESUPUESTO FINAL '!B28</f>
        <v>SUMINISTRO E INSTALACIÓN DE PUNTO LOGICO SENCILLO DE CABLEADO ESTRUCTURADO CAT. 6A, DESDE EL RACK, INCLUYE CERTIFICACIÓN, RED REGULADA Y NO REGULADA SEGUN ESPECIFICACIONES TÉCNICAS ANEXAS FLORENCIA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'!C26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850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850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4"/>
      <c r="C17" s="179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ht="13.5" thickBot="1" x14ac:dyDescent="0.25">
      <c r="A18" s="80"/>
      <c r="B18" s="186"/>
      <c r="C18" s="179"/>
      <c r="D18" s="81"/>
      <c r="E18" s="81"/>
      <c r="F18" s="82"/>
      <c r="G18" s="60"/>
    </row>
    <row r="19" spans="1:7" ht="63.75" customHeight="1" x14ac:dyDescent="0.2">
      <c r="A19" s="255" t="s">
        <v>183</v>
      </c>
      <c r="B19" s="256"/>
      <c r="C19" s="83" t="s">
        <v>181</v>
      </c>
      <c r="D19" s="175">
        <v>185000</v>
      </c>
      <c r="E19" s="169">
        <v>1</v>
      </c>
      <c r="F19" s="178">
        <f>+D19*E19</f>
        <v>185000</v>
      </c>
      <c r="G19" s="60"/>
    </row>
    <row r="20" spans="1:7" ht="43.5" customHeight="1" x14ac:dyDescent="0.2">
      <c r="A20" s="257" t="s">
        <v>180</v>
      </c>
      <c r="B20" s="258"/>
      <c r="C20" s="64" t="s">
        <v>94</v>
      </c>
      <c r="D20" s="176">
        <v>4100</v>
      </c>
      <c r="E20" s="170">
        <v>1</v>
      </c>
      <c r="F20" s="177">
        <f>+D20*E20</f>
        <v>4100</v>
      </c>
      <c r="G20" s="60"/>
    </row>
    <row r="21" spans="1:7" x14ac:dyDescent="0.2">
      <c r="A21" s="257"/>
      <c r="B21" s="258"/>
      <c r="C21" s="64"/>
      <c r="D21" s="176"/>
      <c r="E21" s="170"/>
      <c r="F21" s="177">
        <f>+D21*E21</f>
        <v>0</v>
      </c>
      <c r="G21" s="89"/>
    </row>
    <row r="22" spans="1:7" ht="15.75" customHeight="1" thickBot="1" x14ac:dyDescent="0.25">
      <c r="A22" s="224"/>
      <c r="B22" s="225"/>
      <c r="C22" s="72"/>
      <c r="D22" s="184"/>
      <c r="E22" s="72"/>
      <c r="F22" s="185"/>
      <c r="G22" s="89"/>
    </row>
    <row r="23" spans="1:7" ht="13.5" thickBot="1" x14ac:dyDescent="0.25">
      <c r="A23" s="259"/>
      <c r="B23" s="260"/>
      <c r="C23" s="180"/>
      <c r="D23" s="181"/>
      <c r="E23" s="182"/>
      <c r="F23" s="183" t="s">
        <v>144</v>
      </c>
      <c r="G23" s="96">
        <f>SUM(F19:F22)</f>
        <v>189100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0.23744025110782863</v>
      </c>
      <c r="F32" s="86">
        <f>+D32*E32</f>
        <v>68382.792319054643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68382.792319054643</v>
      </c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258333</v>
      </c>
      <c r="H41" s="17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74916.569999999992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2583.33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12916.650000000001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2454.1635000000001</v>
      </c>
      <c r="G47" s="60"/>
    </row>
    <row r="48" spans="1:9" ht="13.5" thickBot="1" x14ac:dyDescent="0.25">
      <c r="F48" s="147" t="s">
        <v>144</v>
      </c>
      <c r="G48" s="148">
        <f>+F44+F45+F46+F47</f>
        <v>92870.713499999983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351204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0">
    <mergeCell ref="A37:B37"/>
    <mergeCell ref="A38:B38"/>
    <mergeCell ref="D41:F41"/>
    <mergeCell ref="A43:B43"/>
    <mergeCell ref="C43:D43"/>
    <mergeCell ref="E43:F43"/>
    <mergeCell ref="A14:B14"/>
    <mergeCell ref="A19:B19"/>
    <mergeCell ref="A21:B21"/>
    <mergeCell ref="A35:B35"/>
    <mergeCell ref="A36:B36"/>
    <mergeCell ref="A20:B20"/>
    <mergeCell ref="A22:B22"/>
    <mergeCell ref="A23:B23"/>
    <mergeCell ref="A55:D55"/>
    <mergeCell ref="A56:C56"/>
    <mergeCell ref="A57:C57"/>
    <mergeCell ref="A17:B17"/>
    <mergeCell ref="A1:G1"/>
    <mergeCell ref="B4:G4"/>
    <mergeCell ref="C5:G5"/>
    <mergeCell ref="A8:B9"/>
    <mergeCell ref="C8:C9"/>
    <mergeCell ref="D8:D9"/>
    <mergeCell ref="E8:E9"/>
    <mergeCell ref="F8:F9"/>
    <mergeCell ref="A10:B10"/>
    <mergeCell ref="A11:B11"/>
    <mergeCell ref="A12:B12"/>
    <mergeCell ref="A13:B13"/>
  </mergeCells>
  <dataValidations count="1">
    <dataValidation type="list" allowBlank="1" showInputMessage="1" showErrorMessage="1" sqref="A20:A22" xr:uid="{FC2B4B6E-819B-486D-80B7-D3874E698395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7C5CF-5192-452C-B799-5668824BE073}">
  <dimension ref="A1:I57"/>
  <sheetViews>
    <sheetView view="pageBreakPreview" topLeftCell="A44" zoomScale="85" zoomScaleNormal="100" zoomScaleSheetLayoutView="85" workbookViewId="0">
      <selection activeCell="A52" sqref="A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23.1640625" style="55" customWidth="1"/>
    <col min="9" max="244" width="13.33203125" style="55" customWidth="1"/>
    <col min="245" max="245" width="26.83203125" style="55" customWidth="1"/>
    <col min="246" max="246" width="21" style="55" customWidth="1"/>
    <col min="247" max="247" width="16.83203125" style="55" customWidth="1"/>
    <col min="248" max="248" width="17.1640625" style="55" customWidth="1"/>
    <col min="249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3.04</v>
      </c>
      <c r="C5" s="240" t="str">
        <f>+'PRESUPUESTO FINAL '!B29</f>
        <v>SUMINISTRO E INSTALACIÓN DE PUNTO LOGICO DOBLE DE CABLEADO ESTRUCTURADO CAT. 6A, DESDE EL RACK, INCLUYE CERTIFICACIÓN, RED REGULADA Y NO REGULADA SEGUN ESPECIFICACIONESTÉCNICAS ANEXAS FLORENCIA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'!C26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850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850</v>
      </c>
    </row>
    <row r="16" spans="1:7" ht="13.5" thickBot="1" x14ac:dyDescent="0.25">
      <c r="A16" s="59" t="s">
        <v>145</v>
      </c>
      <c r="C16" s="78"/>
      <c r="F16" s="57"/>
      <c r="G16" s="79"/>
    </row>
    <row r="17" spans="1:8" ht="13.5" thickBot="1" x14ac:dyDescent="0.25">
      <c r="A17" s="252" t="s">
        <v>1</v>
      </c>
      <c r="B17" s="254"/>
      <c r="C17" s="179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8" ht="13.5" thickBot="1" x14ac:dyDescent="0.25">
      <c r="A18" s="80"/>
      <c r="B18" s="186"/>
      <c r="C18" s="179"/>
      <c r="D18" s="81"/>
      <c r="E18" s="81"/>
      <c r="F18" s="82"/>
      <c r="G18" s="60"/>
    </row>
    <row r="19" spans="1:8" ht="78" customHeight="1" x14ac:dyDescent="0.2">
      <c r="A19" s="255" t="s">
        <v>182</v>
      </c>
      <c r="B19" s="256"/>
      <c r="C19" s="83" t="s">
        <v>181</v>
      </c>
      <c r="D19" s="175">
        <v>286500</v>
      </c>
      <c r="E19" s="169">
        <v>1</v>
      </c>
      <c r="F19" s="178">
        <f>+D19*E19</f>
        <v>286500</v>
      </c>
      <c r="G19" s="60"/>
      <c r="H19" s="55">
        <f>4100-3500</f>
        <v>600</v>
      </c>
    </row>
    <row r="20" spans="1:8" ht="43.5" customHeight="1" x14ac:dyDescent="0.2">
      <c r="A20" s="257" t="s">
        <v>180</v>
      </c>
      <c r="B20" s="258"/>
      <c r="C20" s="64" t="s">
        <v>94</v>
      </c>
      <c r="D20" s="176">
        <v>3400</v>
      </c>
      <c r="E20" s="170">
        <v>100</v>
      </c>
      <c r="F20" s="177">
        <f>+D20*E20</f>
        <v>340000</v>
      </c>
      <c r="G20" s="60"/>
    </row>
    <row r="21" spans="1:8" x14ac:dyDescent="0.2">
      <c r="A21" s="257"/>
      <c r="B21" s="258"/>
      <c r="C21" s="64"/>
      <c r="D21" s="176"/>
      <c r="E21" s="170"/>
      <c r="F21" s="177">
        <f>+D21*E21</f>
        <v>0</v>
      </c>
      <c r="G21" s="89"/>
    </row>
    <row r="22" spans="1:8" ht="15.75" customHeight="1" thickBot="1" x14ac:dyDescent="0.25">
      <c r="A22" s="224"/>
      <c r="B22" s="225"/>
      <c r="C22" s="72"/>
      <c r="D22" s="184"/>
      <c r="E22" s="72"/>
      <c r="F22" s="185"/>
      <c r="G22" s="89"/>
    </row>
    <row r="23" spans="1:8" ht="13.5" thickBot="1" x14ac:dyDescent="0.25">
      <c r="A23" s="259"/>
      <c r="B23" s="260"/>
      <c r="C23" s="180"/>
      <c r="D23" s="181"/>
      <c r="E23" s="182"/>
      <c r="F23" s="183" t="s">
        <v>144</v>
      </c>
      <c r="G23" s="96">
        <f>SUM(F19:F22)</f>
        <v>626500</v>
      </c>
    </row>
    <row r="24" spans="1:8" x14ac:dyDescent="0.2">
      <c r="A24" s="97"/>
      <c r="B24" s="98"/>
      <c r="C24" s="99"/>
      <c r="D24" s="100"/>
      <c r="E24" s="99"/>
      <c r="F24" s="100"/>
      <c r="G24" s="101"/>
    </row>
    <row r="25" spans="1:8" ht="13.5" thickBot="1" x14ac:dyDescent="0.25">
      <c r="A25" s="59" t="s">
        <v>147</v>
      </c>
      <c r="G25" s="79"/>
    </row>
    <row r="26" spans="1:8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8" ht="15" customHeight="1" x14ac:dyDescent="0.2">
      <c r="A27" s="106"/>
      <c r="B27" s="107"/>
      <c r="C27" s="83"/>
      <c r="D27" s="107"/>
      <c r="E27" s="108"/>
      <c r="F27" s="109"/>
      <c r="G27" s="60"/>
    </row>
    <row r="28" spans="1:8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8" ht="13.5" thickBot="1" x14ac:dyDescent="0.25">
      <c r="A29" s="56"/>
      <c r="F29" s="129" t="s">
        <v>144</v>
      </c>
      <c r="G29" s="114">
        <f>+SUM(F27:F28)</f>
        <v>0</v>
      </c>
    </row>
    <row r="30" spans="1:8" ht="13.5" thickBot="1" x14ac:dyDescent="0.25">
      <c r="A30" s="59" t="s">
        <v>152</v>
      </c>
      <c r="G30" s="115"/>
    </row>
    <row r="31" spans="1:8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8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4.5491324241503737</v>
      </c>
      <c r="F32" s="86">
        <f>+D32*E32</f>
        <v>1310150.1381553076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1310150.1381553076</v>
      </c>
      <c r="H33" s="171"/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1937500</v>
      </c>
      <c r="H41" s="17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561875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19375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96875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18406.25</v>
      </c>
      <c r="G47" s="60"/>
    </row>
    <row r="48" spans="1:9" ht="13.5" thickBot="1" x14ac:dyDescent="0.25">
      <c r="F48" s="147" t="s">
        <v>144</v>
      </c>
      <c r="G48" s="148">
        <f>+F44+F45+F46+F47</f>
        <v>696531.25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2634031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0">
    <mergeCell ref="A43:B43"/>
    <mergeCell ref="C43:D43"/>
    <mergeCell ref="E43:F43"/>
    <mergeCell ref="A55:D55"/>
    <mergeCell ref="A23:B23"/>
    <mergeCell ref="A36:B36"/>
    <mergeCell ref="A37:B37"/>
    <mergeCell ref="A38:B38"/>
    <mergeCell ref="D41:F41"/>
    <mergeCell ref="A17:B17"/>
    <mergeCell ref="A19:B19"/>
    <mergeCell ref="A20:B20"/>
    <mergeCell ref="A21:B21"/>
    <mergeCell ref="A22:B22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35:B35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20:A22" xr:uid="{77789B96-D1E3-45A8-ADE6-0070BD9968FB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1A37A-6C03-4D24-87B5-54018DC8D421}">
  <dimension ref="A1:I57"/>
  <sheetViews>
    <sheetView view="pageBreakPreview" topLeftCell="A43" zoomScale="85" zoomScaleNormal="100" zoomScaleSheetLayoutView="85" workbookViewId="0">
      <selection activeCell="A52" sqref="A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23.1640625" style="55" customWidth="1"/>
    <col min="9" max="244" width="13.33203125" style="55" customWidth="1"/>
    <col min="245" max="245" width="26.83203125" style="55" customWidth="1"/>
    <col min="246" max="246" width="21" style="55" customWidth="1"/>
    <col min="247" max="247" width="16.83203125" style="55" customWidth="1"/>
    <col min="248" max="248" width="17.1640625" style="55" customWidth="1"/>
    <col min="249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>
        <v>3.05</v>
      </c>
      <c r="C5" s="240" t="str">
        <f>+'PRESUPUESTO FINAL '!B32</f>
        <v>SUMINISTRO E INSTALACIÓN DE PUNTO LOGICO SENCILLO DE CABLEADO ESTRUCTURADO PARA IMPRESORA CAT. 6A, DESDE EL RACK, INCLUYE CERTIFICACIÓN, RED NO REGULADA SEGUN ESPECIFICACIONES TÉCNICAS ANEXAS FLORENCIA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'!C26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850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850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4"/>
      <c r="C17" s="179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ht="13.5" thickBot="1" x14ac:dyDescent="0.25">
      <c r="A18" s="80"/>
      <c r="B18" s="186"/>
      <c r="C18" s="179"/>
      <c r="D18" s="81"/>
      <c r="E18" s="81"/>
      <c r="F18" s="82"/>
      <c r="G18" s="60"/>
    </row>
    <row r="19" spans="1:7" ht="75" customHeight="1" x14ac:dyDescent="0.2">
      <c r="A19" s="255" t="s">
        <v>182</v>
      </c>
      <c r="B19" s="256"/>
      <c r="C19" s="83" t="s">
        <v>181</v>
      </c>
      <c r="D19" s="175">
        <v>236500</v>
      </c>
      <c r="E19" s="169">
        <v>1</v>
      </c>
      <c r="F19" s="178">
        <f>+D19*E19</f>
        <v>236500</v>
      </c>
      <c r="G19" s="60"/>
    </row>
    <row r="20" spans="1:7" ht="43.5" customHeight="1" x14ac:dyDescent="0.2">
      <c r="A20" s="257" t="s">
        <v>180</v>
      </c>
      <c r="B20" s="258"/>
      <c r="C20" s="64" t="s">
        <v>94</v>
      </c>
      <c r="D20" s="176">
        <v>3400</v>
      </c>
      <c r="E20" s="170">
        <v>100</v>
      </c>
      <c r="F20" s="177">
        <f>+D20*E20</f>
        <v>340000</v>
      </c>
      <c r="G20" s="60"/>
    </row>
    <row r="21" spans="1:7" x14ac:dyDescent="0.2">
      <c r="A21" s="257"/>
      <c r="B21" s="258"/>
      <c r="C21" s="64"/>
      <c r="D21" s="176"/>
      <c r="E21" s="170"/>
      <c r="F21" s="177">
        <f>+D21*E21</f>
        <v>0</v>
      </c>
      <c r="G21" s="89"/>
    </row>
    <row r="22" spans="1:7" ht="15.75" customHeight="1" thickBot="1" x14ac:dyDescent="0.25">
      <c r="A22" s="224"/>
      <c r="B22" s="225"/>
      <c r="C22" s="72"/>
      <c r="D22" s="184"/>
      <c r="E22" s="72"/>
      <c r="F22" s="185"/>
      <c r="G22" s="89"/>
    </row>
    <row r="23" spans="1:7" ht="13.5" thickBot="1" x14ac:dyDescent="0.25">
      <c r="A23" s="259"/>
      <c r="B23" s="260"/>
      <c r="C23" s="180"/>
      <c r="D23" s="181"/>
      <c r="E23" s="182"/>
      <c r="F23" s="183" t="s">
        <v>144</v>
      </c>
      <c r="G23" s="96">
        <f>SUM(F19:F22)</f>
        <v>576500</v>
      </c>
    </row>
    <row r="24" spans="1:7" x14ac:dyDescent="0.2">
      <c r="A24" s="97"/>
      <c r="B24" s="98"/>
      <c r="C24" s="99"/>
      <c r="D24" s="100"/>
      <c r="E24" s="99"/>
      <c r="F24" s="100"/>
      <c r="G24" s="101"/>
    </row>
    <row r="25" spans="1:7" ht="13.5" thickBot="1" x14ac:dyDescent="0.25">
      <c r="A25" s="59" t="s">
        <v>147</v>
      </c>
      <c r="G25" s="79"/>
    </row>
    <row r="26" spans="1:7" ht="13.5" thickBot="1" x14ac:dyDescent="0.25">
      <c r="A26" s="120" t="s">
        <v>148</v>
      </c>
      <c r="B26" s="103" t="s">
        <v>149</v>
      </c>
      <c r="C26" s="104" t="s">
        <v>15</v>
      </c>
      <c r="D26" s="135" t="s">
        <v>150</v>
      </c>
      <c r="E26" s="103" t="s">
        <v>151</v>
      </c>
      <c r="F26" s="104" t="s">
        <v>142</v>
      </c>
      <c r="G26" s="79"/>
    </row>
    <row r="27" spans="1:7" ht="15" customHeight="1" x14ac:dyDescent="0.2">
      <c r="A27" s="106"/>
      <c r="B27" s="107"/>
      <c r="C27" s="83"/>
      <c r="D27" s="107"/>
      <c r="E27" s="108"/>
      <c r="F27" s="109"/>
      <c r="G27" s="60"/>
    </row>
    <row r="28" spans="1:7" ht="15" customHeight="1" thickBot="1" x14ac:dyDescent="0.25">
      <c r="A28" s="110"/>
      <c r="B28" s="74"/>
      <c r="C28" s="111"/>
      <c r="D28" s="74"/>
      <c r="E28" s="112"/>
      <c r="F28" s="113"/>
      <c r="G28" s="60"/>
    </row>
    <row r="29" spans="1:7" ht="13.5" thickBot="1" x14ac:dyDescent="0.25">
      <c r="A29" s="56"/>
      <c r="F29" s="129" t="s">
        <v>144</v>
      </c>
      <c r="G29" s="114">
        <f>+SUM(F27:F28)</f>
        <v>0</v>
      </c>
    </row>
    <row r="30" spans="1:7" ht="13.5" thickBot="1" x14ac:dyDescent="0.25">
      <c r="A30" s="59" t="s">
        <v>152</v>
      </c>
      <c r="G30" s="115"/>
    </row>
    <row r="31" spans="1:7" ht="13.5" thickBot="1" x14ac:dyDescent="0.25">
      <c r="A31" s="120" t="s">
        <v>153</v>
      </c>
      <c r="B31" s="103" t="s">
        <v>154</v>
      </c>
      <c r="C31" s="103" t="s">
        <v>155</v>
      </c>
      <c r="D31" s="103" t="s">
        <v>156</v>
      </c>
      <c r="E31" s="103" t="s">
        <v>141</v>
      </c>
      <c r="F31" s="104" t="s">
        <v>142</v>
      </c>
      <c r="G31" s="115"/>
    </row>
    <row r="32" spans="1:7" ht="36.75" customHeight="1" thickBot="1" x14ac:dyDescent="0.25">
      <c r="A32" s="167" t="s">
        <v>184</v>
      </c>
      <c r="B32" s="116">
        <f>110000+70000</f>
        <v>180000</v>
      </c>
      <c r="C32" s="117">
        <v>1.6</v>
      </c>
      <c r="D32" s="118">
        <f>+C32*B32</f>
        <v>288000</v>
      </c>
      <c r="E32" s="119">
        <v>4.0500016537007548</v>
      </c>
      <c r="F32" s="86">
        <f>+D32*E32</f>
        <v>1166400.4762658174</v>
      </c>
      <c r="G32" s="115"/>
    </row>
    <row r="33" spans="1:9" ht="13.5" thickBot="1" x14ac:dyDescent="0.25">
      <c r="A33" s="56"/>
      <c r="F33" s="129" t="s">
        <v>144</v>
      </c>
      <c r="G33" s="114">
        <f>+SUM(F32:F32)</f>
        <v>1166400.4762658174</v>
      </c>
    </row>
    <row r="34" spans="1:9" ht="13.5" thickBot="1" x14ac:dyDescent="0.25">
      <c r="A34" s="59" t="s">
        <v>157</v>
      </c>
      <c r="G34" s="79"/>
    </row>
    <row r="35" spans="1:9" ht="13.5" thickBot="1" x14ac:dyDescent="0.25">
      <c r="A35" s="218" t="s">
        <v>1</v>
      </c>
      <c r="B35" s="219"/>
      <c r="C35" s="103" t="s">
        <v>15</v>
      </c>
      <c r="D35" s="103" t="s">
        <v>146</v>
      </c>
      <c r="E35" s="103" t="s">
        <v>16</v>
      </c>
      <c r="F35" s="104" t="s">
        <v>142</v>
      </c>
      <c r="G35" s="79"/>
    </row>
    <row r="36" spans="1:9" ht="15" customHeight="1" x14ac:dyDescent="0.2">
      <c r="A36" s="220"/>
      <c r="B36" s="221"/>
      <c r="C36" s="83"/>
      <c r="D36" s="108"/>
      <c r="E36" s="108"/>
      <c r="F36" s="121"/>
      <c r="G36" s="115"/>
    </row>
    <row r="37" spans="1:9" ht="15" customHeight="1" x14ac:dyDescent="0.2">
      <c r="A37" s="222"/>
      <c r="B37" s="223"/>
      <c r="C37" s="64"/>
      <c r="D37" s="122"/>
      <c r="E37" s="122"/>
      <c r="F37" s="123"/>
      <c r="G37" s="115"/>
    </row>
    <row r="38" spans="1:9" ht="15" customHeight="1" thickBot="1" x14ac:dyDescent="0.25">
      <c r="A38" s="224"/>
      <c r="B38" s="225"/>
      <c r="C38" s="72"/>
      <c r="D38" s="112"/>
      <c r="E38" s="112"/>
      <c r="F38" s="124"/>
      <c r="G38" s="115"/>
    </row>
    <row r="39" spans="1:9" ht="13.5" thickBot="1" x14ac:dyDescent="0.25">
      <c r="A39" s="56"/>
      <c r="F39" s="129" t="s">
        <v>144</v>
      </c>
      <c r="G39" s="125">
        <f>SUM(F36:F38)</f>
        <v>0</v>
      </c>
    </row>
    <row r="40" spans="1:9" ht="13.5" thickBot="1" x14ac:dyDescent="0.25">
      <c r="A40" s="56"/>
      <c r="F40" s="126"/>
      <c r="G40" s="127"/>
    </row>
    <row r="41" spans="1:9" ht="13.5" thickBot="1" x14ac:dyDescent="0.25">
      <c r="A41" s="56"/>
      <c r="D41" s="229" t="s">
        <v>158</v>
      </c>
      <c r="E41" s="230"/>
      <c r="F41" s="230"/>
      <c r="G41" s="130">
        <f>+ROUND(SUM(G39+G33+G29+G23+G15),0)</f>
        <v>1743750</v>
      </c>
      <c r="H41" s="171"/>
    </row>
    <row r="42" spans="1:9" ht="13.5" thickBot="1" x14ac:dyDescent="0.25">
      <c r="A42" s="59" t="s">
        <v>159</v>
      </c>
      <c r="F42" s="132"/>
      <c r="G42" s="133"/>
      <c r="I42" s="134"/>
    </row>
    <row r="43" spans="1:9" ht="13.5" thickBot="1" x14ac:dyDescent="0.25">
      <c r="A43" s="226" t="s">
        <v>1</v>
      </c>
      <c r="B43" s="227"/>
      <c r="C43" s="228" t="s">
        <v>160</v>
      </c>
      <c r="D43" s="227"/>
      <c r="E43" s="228" t="s">
        <v>161</v>
      </c>
      <c r="F43" s="231"/>
      <c r="G43" s="136"/>
      <c r="I43" s="128"/>
    </row>
    <row r="44" spans="1:9" ht="15" customHeight="1" x14ac:dyDescent="0.2">
      <c r="A44" s="137" t="s">
        <v>5</v>
      </c>
      <c r="B44" s="138"/>
      <c r="C44" s="138"/>
      <c r="D44" s="139">
        <v>0.28999999999999998</v>
      </c>
      <c r="E44" s="140"/>
      <c r="F44" s="141">
        <f>D44*G41</f>
        <v>505687.49999999994</v>
      </c>
      <c r="G44" s="60"/>
    </row>
    <row r="45" spans="1:9" ht="15" customHeight="1" x14ac:dyDescent="0.2">
      <c r="A45" s="142" t="s">
        <v>10</v>
      </c>
      <c r="B45" s="143"/>
      <c r="C45" s="143"/>
      <c r="D45" s="144">
        <v>0.01</v>
      </c>
      <c r="E45" s="145"/>
      <c r="F45" s="146">
        <f>+G41*D45</f>
        <v>17437.5</v>
      </c>
      <c r="G45" s="60"/>
    </row>
    <row r="46" spans="1:9" ht="15" customHeight="1" x14ac:dyDescent="0.2">
      <c r="A46" s="142" t="s">
        <v>6</v>
      </c>
      <c r="B46" s="143"/>
      <c r="C46" s="143"/>
      <c r="D46" s="144">
        <v>0.05</v>
      </c>
      <c r="E46" s="145"/>
      <c r="F46" s="146">
        <f>+G41*D46</f>
        <v>87187.5</v>
      </c>
      <c r="G46" s="60"/>
    </row>
    <row r="47" spans="1:9" ht="15" customHeight="1" thickBot="1" x14ac:dyDescent="0.25">
      <c r="A47" s="142" t="s">
        <v>197</v>
      </c>
      <c r="B47" s="143"/>
      <c r="C47" s="143"/>
      <c r="D47" s="144">
        <v>0.19</v>
      </c>
      <c r="E47" s="145"/>
      <c r="F47" s="146">
        <f>+F46*D47</f>
        <v>16565.625</v>
      </c>
      <c r="G47" s="60"/>
    </row>
    <row r="48" spans="1:9" ht="13.5" thickBot="1" x14ac:dyDescent="0.25">
      <c r="F48" s="147" t="s">
        <v>144</v>
      </c>
      <c r="G48" s="148">
        <f>+F44+F45+F46+F47</f>
        <v>626878.125</v>
      </c>
    </row>
    <row r="49" spans="1:9" x14ac:dyDescent="0.2">
      <c r="I49" s="128"/>
    </row>
    <row r="50" spans="1:9" ht="13.5" thickBot="1" x14ac:dyDescent="0.25">
      <c r="F50" s="149"/>
      <c r="G50" s="149"/>
    </row>
    <row r="51" spans="1:9" ht="13.5" thickBot="1" x14ac:dyDescent="0.25">
      <c r="E51" s="150"/>
      <c r="F51" s="151" t="s">
        <v>162</v>
      </c>
      <c r="G51" s="148">
        <f>ROUND(G48+G41,0)</f>
        <v>2370628</v>
      </c>
      <c r="H51" s="152"/>
      <c r="I51" s="134"/>
    </row>
    <row r="53" spans="1:9" x14ac:dyDescent="0.2">
      <c r="I53" s="166"/>
    </row>
    <row r="54" spans="1:9" x14ac:dyDescent="0.2">
      <c r="A54" s="153"/>
      <c r="B54" s="153"/>
      <c r="C54" s="154"/>
      <c r="D54" s="154"/>
    </row>
    <row r="55" spans="1:9" x14ac:dyDescent="0.2">
      <c r="A55" s="215" t="s">
        <v>163</v>
      </c>
      <c r="B55" s="215"/>
      <c r="C55" s="215"/>
      <c r="D55" s="215"/>
    </row>
    <row r="56" spans="1:9" x14ac:dyDescent="0.2">
      <c r="A56" s="215" t="s">
        <v>198</v>
      </c>
      <c r="B56" s="215"/>
      <c r="C56" s="215"/>
    </row>
    <row r="57" spans="1:9" x14ac:dyDescent="0.2">
      <c r="A57" s="215" t="s">
        <v>199</v>
      </c>
      <c r="B57" s="215"/>
      <c r="C57" s="215"/>
    </row>
  </sheetData>
  <mergeCells count="30">
    <mergeCell ref="A43:B43"/>
    <mergeCell ref="C43:D43"/>
    <mergeCell ref="E43:F43"/>
    <mergeCell ref="A55:D55"/>
    <mergeCell ref="A23:B23"/>
    <mergeCell ref="A36:B36"/>
    <mergeCell ref="A37:B37"/>
    <mergeCell ref="A38:B38"/>
    <mergeCell ref="D41:F41"/>
    <mergeCell ref="A17:B17"/>
    <mergeCell ref="A19:B19"/>
    <mergeCell ref="A20:B20"/>
    <mergeCell ref="A21:B21"/>
    <mergeCell ref="A22:B22"/>
    <mergeCell ref="A56:C56"/>
    <mergeCell ref="A57:C57"/>
    <mergeCell ref="A1:G1"/>
    <mergeCell ref="B4:G4"/>
    <mergeCell ref="C5:G5"/>
    <mergeCell ref="A8:B9"/>
    <mergeCell ref="C8:C9"/>
    <mergeCell ref="D8:D9"/>
    <mergeCell ref="E8:E9"/>
    <mergeCell ref="F8:F9"/>
    <mergeCell ref="A35:B35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20:A22" xr:uid="{46608220-B2B5-49BC-9B2E-3B66F1A132E6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23820-41E4-4CAE-A9D8-6C5E1AD3F4C2}">
  <dimension ref="A1:I56"/>
  <sheetViews>
    <sheetView view="pageBreakPreview" topLeftCell="A43" zoomScale="85" zoomScaleNormal="100" zoomScaleSheetLayoutView="85" workbookViewId="0">
      <selection activeCell="C60" sqref="C60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23.1640625" style="55" customWidth="1"/>
    <col min="9" max="244" width="13.33203125" style="55" customWidth="1"/>
    <col min="245" max="245" width="26.83203125" style="55" customWidth="1"/>
    <col min="246" max="246" width="21" style="55" customWidth="1"/>
    <col min="247" max="247" width="16.83203125" style="55" customWidth="1"/>
    <col min="248" max="248" width="17.1640625" style="55" customWidth="1"/>
    <col min="249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 t="s">
        <v>66</v>
      </c>
      <c r="C5" s="240" t="str">
        <f>+'PRESUPUESTO FINAL '!B33</f>
        <v xml:space="preserve">SUMINISTRO E INSTALCIÓN DE CABLE UTP CATAGORIA 6A. 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'!C26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4"/>
      <c r="C17" s="179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80"/>
      <c r="B18" s="186"/>
      <c r="C18" s="179"/>
      <c r="D18" s="81"/>
      <c r="E18" s="81"/>
      <c r="F18" s="82"/>
      <c r="G18" s="60"/>
    </row>
    <row r="19" spans="1:7" ht="43.5" customHeight="1" x14ac:dyDescent="0.2">
      <c r="A19" s="257" t="s">
        <v>180</v>
      </c>
      <c r="B19" s="258"/>
      <c r="C19" s="64" t="s">
        <v>94</v>
      </c>
      <c r="D19" s="176">
        <v>3400</v>
      </c>
      <c r="E19" s="170">
        <v>1</v>
      </c>
      <c r="F19" s="177">
        <f>+D19*E19</f>
        <v>3400</v>
      </c>
      <c r="G19" s="60"/>
    </row>
    <row r="20" spans="1:7" x14ac:dyDescent="0.2">
      <c r="A20" s="257"/>
      <c r="B20" s="258"/>
      <c r="C20" s="64"/>
      <c r="D20" s="176"/>
      <c r="E20" s="170"/>
      <c r="F20" s="177">
        <f>+D20*E20</f>
        <v>0</v>
      </c>
      <c r="G20" s="89"/>
    </row>
    <row r="21" spans="1:7" ht="15.75" customHeight="1" thickBot="1" x14ac:dyDescent="0.25">
      <c r="A21" s="224"/>
      <c r="B21" s="225"/>
      <c r="C21" s="72"/>
      <c r="D21" s="184"/>
      <c r="E21" s="72"/>
      <c r="F21" s="185"/>
      <c r="G21" s="89"/>
    </row>
    <row r="22" spans="1:7" ht="13.5" thickBot="1" x14ac:dyDescent="0.25">
      <c r="A22" s="259"/>
      <c r="B22" s="260"/>
      <c r="C22" s="180"/>
      <c r="D22" s="181"/>
      <c r="E22" s="182"/>
      <c r="F22" s="183" t="s">
        <v>144</v>
      </c>
      <c r="G22" s="96">
        <f>SUM(F19:F21)</f>
        <v>3400</v>
      </c>
    </row>
    <row r="23" spans="1:7" x14ac:dyDescent="0.2">
      <c r="A23" s="97"/>
      <c r="B23" s="98"/>
      <c r="C23" s="99"/>
      <c r="D23" s="100"/>
      <c r="E23" s="99"/>
      <c r="F23" s="100"/>
      <c r="G23" s="101"/>
    </row>
    <row r="24" spans="1:7" ht="13.5" thickBot="1" x14ac:dyDescent="0.25">
      <c r="A24" s="59" t="s">
        <v>147</v>
      </c>
      <c r="G24" s="79"/>
    </row>
    <row r="25" spans="1:7" ht="13.5" thickBot="1" x14ac:dyDescent="0.25">
      <c r="A25" s="120" t="s">
        <v>148</v>
      </c>
      <c r="B25" s="103" t="s">
        <v>149</v>
      </c>
      <c r="C25" s="104" t="s">
        <v>15</v>
      </c>
      <c r="D25" s="135" t="s">
        <v>150</v>
      </c>
      <c r="E25" s="103" t="s">
        <v>151</v>
      </c>
      <c r="F25" s="104" t="s">
        <v>142</v>
      </c>
      <c r="G25" s="79"/>
    </row>
    <row r="26" spans="1:7" ht="15" customHeight="1" x14ac:dyDescent="0.2">
      <c r="A26" s="106"/>
      <c r="B26" s="107"/>
      <c r="C26" s="83"/>
      <c r="D26" s="107"/>
      <c r="E26" s="108"/>
      <c r="F26" s="109"/>
      <c r="G26" s="60"/>
    </row>
    <row r="27" spans="1:7" ht="15" customHeight="1" thickBot="1" x14ac:dyDescent="0.25">
      <c r="A27" s="110"/>
      <c r="B27" s="74"/>
      <c r="C27" s="111"/>
      <c r="D27" s="74"/>
      <c r="E27" s="112"/>
      <c r="F27" s="113"/>
      <c r="G27" s="60"/>
    </row>
    <row r="28" spans="1:7" ht="13.5" thickBot="1" x14ac:dyDescent="0.25">
      <c r="A28" s="56"/>
      <c r="F28" s="129" t="s">
        <v>144</v>
      </c>
      <c r="G28" s="114">
        <f>+SUM(F26:F27)</f>
        <v>0</v>
      </c>
    </row>
    <row r="29" spans="1:7" ht="13.5" thickBot="1" x14ac:dyDescent="0.25">
      <c r="A29" s="59" t="s">
        <v>152</v>
      </c>
      <c r="G29" s="115"/>
    </row>
    <row r="30" spans="1:7" ht="13.5" thickBot="1" x14ac:dyDescent="0.25">
      <c r="A30" s="120" t="s">
        <v>153</v>
      </c>
      <c r="B30" s="103" t="s">
        <v>154</v>
      </c>
      <c r="C30" s="103" t="s">
        <v>155</v>
      </c>
      <c r="D30" s="103" t="s">
        <v>156</v>
      </c>
      <c r="E30" s="103" t="s">
        <v>141</v>
      </c>
      <c r="F30" s="104" t="s">
        <v>142</v>
      </c>
      <c r="G30" s="115"/>
    </row>
    <row r="31" spans="1:7" ht="36.75" customHeight="1" thickBot="1" x14ac:dyDescent="0.25">
      <c r="A31" s="167" t="s">
        <v>184</v>
      </c>
      <c r="B31" s="116">
        <f>110000+70000</f>
        <v>180000</v>
      </c>
      <c r="C31" s="117">
        <v>1.6</v>
      </c>
      <c r="D31" s="118">
        <f>+C31*B31</f>
        <v>288000</v>
      </c>
      <c r="E31" s="119">
        <v>2.430556548003393E-3</v>
      </c>
      <c r="F31" s="86">
        <f>+D31*E31</f>
        <v>700.00028582497725</v>
      </c>
      <c r="G31" s="115"/>
    </row>
    <row r="32" spans="1:7" ht="13.5" thickBot="1" x14ac:dyDescent="0.25">
      <c r="A32" s="56"/>
      <c r="F32" s="129" t="s">
        <v>144</v>
      </c>
      <c r="G32" s="114">
        <f>+SUM(F31:F31)</f>
        <v>700.00028582497725</v>
      </c>
    </row>
    <row r="33" spans="1:9" ht="13.5" thickBot="1" x14ac:dyDescent="0.25">
      <c r="A33" s="59" t="s">
        <v>157</v>
      </c>
      <c r="G33" s="79"/>
    </row>
    <row r="34" spans="1:9" ht="13.5" thickBot="1" x14ac:dyDescent="0.25">
      <c r="A34" s="218" t="s">
        <v>1</v>
      </c>
      <c r="B34" s="219"/>
      <c r="C34" s="103" t="s">
        <v>15</v>
      </c>
      <c r="D34" s="103" t="s">
        <v>146</v>
      </c>
      <c r="E34" s="103" t="s">
        <v>16</v>
      </c>
      <c r="F34" s="104" t="s">
        <v>142</v>
      </c>
      <c r="G34" s="79"/>
    </row>
    <row r="35" spans="1:9" ht="15" customHeight="1" x14ac:dyDescent="0.2">
      <c r="A35" s="220"/>
      <c r="B35" s="221"/>
      <c r="C35" s="83"/>
      <c r="D35" s="108"/>
      <c r="E35" s="108"/>
      <c r="F35" s="121"/>
      <c r="G35" s="115"/>
    </row>
    <row r="36" spans="1:9" ht="15" customHeight="1" x14ac:dyDescent="0.2">
      <c r="A36" s="222"/>
      <c r="B36" s="223"/>
      <c r="C36" s="64"/>
      <c r="D36" s="122"/>
      <c r="E36" s="122"/>
      <c r="F36" s="123"/>
      <c r="G36" s="115"/>
    </row>
    <row r="37" spans="1:9" ht="15" customHeight="1" thickBot="1" x14ac:dyDescent="0.25">
      <c r="A37" s="224"/>
      <c r="B37" s="225"/>
      <c r="C37" s="72"/>
      <c r="D37" s="112"/>
      <c r="E37" s="112"/>
      <c r="F37" s="124"/>
      <c r="G37" s="115"/>
    </row>
    <row r="38" spans="1:9" ht="13.5" thickBot="1" x14ac:dyDescent="0.25">
      <c r="A38" s="56"/>
      <c r="F38" s="129" t="s">
        <v>144</v>
      </c>
      <c r="G38" s="125">
        <f>SUM(F35:F37)</f>
        <v>0</v>
      </c>
    </row>
    <row r="39" spans="1:9" ht="13.5" thickBot="1" x14ac:dyDescent="0.25">
      <c r="A39" s="56"/>
      <c r="F39" s="126"/>
      <c r="G39" s="127"/>
    </row>
    <row r="40" spans="1:9" ht="13.5" thickBot="1" x14ac:dyDescent="0.25">
      <c r="A40" s="56"/>
      <c r="D40" s="229" t="s">
        <v>158</v>
      </c>
      <c r="E40" s="230"/>
      <c r="F40" s="230"/>
      <c r="G40" s="130">
        <f>+ROUND(SUM(G38+G32+G28+G22+G15),0)</f>
        <v>4100</v>
      </c>
      <c r="H40" s="171"/>
    </row>
    <row r="41" spans="1:9" ht="13.5" thickBot="1" x14ac:dyDescent="0.25">
      <c r="A41" s="59" t="s">
        <v>159</v>
      </c>
      <c r="F41" s="132"/>
      <c r="G41" s="133"/>
      <c r="I41" s="134"/>
    </row>
    <row r="42" spans="1:9" ht="13.5" thickBot="1" x14ac:dyDescent="0.25">
      <c r="A42" s="226" t="s">
        <v>1</v>
      </c>
      <c r="B42" s="227"/>
      <c r="C42" s="228" t="s">
        <v>160</v>
      </c>
      <c r="D42" s="227"/>
      <c r="E42" s="228" t="s">
        <v>161</v>
      </c>
      <c r="F42" s="231"/>
      <c r="G42" s="136"/>
      <c r="I42" s="128"/>
    </row>
    <row r="43" spans="1:9" ht="15" customHeight="1" x14ac:dyDescent="0.2">
      <c r="A43" s="137" t="s">
        <v>5</v>
      </c>
      <c r="B43" s="138"/>
      <c r="C43" s="138"/>
      <c r="D43" s="139">
        <v>0.28999999999999998</v>
      </c>
      <c r="E43" s="140"/>
      <c r="F43" s="141">
        <f>D43*G40</f>
        <v>1189</v>
      </c>
      <c r="G43" s="60"/>
    </row>
    <row r="44" spans="1:9" ht="15" customHeight="1" x14ac:dyDescent="0.2">
      <c r="A44" s="142" t="s">
        <v>10</v>
      </c>
      <c r="B44" s="143"/>
      <c r="C44" s="143"/>
      <c r="D44" s="144">
        <v>0.01</v>
      </c>
      <c r="E44" s="145"/>
      <c r="F44" s="146">
        <f>+G40*D44</f>
        <v>41</v>
      </c>
      <c r="G44" s="60"/>
    </row>
    <row r="45" spans="1:9" ht="15" customHeight="1" x14ac:dyDescent="0.2">
      <c r="A45" s="142" t="s">
        <v>6</v>
      </c>
      <c r="B45" s="143"/>
      <c r="C45" s="143"/>
      <c r="D45" s="144">
        <v>0.05</v>
      </c>
      <c r="E45" s="145"/>
      <c r="F45" s="146">
        <f>+G40*D45</f>
        <v>205</v>
      </c>
      <c r="G45" s="60"/>
    </row>
    <row r="46" spans="1:9" ht="15" customHeight="1" thickBot="1" x14ac:dyDescent="0.25">
      <c r="A46" s="142" t="s">
        <v>197</v>
      </c>
      <c r="B46" s="143"/>
      <c r="C46" s="143"/>
      <c r="D46" s="144">
        <v>0.19</v>
      </c>
      <c r="E46" s="145"/>
      <c r="F46" s="146">
        <f>+F45*D46</f>
        <v>38.950000000000003</v>
      </c>
      <c r="G46" s="60"/>
    </row>
    <row r="47" spans="1:9" ht="13.5" thickBot="1" x14ac:dyDescent="0.25">
      <c r="F47" s="147" t="s">
        <v>144</v>
      </c>
      <c r="G47" s="148">
        <f>+F43+F44+F45+F46</f>
        <v>1473.95</v>
      </c>
    </row>
    <row r="48" spans="1:9" x14ac:dyDescent="0.2">
      <c r="I48" s="128"/>
    </row>
    <row r="49" spans="1:9" ht="13.5" thickBot="1" x14ac:dyDescent="0.25">
      <c r="F49" s="149"/>
      <c r="G49" s="149"/>
    </row>
    <row r="50" spans="1:9" ht="13.5" thickBot="1" x14ac:dyDescent="0.25">
      <c r="E50" s="150"/>
      <c r="F50" s="151" t="s">
        <v>162</v>
      </c>
      <c r="G50" s="148">
        <f>ROUND(G47+G40,0)</f>
        <v>5574</v>
      </c>
      <c r="H50" s="152"/>
      <c r="I50" s="134"/>
    </row>
    <row r="52" spans="1:9" x14ac:dyDescent="0.2">
      <c r="I52" s="166"/>
    </row>
    <row r="53" spans="1:9" x14ac:dyDescent="0.2">
      <c r="A53" s="153"/>
      <c r="B53" s="153"/>
      <c r="C53" s="154"/>
      <c r="D53" s="154"/>
    </row>
    <row r="54" spans="1:9" x14ac:dyDescent="0.2">
      <c r="A54" s="215" t="s">
        <v>163</v>
      </c>
      <c r="B54" s="215"/>
      <c r="C54" s="215"/>
      <c r="D54" s="215"/>
    </row>
    <row r="55" spans="1:9" x14ac:dyDescent="0.2">
      <c r="A55" s="215" t="s">
        <v>198</v>
      </c>
      <c r="B55" s="215"/>
      <c r="C55" s="215"/>
    </row>
    <row r="56" spans="1:9" x14ac:dyDescent="0.2">
      <c r="A56" s="215" t="s">
        <v>199</v>
      </c>
      <c r="B56" s="215"/>
      <c r="C56" s="215"/>
    </row>
  </sheetData>
  <mergeCells count="29">
    <mergeCell ref="A54:D54"/>
    <mergeCell ref="A35:B35"/>
    <mergeCell ref="A36:B36"/>
    <mergeCell ref="A37:B37"/>
    <mergeCell ref="D40:F40"/>
    <mergeCell ref="A42:B42"/>
    <mergeCell ref="C42:D42"/>
    <mergeCell ref="E42:F42"/>
    <mergeCell ref="A19:B19"/>
    <mergeCell ref="A20:B20"/>
    <mergeCell ref="A21:B21"/>
    <mergeCell ref="A22:B22"/>
    <mergeCell ref="A34:B34"/>
    <mergeCell ref="A55:C55"/>
    <mergeCell ref="A56:C56"/>
    <mergeCell ref="A17:B17"/>
    <mergeCell ref="A1:G1"/>
    <mergeCell ref="B4:G4"/>
    <mergeCell ref="C5:G5"/>
    <mergeCell ref="A8:B9"/>
    <mergeCell ref="C8:C9"/>
    <mergeCell ref="D8:D9"/>
    <mergeCell ref="E8:E9"/>
    <mergeCell ref="F8:F9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1" xr:uid="{73DF1AC1-6714-4765-A976-7A3FC9AB1889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F1AD4-8FF1-4EF4-99E7-49AC33C9A002}">
  <dimension ref="A1:I56"/>
  <sheetViews>
    <sheetView view="pageBreakPreview" topLeftCell="A34" zoomScale="85" zoomScaleNormal="100" zoomScaleSheetLayoutView="85" workbookViewId="0">
      <selection activeCell="A51" sqref="A51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8.1640625" style="55" customWidth="1"/>
    <col min="9" max="244" width="13.33203125" style="55" customWidth="1"/>
    <col min="245" max="245" width="26.83203125" style="55" customWidth="1"/>
    <col min="246" max="246" width="21" style="55" customWidth="1"/>
    <col min="247" max="247" width="16.83203125" style="55" customWidth="1"/>
    <col min="248" max="248" width="17.1640625" style="55" customWidth="1"/>
    <col min="249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 t="s">
        <v>67</v>
      </c>
      <c r="C5" s="240" t="str">
        <f>+'PRESUPUESTO FINAL '!B34</f>
        <v>DESMONTE DE CIELORASO EXISTENTE  EN DRYWALL . INCLUYE RETIRO DE SOBRANTES A SITIOS AUTORIZADOS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'!C34</f>
        <v>M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150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150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4"/>
      <c r="C17" s="179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80"/>
      <c r="B18" s="186"/>
      <c r="C18" s="179"/>
      <c r="D18" s="81"/>
      <c r="E18" s="81"/>
      <c r="F18" s="82"/>
      <c r="G18" s="60"/>
    </row>
    <row r="19" spans="1:7" x14ac:dyDescent="0.2">
      <c r="A19" s="257"/>
      <c r="B19" s="258"/>
      <c r="C19" s="64"/>
      <c r="D19" s="176"/>
      <c r="E19" s="170"/>
      <c r="F19" s="177"/>
      <c r="G19" s="60"/>
    </row>
    <row r="20" spans="1:7" x14ac:dyDescent="0.2">
      <c r="A20" s="257"/>
      <c r="B20" s="258"/>
      <c r="C20" s="64"/>
      <c r="D20" s="176"/>
      <c r="E20" s="170"/>
      <c r="F20" s="177"/>
      <c r="G20" s="89"/>
    </row>
    <row r="21" spans="1:7" ht="15.75" customHeight="1" thickBot="1" x14ac:dyDescent="0.25">
      <c r="A21" s="224"/>
      <c r="B21" s="225"/>
      <c r="C21" s="72"/>
      <c r="D21" s="184"/>
      <c r="E21" s="72"/>
      <c r="F21" s="185"/>
      <c r="G21" s="89"/>
    </row>
    <row r="22" spans="1:7" ht="13.5" thickBot="1" x14ac:dyDescent="0.25">
      <c r="A22" s="259"/>
      <c r="B22" s="260"/>
      <c r="C22" s="180"/>
      <c r="D22" s="181"/>
      <c r="E22" s="182"/>
      <c r="F22" s="183" t="s">
        <v>144</v>
      </c>
      <c r="G22" s="96">
        <f>SUM(F19:F21)</f>
        <v>0</v>
      </c>
    </row>
    <row r="23" spans="1:7" x14ac:dyDescent="0.2">
      <c r="A23" s="97"/>
      <c r="B23" s="98"/>
      <c r="C23" s="99"/>
      <c r="D23" s="100"/>
      <c r="E23" s="99"/>
      <c r="F23" s="100"/>
      <c r="G23" s="101"/>
    </row>
    <row r="24" spans="1:7" ht="13.5" thickBot="1" x14ac:dyDescent="0.25">
      <c r="A24" s="59" t="s">
        <v>147</v>
      </c>
      <c r="G24" s="79"/>
    </row>
    <row r="25" spans="1:7" ht="13.5" thickBot="1" x14ac:dyDescent="0.25">
      <c r="A25" s="120" t="s">
        <v>148</v>
      </c>
      <c r="B25" s="103" t="s">
        <v>149</v>
      </c>
      <c r="C25" s="104" t="s">
        <v>15</v>
      </c>
      <c r="D25" s="135" t="s">
        <v>150</v>
      </c>
      <c r="E25" s="103" t="s">
        <v>151</v>
      </c>
      <c r="F25" s="104" t="s">
        <v>142</v>
      </c>
      <c r="G25" s="79"/>
    </row>
    <row r="26" spans="1:7" ht="15" customHeight="1" x14ac:dyDescent="0.2">
      <c r="A26" s="106" t="s">
        <v>185</v>
      </c>
      <c r="B26" s="107"/>
      <c r="C26" s="83" t="s">
        <v>181</v>
      </c>
      <c r="D26" s="107">
        <v>1</v>
      </c>
      <c r="E26" s="108">
        <v>8500</v>
      </c>
      <c r="F26" s="109">
        <f>+D26*E26</f>
        <v>8500</v>
      </c>
      <c r="G26" s="60"/>
    </row>
    <row r="27" spans="1:7" ht="15" customHeight="1" thickBot="1" x14ac:dyDescent="0.25">
      <c r="A27" s="110"/>
      <c r="B27" s="74"/>
      <c r="C27" s="111"/>
      <c r="D27" s="74"/>
      <c r="E27" s="112"/>
      <c r="F27" s="113"/>
      <c r="G27" s="60"/>
    </row>
    <row r="28" spans="1:7" ht="13.5" thickBot="1" x14ac:dyDescent="0.25">
      <c r="A28" s="56"/>
      <c r="F28" s="129" t="s">
        <v>144</v>
      </c>
      <c r="G28" s="114">
        <f>+SUM(F26:F27)</f>
        <v>8500</v>
      </c>
    </row>
    <row r="29" spans="1:7" ht="13.5" thickBot="1" x14ac:dyDescent="0.25">
      <c r="A29" s="59" t="s">
        <v>152</v>
      </c>
      <c r="G29" s="115"/>
    </row>
    <row r="30" spans="1:7" ht="13.5" thickBot="1" x14ac:dyDescent="0.25">
      <c r="A30" s="120" t="s">
        <v>153</v>
      </c>
      <c r="B30" s="103" t="s">
        <v>154</v>
      </c>
      <c r="C30" s="103" t="s">
        <v>155</v>
      </c>
      <c r="D30" s="103" t="s">
        <v>156</v>
      </c>
      <c r="E30" s="103" t="s">
        <v>141</v>
      </c>
      <c r="F30" s="104" t="s">
        <v>142</v>
      </c>
      <c r="G30" s="115"/>
    </row>
    <row r="31" spans="1:7" ht="36.75" customHeight="1" thickBot="1" x14ac:dyDescent="0.25">
      <c r="A31" s="167" t="s">
        <v>186</v>
      </c>
      <c r="B31" s="116">
        <f>95000+60000</f>
        <v>155000</v>
      </c>
      <c r="C31" s="117">
        <v>1.6</v>
      </c>
      <c r="D31" s="118">
        <f>+C31*B31</f>
        <v>248000</v>
      </c>
      <c r="E31" s="119">
        <v>5.5848232385952629E-2</v>
      </c>
      <c r="F31" s="86">
        <f>+D31*E31</f>
        <v>13850.361631716252</v>
      </c>
      <c r="G31" s="115"/>
    </row>
    <row r="32" spans="1:7" ht="13.5" thickBot="1" x14ac:dyDescent="0.25">
      <c r="A32" s="56"/>
      <c r="F32" s="129" t="s">
        <v>144</v>
      </c>
      <c r="G32" s="114">
        <f>+SUM(F31:F31)</f>
        <v>13850.361631716252</v>
      </c>
    </row>
    <row r="33" spans="1:9" ht="13.5" thickBot="1" x14ac:dyDescent="0.25">
      <c r="A33" s="59" t="s">
        <v>157</v>
      </c>
      <c r="G33" s="79"/>
    </row>
    <row r="34" spans="1:9" ht="13.5" thickBot="1" x14ac:dyDescent="0.25">
      <c r="A34" s="218" t="s">
        <v>1</v>
      </c>
      <c r="B34" s="219"/>
      <c r="C34" s="103" t="s">
        <v>15</v>
      </c>
      <c r="D34" s="103" t="s">
        <v>146</v>
      </c>
      <c r="E34" s="103" t="s">
        <v>16</v>
      </c>
      <c r="F34" s="104" t="s">
        <v>142</v>
      </c>
      <c r="G34" s="79"/>
    </row>
    <row r="35" spans="1:9" ht="15" customHeight="1" x14ac:dyDescent="0.2">
      <c r="A35" s="220"/>
      <c r="B35" s="221"/>
      <c r="C35" s="83"/>
      <c r="D35" s="108"/>
      <c r="E35" s="108"/>
      <c r="F35" s="121"/>
      <c r="G35" s="115"/>
    </row>
    <row r="36" spans="1:9" ht="15" customHeight="1" x14ac:dyDescent="0.2">
      <c r="A36" s="222"/>
      <c r="B36" s="223"/>
      <c r="C36" s="64"/>
      <c r="D36" s="122"/>
      <c r="E36" s="122"/>
      <c r="F36" s="123"/>
      <c r="G36" s="115"/>
    </row>
    <row r="37" spans="1:9" ht="15" customHeight="1" thickBot="1" x14ac:dyDescent="0.25">
      <c r="A37" s="224"/>
      <c r="B37" s="225"/>
      <c r="C37" s="72"/>
      <c r="D37" s="112"/>
      <c r="E37" s="112"/>
      <c r="F37" s="124"/>
      <c r="G37" s="115"/>
    </row>
    <row r="38" spans="1:9" ht="13.5" thickBot="1" x14ac:dyDescent="0.25">
      <c r="A38" s="56"/>
      <c r="F38" s="129" t="s">
        <v>144</v>
      </c>
      <c r="G38" s="125">
        <f>SUM(F35:F37)</f>
        <v>0</v>
      </c>
    </row>
    <row r="39" spans="1:9" ht="13.5" thickBot="1" x14ac:dyDescent="0.25">
      <c r="A39" s="56"/>
      <c r="F39" s="126"/>
      <c r="G39" s="127"/>
    </row>
    <row r="40" spans="1:9" ht="13.5" thickBot="1" x14ac:dyDescent="0.25">
      <c r="A40" s="56"/>
      <c r="D40" s="229" t="s">
        <v>158</v>
      </c>
      <c r="E40" s="230"/>
      <c r="F40" s="230"/>
      <c r="G40" s="130">
        <f>+ROUND(SUM(G38+G32+G28+G22+G15),0)</f>
        <v>22500</v>
      </c>
      <c r="H40" s="171"/>
    </row>
    <row r="41" spans="1:9" ht="13.5" thickBot="1" x14ac:dyDescent="0.25">
      <c r="A41" s="59" t="s">
        <v>159</v>
      </c>
      <c r="F41" s="132"/>
      <c r="G41" s="133"/>
      <c r="I41" s="134"/>
    </row>
    <row r="42" spans="1:9" ht="13.5" thickBot="1" x14ac:dyDescent="0.25">
      <c r="A42" s="226" t="s">
        <v>1</v>
      </c>
      <c r="B42" s="227"/>
      <c r="C42" s="228" t="s">
        <v>160</v>
      </c>
      <c r="D42" s="227"/>
      <c r="E42" s="228" t="s">
        <v>161</v>
      </c>
      <c r="F42" s="231"/>
      <c r="G42" s="136"/>
      <c r="I42" s="128"/>
    </row>
    <row r="43" spans="1:9" ht="15" customHeight="1" x14ac:dyDescent="0.2">
      <c r="A43" s="137" t="s">
        <v>5</v>
      </c>
      <c r="B43" s="138"/>
      <c r="C43" s="138"/>
      <c r="D43" s="139">
        <v>0.28999999999999998</v>
      </c>
      <c r="E43" s="140"/>
      <c r="F43" s="141">
        <f>D43*G40</f>
        <v>6525</v>
      </c>
      <c r="G43" s="60"/>
    </row>
    <row r="44" spans="1:9" ht="15" customHeight="1" x14ac:dyDescent="0.2">
      <c r="A44" s="142" t="s">
        <v>10</v>
      </c>
      <c r="B44" s="143"/>
      <c r="C44" s="143"/>
      <c r="D44" s="144">
        <v>0.01</v>
      </c>
      <c r="E44" s="145"/>
      <c r="F44" s="146">
        <f>+G40*D44</f>
        <v>225</v>
      </c>
      <c r="G44" s="60"/>
    </row>
    <row r="45" spans="1:9" ht="15" customHeight="1" x14ac:dyDescent="0.2">
      <c r="A45" s="142" t="s">
        <v>6</v>
      </c>
      <c r="B45" s="143"/>
      <c r="C45" s="143"/>
      <c r="D45" s="144">
        <v>0.05</v>
      </c>
      <c r="E45" s="145"/>
      <c r="F45" s="146">
        <f>+G40*D45</f>
        <v>1125</v>
      </c>
      <c r="G45" s="60"/>
    </row>
    <row r="46" spans="1:9" ht="15" customHeight="1" thickBot="1" x14ac:dyDescent="0.25">
      <c r="A46" s="142" t="s">
        <v>197</v>
      </c>
      <c r="B46" s="143"/>
      <c r="C46" s="143"/>
      <c r="D46" s="144">
        <v>0.19</v>
      </c>
      <c r="E46" s="145"/>
      <c r="F46" s="146">
        <f>+F45*D46</f>
        <v>213.75</v>
      </c>
      <c r="G46" s="60"/>
    </row>
    <row r="47" spans="1:9" ht="13.5" thickBot="1" x14ac:dyDescent="0.25">
      <c r="F47" s="147" t="s">
        <v>144</v>
      </c>
      <c r="G47" s="148">
        <f>+F43+F44+F45+F46</f>
        <v>8088.75</v>
      </c>
    </row>
    <row r="48" spans="1:9" x14ac:dyDescent="0.2">
      <c r="I48" s="128"/>
    </row>
    <row r="49" spans="1:9" ht="13.5" thickBot="1" x14ac:dyDescent="0.25">
      <c r="F49" s="149"/>
      <c r="G49" s="149"/>
    </row>
    <row r="50" spans="1:9" ht="13.5" thickBot="1" x14ac:dyDescent="0.25">
      <c r="E50" s="150"/>
      <c r="F50" s="151" t="s">
        <v>162</v>
      </c>
      <c r="G50" s="148">
        <f>ROUND(G47+G40,0)</f>
        <v>30589</v>
      </c>
      <c r="H50" s="152"/>
      <c r="I50" s="134"/>
    </row>
    <row r="52" spans="1:9" x14ac:dyDescent="0.2">
      <c r="I52" s="166"/>
    </row>
    <row r="53" spans="1:9" x14ac:dyDescent="0.2">
      <c r="A53" s="153"/>
      <c r="B53" s="153"/>
      <c r="C53" s="154"/>
      <c r="D53" s="154"/>
    </row>
    <row r="54" spans="1:9" x14ac:dyDescent="0.2">
      <c r="A54" s="215" t="s">
        <v>163</v>
      </c>
      <c r="B54" s="215"/>
      <c r="C54" s="215"/>
      <c r="D54" s="215"/>
    </row>
    <row r="55" spans="1:9" x14ac:dyDescent="0.2">
      <c r="A55" s="215" t="s">
        <v>198</v>
      </c>
      <c r="B55" s="215"/>
      <c r="C55" s="215"/>
    </row>
    <row r="56" spans="1:9" x14ac:dyDescent="0.2">
      <c r="A56" s="215" t="s">
        <v>199</v>
      </c>
      <c r="B56" s="215"/>
      <c r="C56" s="215"/>
    </row>
  </sheetData>
  <mergeCells count="29">
    <mergeCell ref="A54:D54"/>
    <mergeCell ref="A34:B34"/>
    <mergeCell ref="A36:B36"/>
    <mergeCell ref="A37:B37"/>
    <mergeCell ref="D40:F40"/>
    <mergeCell ref="A42:B42"/>
    <mergeCell ref="C42:D42"/>
    <mergeCell ref="E42:F42"/>
    <mergeCell ref="A17:B17"/>
    <mergeCell ref="A19:B19"/>
    <mergeCell ref="A20:B20"/>
    <mergeCell ref="A21:B21"/>
    <mergeCell ref="A22:B22"/>
    <mergeCell ref="A55:C55"/>
    <mergeCell ref="A56:C56"/>
    <mergeCell ref="A1:G1"/>
    <mergeCell ref="B4:G4"/>
    <mergeCell ref="C5:G5"/>
    <mergeCell ref="A8:B9"/>
    <mergeCell ref="C8:C9"/>
    <mergeCell ref="D8:D9"/>
    <mergeCell ref="E8:E9"/>
    <mergeCell ref="F8:F9"/>
    <mergeCell ref="A35:B35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1" xr:uid="{ABD26673-6F6F-4D67-87AA-43D66171A737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2161C-2F07-4B6F-979D-A070A4F2D836}">
  <dimension ref="A1:I56"/>
  <sheetViews>
    <sheetView view="pageBreakPreview" topLeftCell="A34" zoomScale="85" zoomScaleNormal="100" zoomScaleSheetLayoutView="85" workbookViewId="0">
      <selection activeCell="C59" sqref="C59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8.1640625" style="55" customWidth="1"/>
    <col min="9" max="244" width="13.33203125" style="55" customWidth="1"/>
    <col min="245" max="245" width="26.83203125" style="55" customWidth="1"/>
    <col min="246" max="246" width="21" style="55" customWidth="1"/>
    <col min="247" max="247" width="16.83203125" style="55" customWidth="1"/>
    <col min="248" max="248" width="17.1640625" style="55" customWidth="1"/>
    <col min="249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 t="s">
        <v>68</v>
      </c>
      <c r="C5" s="240" t="str">
        <f>+'PRESUPUESTO FINAL '!B35</f>
        <v>SUMINISTRO DE CIELORASO EN DRYWALL, INCLUYE , ESTRUCTURA, TORNILLERIA, CINTA, MASILLA Y PINTURA DE ACABADO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'!C35</f>
        <v>M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200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200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x14ac:dyDescent="0.2">
      <c r="A17" s="252" t="s">
        <v>1</v>
      </c>
      <c r="B17" s="254"/>
      <c r="C17" s="179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61" t="s">
        <v>196</v>
      </c>
      <c r="B18" s="262"/>
      <c r="C18" s="64" t="s">
        <v>94</v>
      </c>
      <c r="D18" s="176">
        <v>44500</v>
      </c>
      <c r="E18" s="170">
        <v>0.4</v>
      </c>
      <c r="F18" s="177">
        <f>+D18*E18</f>
        <v>17800</v>
      </c>
      <c r="G18" s="60"/>
    </row>
    <row r="19" spans="1:7" ht="28.5" customHeight="1" x14ac:dyDescent="0.2">
      <c r="A19" s="263" t="s">
        <v>195</v>
      </c>
      <c r="B19" s="264"/>
      <c r="C19" s="64" t="s">
        <v>181</v>
      </c>
      <c r="D19" s="176">
        <v>13500</v>
      </c>
      <c r="E19" s="170">
        <v>1</v>
      </c>
      <c r="F19" s="177">
        <f>+D19*E19</f>
        <v>13500</v>
      </c>
      <c r="G19" s="60"/>
    </row>
    <row r="20" spans="1:7" x14ac:dyDescent="0.2">
      <c r="A20" s="257"/>
      <c r="B20" s="258"/>
      <c r="C20" s="64"/>
      <c r="D20" s="176"/>
      <c r="E20" s="170"/>
      <c r="F20" s="177"/>
      <c r="G20" s="89"/>
    </row>
    <row r="21" spans="1:7" ht="15.75" customHeight="1" thickBot="1" x14ac:dyDescent="0.25">
      <c r="A21" s="224"/>
      <c r="B21" s="225"/>
      <c r="C21" s="72"/>
      <c r="D21" s="184"/>
      <c r="E21" s="72"/>
      <c r="F21" s="185"/>
      <c r="G21" s="89"/>
    </row>
    <row r="22" spans="1:7" ht="13.5" thickBot="1" x14ac:dyDescent="0.25">
      <c r="A22" s="259"/>
      <c r="B22" s="260"/>
      <c r="C22" s="180"/>
      <c r="D22" s="181"/>
      <c r="E22" s="182"/>
      <c r="F22" s="183" t="s">
        <v>144</v>
      </c>
      <c r="G22" s="96">
        <f>SUM(F18:F21)</f>
        <v>31300</v>
      </c>
    </row>
    <row r="23" spans="1:7" x14ac:dyDescent="0.2">
      <c r="A23" s="97"/>
      <c r="B23" s="98"/>
      <c r="C23" s="99"/>
      <c r="D23" s="100"/>
      <c r="E23" s="99"/>
      <c r="F23" s="100"/>
      <c r="G23" s="101"/>
    </row>
    <row r="24" spans="1:7" ht="13.5" thickBot="1" x14ac:dyDescent="0.25">
      <c r="A24" s="59" t="s">
        <v>147</v>
      </c>
      <c r="G24" s="79"/>
    </row>
    <row r="25" spans="1:7" ht="13.5" thickBot="1" x14ac:dyDescent="0.25">
      <c r="A25" s="120" t="s">
        <v>148</v>
      </c>
      <c r="B25" s="103" t="s">
        <v>149</v>
      </c>
      <c r="C25" s="104" t="s">
        <v>15</v>
      </c>
      <c r="D25" s="135" t="s">
        <v>150</v>
      </c>
      <c r="E25" s="103" t="s">
        <v>151</v>
      </c>
      <c r="F25" s="104" t="s">
        <v>142</v>
      </c>
      <c r="G25" s="79"/>
    </row>
    <row r="26" spans="1:7" ht="15" customHeight="1" x14ac:dyDescent="0.2">
      <c r="A26" s="106" t="s">
        <v>185</v>
      </c>
      <c r="B26" s="107"/>
      <c r="C26" s="83" t="s">
        <v>181</v>
      </c>
      <c r="D26" s="107">
        <v>1</v>
      </c>
      <c r="E26" s="108">
        <v>8500</v>
      </c>
      <c r="F26" s="109">
        <f>+D26*E26</f>
        <v>8500</v>
      </c>
      <c r="G26" s="60"/>
    </row>
    <row r="27" spans="1:7" ht="15" customHeight="1" thickBot="1" x14ac:dyDescent="0.25">
      <c r="A27" s="110"/>
      <c r="B27" s="74"/>
      <c r="C27" s="111"/>
      <c r="D27" s="74"/>
      <c r="E27" s="112"/>
      <c r="F27" s="113"/>
      <c r="G27" s="60"/>
    </row>
    <row r="28" spans="1:7" ht="13.5" thickBot="1" x14ac:dyDescent="0.25">
      <c r="A28" s="56"/>
      <c r="F28" s="129" t="s">
        <v>144</v>
      </c>
      <c r="G28" s="114">
        <f>+SUM(F26:F27)</f>
        <v>8500</v>
      </c>
    </row>
    <row r="29" spans="1:7" ht="13.5" thickBot="1" x14ac:dyDescent="0.25">
      <c r="A29" s="59" t="s">
        <v>152</v>
      </c>
      <c r="G29" s="115"/>
    </row>
    <row r="30" spans="1:7" ht="13.5" thickBot="1" x14ac:dyDescent="0.25">
      <c r="A30" s="120" t="s">
        <v>153</v>
      </c>
      <c r="B30" s="103" t="s">
        <v>154</v>
      </c>
      <c r="C30" s="103" t="s">
        <v>155</v>
      </c>
      <c r="D30" s="103" t="s">
        <v>156</v>
      </c>
      <c r="E30" s="103" t="s">
        <v>141</v>
      </c>
      <c r="F30" s="104" t="s">
        <v>142</v>
      </c>
      <c r="G30" s="115"/>
    </row>
    <row r="31" spans="1:7" ht="36.75" customHeight="1" thickBot="1" x14ac:dyDescent="0.25">
      <c r="A31" s="167" t="s">
        <v>186</v>
      </c>
      <c r="B31" s="116">
        <f>95000+60000</f>
        <v>155000</v>
      </c>
      <c r="C31" s="117">
        <v>1.6</v>
      </c>
      <c r="D31" s="118">
        <f>+C31*B31</f>
        <v>248000</v>
      </c>
      <c r="E31" s="119">
        <v>0.18346648421759856</v>
      </c>
      <c r="F31" s="86">
        <f>+D31*E31</f>
        <v>45499.688085964444</v>
      </c>
      <c r="G31" s="115"/>
    </row>
    <row r="32" spans="1:7" ht="13.5" thickBot="1" x14ac:dyDescent="0.25">
      <c r="A32" s="56"/>
      <c r="F32" s="129" t="s">
        <v>144</v>
      </c>
      <c r="G32" s="114">
        <f>+SUM(F31:F31)</f>
        <v>45499.688085964444</v>
      </c>
    </row>
    <row r="33" spans="1:9" ht="13.5" thickBot="1" x14ac:dyDescent="0.25">
      <c r="A33" s="59" t="s">
        <v>157</v>
      </c>
      <c r="G33" s="79"/>
    </row>
    <row r="34" spans="1:9" ht="13.5" thickBot="1" x14ac:dyDescent="0.25">
      <c r="A34" s="218" t="s">
        <v>1</v>
      </c>
      <c r="B34" s="219"/>
      <c r="C34" s="103" t="s">
        <v>15</v>
      </c>
      <c r="D34" s="103" t="s">
        <v>146</v>
      </c>
      <c r="E34" s="103" t="s">
        <v>16</v>
      </c>
      <c r="F34" s="104" t="s">
        <v>142</v>
      </c>
      <c r="G34" s="79"/>
    </row>
    <row r="35" spans="1:9" ht="15" customHeight="1" x14ac:dyDescent="0.2">
      <c r="A35" s="220"/>
      <c r="B35" s="221"/>
      <c r="C35" s="83"/>
      <c r="D35" s="108"/>
      <c r="E35" s="108"/>
      <c r="F35" s="121"/>
      <c r="G35" s="115"/>
    </row>
    <row r="36" spans="1:9" ht="15" customHeight="1" x14ac:dyDescent="0.2">
      <c r="A36" s="222"/>
      <c r="B36" s="223"/>
      <c r="C36" s="64"/>
      <c r="D36" s="122"/>
      <c r="E36" s="122"/>
      <c r="F36" s="123"/>
      <c r="G36" s="115"/>
    </row>
    <row r="37" spans="1:9" ht="15" customHeight="1" thickBot="1" x14ac:dyDescent="0.25">
      <c r="A37" s="224"/>
      <c r="B37" s="225"/>
      <c r="C37" s="72"/>
      <c r="D37" s="112"/>
      <c r="E37" s="112"/>
      <c r="F37" s="124"/>
      <c r="G37" s="115"/>
    </row>
    <row r="38" spans="1:9" ht="13.5" thickBot="1" x14ac:dyDescent="0.25">
      <c r="A38" s="56"/>
      <c r="F38" s="129" t="s">
        <v>144</v>
      </c>
      <c r="G38" s="125">
        <f>SUM(F35:F37)</f>
        <v>0</v>
      </c>
    </row>
    <row r="39" spans="1:9" ht="13.5" thickBot="1" x14ac:dyDescent="0.25">
      <c r="A39" s="56"/>
      <c r="F39" s="126"/>
      <c r="G39" s="127"/>
    </row>
    <row r="40" spans="1:9" ht="13.5" thickBot="1" x14ac:dyDescent="0.25">
      <c r="A40" s="56"/>
      <c r="D40" s="229" t="s">
        <v>158</v>
      </c>
      <c r="E40" s="230"/>
      <c r="F40" s="230"/>
      <c r="G40" s="130">
        <f>+ROUND(SUM(G38+G32+G28+G22+G15),0)</f>
        <v>85500</v>
      </c>
      <c r="H40" s="171"/>
    </row>
    <row r="41" spans="1:9" ht="13.5" thickBot="1" x14ac:dyDescent="0.25">
      <c r="A41" s="59" t="s">
        <v>159</v>
      </c>
      <c r="F41" s="132"/>
      <c r="G41" s="133"/>
      <c r="I41" s="134"/>
    </row>
    <row r="42" spans="1:9" ht="13.5" thickBot="1" x14ac:dyDescent="0.25">
      <c r="A42" s="226" t="s">
        <v>1</v>
      </c>
      <c r="B42" s="227"/>
      <c r="C42" s="228" t="s">
        <v>160</v>
      </c>
      <c r="D42" s="227"/>
      <c r="E42" s="228" t="s">
        <v>161</v>
      </c>
      <c r="F42" s="231"/>
      <c r="G42" s="136"/>
      <c r="I42" s="128"/>
    </row>
    <row r="43" spans="1:9" ht="15" customHeight="1" x14ac:dyDescent="0.2">
      <c r="A43" s="137" t="s">
        <v>5</v>
      </c>
      <c r="B43" s="138"/>
      <c r="C43" s="138"/>
      <c r="D43" s="139">
        <v>0.28999999999999998</v>
      </c>
      <c r="E43" s="140"/>
      <c r="F43" s="141">
        <f>D43*G40</f>
        <v>24795</v>
      </c>
      <c r="G43" s="60"/>
    </row>
    <row r="44" spans="1:9" ht="15" customHeight="1" x14ac:dyDescent="0.2">
      <c r="A44" s="142" t="s">
        <v>10</v>
      </c>
      <c r="B44" s="143"/>
      <c r="C44" s="143"/>
      <c r="D44" s="144">
        <v>0.01</v>
      </c>
      <c r="E44" s="145"/>
      <c r="F44" s="146">
        <f>+G40*D44</f>
        <v>855</v>
      </c>
      <c r="G44" s="60"/>
    </row>
    <row r="45" spans="1:9" ht="15" customHeight="1" x14ac:dyDescent="0.2">
      <c r="A45" s="142" t="s">
        <v>6</v>
      </c>
      <c r="B45" s="143"/>
      <c r="C45" s="143"/>
      <c r="D45" s="144">
        <v>0.05</v>
      </c>
      <c r="E45" s="145"/>
      <c r="F45" s="146">
        <f>+G40*D45</f>
        <v>4275</v>
      </c>
      <c r="G45" s="60"/>
    </row>
    <row r="46" spans="1:9" ht="15" customHeight="1" thickBot="1" x14ac:dyDescent="0.25">
      <c r="A46" s="142" t="s">
        <v>197</v>
      </c>
      <c r="B46" s="143"/>
      <c r="C46" s="143"/>
      <c r="D46" s="144">
        <v>0.19</v>
      </c>
      <c r="E46" s="145"/>
      <c r="F46" s="146">
        <f>+F45*D46</f>
        <v>812.25</v>
      </c>
      <c r="G46" s="60"/>
    </row>
    <row r="47" spans="1:9" ht="13.5" thickBot="1" x14ac:dyDescent="0.25">
      <c r="F47" s="147" t="s">
        <v>144</v>
      </c>
      <c r="G47" s="148">
        <f>+F43+F44+F45+F46</f>
        <v>30737.25</v>
      </c>
    </row>
    <row r="48" spans="1:9" x14ac:dyDescent="0.2">
      <c r="I48" s="128"/>
    </row>
    <row r="49" spans="1:9" ht="13.5" thickBot="1" x14ac:dyDescent="0.25">
      <c r="F49" s="149"/>
      <c r="G49" s="149"/>
    </row>
    <row r="50" spans="1:9" ht="13.5" thickBot="1" x14ac:dyDescent="0.25">
      <c r="E50" s="150"/>
      <c r="F50" s="151" t="s">
        <v>162</v>
      </c>
      <c r="G50" s="148">
        <f>ROUND(G47+G40,0)</f>
        <v>116237</v>
      </c>
      <c r="H50" s="152"/>
      <c r="I50" s="134"/>
    </row>
    <row r="52" spans="1:9" x14ac:dyDescent="0.2">
      <c r="I52" s="166"/>
    </row>
    <row r="53" spans="1:9" x14ac:dyDescent="0.2">
      <c r="A53" s="153"/>
      <c r="B53" s="153"/>
      <c r="C53" s="154"/>
      <c r="D53" s="154"/>
    </row>
    <row r="54" spans="1:9" x14ac:dyDescent="0.2">
      <c r="A54" s="215" t="s">
        <v>163</v>
      </c>
      <c r="B54" s="215"/>
      <c r="C54" s="215"/>
      <c r="D54" s="215"/>
    </row>
    <row r="55" spans="1:9" x14ac:dyDescent="0.2">
      <c r="A55" s="215" t="s">
        <v>198</v>
      </c>
      <c r="B55" s="215"/>
      <c r="C55" s="215"/>
    </row>
    <row r="56" spans="1:9" x14ac:dyDescent="0.2">
      <c r="A56" s="215" t="s">
        <v>199</v>
      </c>
      <c r="B56" s="215"/>
      <c r="C56" s="215"/>
    </row>
  </sheetData>
  <mergeCells count="30">
    <mergeCell ref="A35:B35"/>
    <mergeCell ref="A54:D54"/>
    <mergeCell ref="A36:B36"/>
    <mergeCell ref="A37:B37"/>
    <mergeCell ref="D40:F40"/>
    <mergeCell ref="A42:B42"/>
    <mergeCell ref="C42:D42"/>
    <mergeCell ref="E42:F42"/>
    <mergeCell ref="A18:B18"/>
    <mergeCell ref="A20:B20"/>
    <mergeCell ref="A21:B21"/>
    <mergeCell ref="A22:B22"/>
    <mergeCell ref="A34:B34"/>
    <mergeCell ref="A19:B19"/>
    <mergeCell ref="A55:C55"/>
    <mergeCell ref="A56:C56"/>
    <mergeCell ref="A17:B17"/>
    <mergeCell ref="A1:G1"/>
    <mergeCell ref="B4:G4"/>
    <mergeCell ref="C5:G5"/>
    <mergeCell ref="A8:B9"/>
    <mergeCell ref="C8:C9"/>
    <mergeCell ref="D8:D9"/>
    <mergeCell ref="E8:E9"/>
    <mergeCell ref="F8:F9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20:A21" xr:uid="{532F06BD-4605-44E6-8BCA-6098255E0078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CE0AA-1F24-4CB3-BC3D-26986DCFA934}">
  <dimension ref="A1:I55"/>
  <sheetViews>
    <sheetView view="pageBreakPreview" topLeftCell="A36" zoomScale="85" zoomScaleNormal="100" zoomScaleSheetLayoutView="85" workbookViewId="0">
      <selection activeCell="A49" sqref="A49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8.1640625" style="55" customWidth="1"/>
    <col min="9" max="244" width="13.33203125" style="55" customWidth="1"/>
    <col min="245" max="245" width="26.83203125" style="55" customWidth="1"/>
    <col min="246" max="246" width="21" style="55" customWidth="1"/>
    <col min="247" max="247" width="16.83203125" style="55" customWidth="1"/>
    <col min="248" max="248" width="17.1640625" style="55" customWidth="1"/>
    <col min="249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 t="s">
        <v>69</v>
      </c>
      <c r="C5" s="240" t="str">
        <f>+'PRESUPUESTO FINAL '!B36</f>
        <v>DESMONTE Y MONTE DE CIELORASO EXISTENTE DE 60X60 CM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'!C35</f>
        <v>M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200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200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x14ac:dyDescent="0.2">
      <c r="A17" s="252" t="s">
        <v>1</v>
      </c>
      <c r="B17" s="254"/>
      <c r="C17" s="179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57"/>
      <c r="B18" s="258"/>
      <c r="C18" s="64"/>
      <c r="D18" s="176"/>
      <c r="E18" s="170"/>
      <c r="F18" s="177"/>
      <c r="G18" s="60"/>
    </row>
    <row r="19" spans="1:7" x14ac:dyDescent="0.2">
      <c r="A19" s="257"/>
      <c r="B19" s="258"/>
      <c r="C19" s="64"/>
      <c r="D19" s="176"/>
      <c r="E19" s="170"/>
      <c r="F19" s="177"/>
      <c r="G19" s="89"/>
    </row>
    <row r="20" spans="1:7" ht="15.75" customHeight="1" thickBot="1" x14ac:dyDescent="0.25">
      <c r="A20" s="224"/>
      <c r="B20" s="225"/>
      <c r="C20" s="72"/>
      <c r="D20" s="184"/>
      <c r="E20" s="72"/>
      <c r="F20" s="185"/>
      <c r="G20" s="89"/>
    </row>
    <row r="21" spans="1:7" ht="13.5" thickBot="1" x14ac:dyDescent="0.25">
      <c r="A21" s="259"/>
      <c r="B21" s="260"/>
      <c r="C21" s="180"/>
      <c r="D21" s="181"/>
      <c r="E21" s="182"/>
      <c r="F21" s="183" t="s">
        <v>144</v>
      </c>
      <c r="G21" s="96">
        <f>SUM(F18:F20)</f>
        <v>0</v>
      </c>
    </row>
    <row r="22" spans="1:7" x14ac:dyDescent="0.2">
      <c r="A22" s="97"/>
      <c r="B22" s="98"/>
      <c r="C22" s="99"/>
      <c r="D22" s="100"/>
      <c r="E22" s="99"/>
      <c r="F22" s="100"/>
      <c r="G22" s="101"/>
    </row>
    <row r="23" spans="1:7" ht="13.5" thickBot="1" x14ac:dyDescent="0.25">
      <c r="A23" s="59" t="s">
        <v>147</v>
      </c>
      <c r="G23" s="79"/>
    </row>
    <row r="24" spans="1:7" ht="13.5" thickBot="1" x14ac:dyDescent="0.25">
      <c r="A24" s="120" t="s">
        <v>148</v>
      </c>
      <c r="B24" s="103" t="s">
        <v>149</v>
      </c>
      <c r="C24" s="104" t="s">
        <v>15</v>
      </c>
      <c r="D24" s="135" t="s">
        <v>150</v>
      </c>
      <c r="E24" s="103" t="s">
        <v>151</v>
      </c>
      <c r="F24" s="104" t="s">
        <v>142</v>
      </c>
      <c r="G24" s="79"/>
    </row>
    <row r="25" spans="1:7" ht="15" customHeight="1" x14ac:dyDescent="0.2">
      <c r="A25" s="106"/>
      <c r="B25" s="107"/>
      <c r="C25" s="83"/>
      <c r="D25" s="107"/>
      <c r="E25" s="108"/>
      <c r="F25" s="109"/>
      <c r="G25" s="60"/>
    </row>
    <row r="26" spans="1:7" ht="15" customHeight="1" thickBot="1" x14ac:dyDescent="0.25">
      <c r="A26" s="110"/>
      <c r="B26" s="74"/>
      <c r="C26" s="111"/>
      <c r="D26" s="74"/>
      <c r="E26" s="112"/>
      <c r="F26" s="113"/>
      <c r="G26" s="60"/>
    </row>
    <row r="27" spans="1:7" ht="13.5" thickBot="1" x14ac:dyDescent="0.25">
      <c r="A27" s="56"/>
      <c r="F27" s="129" t="s">
        <v>144</v>
      </c>
      <c r="G27" s="114">
        <f>+SUM(F25:F26)</f>
        <v>0</v>
      </c>
    </row>
    <row r="28" spans="1:7" ht="13.5" thickBot="1" x14ac:dyDescent="0.25">
      <c r="A28" s="59" t="s">
        <v>152</v>
      </c>
      <c r="G28" s="115"/>
    </row>
    <row r="29" spans="1:7" ht="13.5" thickBot="1" x14ac:dyDescent="0.25">
      <c r="A29" s="120" t="s">
        <v>153</v>
      </c>
      <c r="B29" s="103" t="s">
        <v>154</v>
      </c>
      <c r="C29" s="103" t="s">
        <v>155</v>
      </c>
      <c r="D29" s="103" t="s">
        <v>156</v>
      </c>
      <c r="E29" s="103" t="s">
        <v>141</v>
      </c>
      <c r="F29" s="104" t="s">
        <v>142</v>
      </c>
      <c r="G29" s="115"/>
    </row>
    <row r="30" spans="1:7" ht="36.75" customHeight="1" thickBot="1" x14ac:dyDescent="0.25">
      <c r="A30" s="167" t="s">
        <v>186</v>
      </c>
      <c r="B30" s="116">
        <f>95000+60000</f>
        <v>155000</v>
      </c>
      <c r="C30" s="117">
        <v>1.6</v>
      </c>
      <c r="D30" s="118">
        <f>+C30*B30</f>
        <v>248000</v>
      </c>
      <c r="E30" s="119">
        <v>6.9757869758901636E-2</v>
      </c>
      <c r="F30" s="86">
        <f>+D30*E30</f>
        <v>17299.951700207606</v>
      </c>
      <c r="G30" s="115"/>
    </row>
    <row r="31" spans="1:7" ht="13.5" thickBot="1" x14ac:dyDescent="0.25">
      <c r="A31" s="56"/>
      <c r="F31" s="129" t="s">
        <v>144</v>
      </c>
      <c r="G31" s="114">
        <f>+SUM(F30:F30)</f>
        <v>17299.951700207606</v>
      </c>
    </row>
    <row r="32" spans="1:7" ht="13.5" thickBot="1" x14ac:dyDescent="0.25">
      <c r="A32" s="59" t="s">
        <v>157</v>
      </c>
      <c r="G32" s="79"/>
    </row>
    <row r="33" spans="1:9" ht="13.5" thickBot="1" x14ac:dyDescent="0.25">
      <c r="A33" s="218" t="s">
        <v>1</v>
      </c>
      <c r="B33" s="219"/>
      <c r="C33" s="103" t="s">
        <v>15</v>
      </c>
      <c r="D33" s="103" t="s">
        <v>146</v>
      </c>
      <c r="E33" s="103" t="s">
        <v>16</v>
      </c>
      <c r="F33" s="104" t="s">
        <v>142</v>
      </c>
      <c r="G33" s="79"/>
    </row>
    <row r="34" spans="1:9" ht="15" customHeight="1" x14ac:dyDescent="0.2">
      <c r="A34" s="220"/>
      <c r="B34" s="221"/>
      <c r="C34" s="83"/>
      <c r="D34" s="108"/>
      <c r="E34" s="108"/>
      <c r="F34" s="121"/>
      <c r="G34" s="115"/>
    </row>
    <row r="35" spans="1:9" ht="15" customHeight="1" x14ac:dyDescent="0.2">
      <c r="A35" s="222"/>
      <c r="B35" s="223"/>
      <c r="C35" s="64"/>
      <c r="D35" s="122"/>
      <c r="E35" s="122"/>
      <c r="F35" s="123"/>
      <c r="G35" s="115"/>
    </row>
    <row r="36" spans="1:9" ht="15" customHeight="1" thickBot="1" x14ac:dyDescent="0.25">
      <c r="A36" s="224"/>
      <c r="B36" s="225"/>
      <c r="C36" s="72"/>
      <c r="D36" s="112"/>
      <c r="E36" s="112"/>
      <c r="F36" s="124"/>
      <c r="G36" s="115"/>
    </row>
    <row r="37" spans="1:9" ht="13.5" thickBot="1" x14ac:dyDescent="0.25">
      <c r="A37" s="56"/>
      <c r="F37" s="129" t="s">
        <v>144</v>
      </c>
      <c r="G37" s="125">
        <f>SUM(F34:F36)</f>
        <v>0</v>
      </c>
    </row>
    <row r="38" spans="1:9" ht="13.5" thickBot="1" x14ac:dyDescent="0.25">
      <c r="A38" s="56"/>
      <c r="F38" s="126"/>
      <c r="G38" s="127"/>
    </row>
    <row r="39" spans="1:9" ht="13.5" thickBot="1" x14ac:dyDescent="0.25">
      <c r="A39" s="56"/>
      <c r="D39" s="229" t="s">
        <v>158</v>
      </c>
      <c r="E39" s="230"/>
      <c r="F39" s="230"/>
      <c r="G39" s="130">
        <f>+ROUND(SUM(G37+G31+G27+G21+G15),0)</f>
        <v>17500</v>
      </c>
      <c r="H39" s="171"/>
    </row>
    <row r="40" spans="1:9" ht="13.5" thickBot="1" x14ac:dyDescent="0.25">
      <c r="A40" s="59" t="s">
        <v>159</v>
      </c>
      <c r="F40" s="132"/>
      <c r="G40" s="133"/>
      <c r="I40" s="134"/>
    </row>
    <row r="41" spans="1:9" ht="13.5" thickBot="1" x14ac:dyDescent="0.25">
      <c r="A41" s="226" t="s">
        <v>1</v>
      </c>
      <c r="B41" s="227"/>
      <c r="C41" s="228" t="s">
        <v>160</v>
      </c>
      <c r="D41" s="227"/>
      <c r="E41" s="228" t="s">
        <v>161</v>
      </c>
      <c r="F41" s="231"/>
      <c r="G41" s="136"/>
      <c r="I41" s="128"/>
    </row>
    <row r="42" spans="1:9" ht="15" customHeight="1" x14ac:dyDescent="0.2">
      <c r="A42" s="137" t="s">
        <v>5</v>
      </c>
      <c r="B42" s="138"/>
      <c r="C42" s="138"/>
      <c r="D42" s="139">
        <v>0.28999999999999998</v>
      </c>
      <c r="E42" s="140"/>
      <c r="F42" s="141">
        <f>D42*G39</f>
        <v>5075</v>
      </c>
      <c r="G42" s="60"/>
    </row>
    <row r="43" spans="1:9" ht="15" customHeight="1" x14ac:dyDescent="0.2">
      <c r="A43" s="142" t="s">
        <v>10</v>
      </c>
      <c r="B43" s="143"/>
      <c r="C43" s="143"/>
      <c r="D43" s="144">
        <v>0.01</v>
      </c>
      <c r="E43" s="145"/>
      <c r="F43" s="146">
        <f>+G39*D43</f>
        <v>175</v>
      </c>
      <c r="G43" s="60"/>
    </row>
    <row r="44" spans="1:9" ht="15" customHeight="1" x14ac:dyDescent="0.2">
      <c r="A44" s="142" t="s">
        <v>6</v>
      </c>
      <c r="B44" s="143"/>
      <c r="C44" s="143"/>
      <c r="D44" s="144">
        <v>0.05</v>
      </c>
      <c r="E44" s="145"/>
      <c r="F44" s="146">
        <f>+G39*D44</f>
        <v>875</v>
      </c>
      <c r="G44" s="60"/>
    </row>
    <row r="45" spans="1:9" ht="15" customHeight="1" thickBot="1" x14ac:dyDescent="0.25">
      <c r="A45" s="142" t="s">
        <v>197</v>
      </c>
      <c r="B45" s="143"/>
      <c r="C45" s="143"/>
      <c r="D45" s="144">
        <v>0.19</v>
      </c>
      <c r="E45" s="145"/>
      <c r="F45" s="146">
        <f>+F44*D45</f>
        <v>166.25</v>
      </c>
      <c r="G45" s="60"/>
    </row>
    <row r="46" spans="1:9" ht="13.5" thickBot="1" x14ac:dyDescent="0.25">
      <c r="F46" s="147" t="s">
        <v>144</v>
      </c>
      <c r="G46" s="148">
        <f>+F42+F43+F44+F45</f>
        <v>6291.25</v>
      </c>
    </row>
    <row r="47" spans="1:9" x14ac:dyDescent="0.2">
      <c r="I47" s="128"/>
    </row>
    <row r="48" spans="1:9" ht="13.5" thickBot="1" x14ac:dyDescent="0.25">
      <c r="F48" s="149"/>
      <c r="G48" s="149"/>
    </row>
    <row r="49" spans="1:9" ht="13.5" thickBot="1" x14ac:dyDescent="0.25">
      <c r="E49" s="150"/>
      <c r="F49" s="151" t="s">
        <v>162</v>
      </c>
      <c r="G49" s="148">
        <f>ROUND(G46+G39,0)</f>
        <v>23791</v>
      </c>
      <c r="H49" s="152"/>
      <c r="I49" s="134"/>
    </row>
    <row r="51" spans="1:9" x14ac:dyDescent="0.2">
      <c r="I51" s="166"/>
    </row>
    <row r="52" spans="1:9" x14ac:dyDescent="0.2">
      <c r="A52" s="153"/>
      <c r="B52" s="153"/>
      <c r="C52" s="154"/>
      <c r="D52" s="154"/>
    </row>
    <row r="53" spans="1:9" x14ac:dyDescent="0.2">
      <c r="A53" s="215" t="s">
        <v>163</v>
      </c>
      <c r="B53" s="215"/>
      <c r="C53" s="215"/>
      <c r="D53" s="215"/>
    </row>
    <row r="54" spans="1:9" x14ac:dyDescent="0.2">
      <c r="A54" s="215" t="s">
        <v>198</v>
      </c>
      <c r="B54" s="215"/>
      <c r="C54" s="215"/>
    </row>
    <row r="55" spans="1:9" x14ac:dyDescent="0.2">
      <c r="A55" s="215" t="s">
        <v>199</v>
      </c>
      <c r="B55" s="215"/>
      <c r="C55" s="215"/>
    </row>
  </sheetData>
  <mergeCells count="29">
    <mergeCell ref="A53:D53"/>
    <mergeCell ref="A33:B33"/>
    <mergeCell ref="A35:B35"/>
    <mergeCell ref="A36:B36"/>
    <mergeCell ref="D39:F39"/>
    <mergeCell ref="A41:B41"/>
    <mergeCell ref="C41:D41"/>
    <mergeCell ref="E41:F41"/>
    <mergeCell ref="A17:B17"/>
    <mergeCell ref="A18:B18"/>
    <mergeCell ref="A19:B19"/>
    <mergeCell ref="A20:B20"/>
    <mergeCell ref="A21:B21"/>
    <mergeCell ref="A54:C54"/>
    <mergeCell ref="A55:C55"/>
    <mergeCell ref="A1:G1"/>
    <mergeCell ref="B4:G4"/>
    <mergeCell ref="C5:G5"/>
    <mergeCell ref="A8:B9"/>
    <mergeCell ref="C8:C9"/>
    <mergeCell ref="D8:D9"/>
    <mergeCell ref="E8:E9"/>
    <mergeCell ref="F8:F9"/>
    <mergeCell ref="A34:B34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8:A20" xr:uid="{496BECFE-C42A-4323-AD11-8EB82609FE81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0B5C1-9172-4665-9993-18855CFEEE46}">
  <dimension ref="A1:I55"/>
  <sheetViews>
    <sheetView view="pageBreakPreview" topLeftCell="A40" zoomScale="85" zoomScaleNormal="100" zoomScaleSheetLayoutView="85" workbookViewId="0">
      <selection activeCell="A50" sqref="A50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8.1640625" style="55" customWidth="1"/>
    <col min="9" max="244" width="13.33203125" style="55" customWidth="1"/>
    <col min="245" max="245" width="26.83203125" style="55" customWidth="1"/>
    <col min="246" max="246" width="21" style="55" customWidth="1"/>
    <col min="247" max="247" width="16.83203125" style="55" customWidth="1"/>
    <col min="248" max="248" width="17.1640625" style="55" customWidth="1"/>
    <col min="249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 t="s">
        <v>70</v>
      </c>
      <c r="C5" s="240" t="str">
        <f>+'PRESUPUESTO FINAL '!B37</f>
        <v>SUMNISTRO E INSTALACION DE CANALETA METALICA DE 12X5 CM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'!C37</f>
        <v>M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200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200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4"/>
      <c r="C17" s="179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 t="s">
        <v>188</v>
      </c>
      <c r="B18" s="221"/>
      <c r="C18" s="83" t="s">
        <v>93</v>
      </c>
      <c r="D18" s="84">
        <v>28800</v>
      </c>
      <c r="E18" s="169">
        <v>1</v>
      </c>
      <c r="F18" s="86">
        <f>+E18*D18</f>
        <v>28800</v>
      </c>
      <c r="G18" s="60"/>
    </row>
    <row r="19" spans="1:7" x14ac:dyDescent="0.2">
      <c r="A19" s="222" t="s">
        <v>168</v>
      </c>
      <c r="B19" s="223"/>
      <c r="C19" s="64" t="s">
        <v>94</v>
      </c>
      <c r="D19" s="87">
        <v>150</v>
      </c>
      <c r="E19" s="170">
        <v>6</v>
      </c>
      <c r="F19" s="88">
        <f>+E19*D19</f>
        <v>900</v>
      </c>
      <c r="G19" s="89"/>
    </row>
    <row r="20" spans="1:7" ht="15.75" customHeight="1" thickBot="1" x14ac:dyDescent="0.25">
      <c r="A20" s="224"/>
      <c r="B20" s="225"/>
      <c r="C20" s="72"/>
      <c r="D20" s="184"/>
      <c r="E20" s="72"/>
      <c r="F20" s="185"/>
      <c r="G20" s="89"/>
    </row>
    <row r="21" spans="1:7" ht="13.5" thickBot="1" x14ac:dyDescent="0.25">
      <c r="A21" s="259"/>
      <c r="B21" s="260"/>
      <c r="C21" s="180"/>
      <c r="D21" s="181"/>
      <c r="E21" s="182"/>
      <c r="F21" s="183" t="s">
        <v>144</v>
      </c>
      <c r="G21" s="96">
        <f>SUM(F18:F20)</f>
        <v>29700</v>
      </c>
    </row>
    <row r="22" spans="1:7" x14ac:dyDescent="0.2">
      <c r="A22" s="97"/>
      <c r="B22" s="98"/>
      <c r="C22" s="99"/>
      <c r="D22" s="100"/>
      <c r="E22" s="99"/>
      <c r="F22" s="100"/>
      <c r="G22" s="101"/>
    </row>
    <row r="23" spans="1:7" ht="13.5" thickBot="1" x14ac:dyDescent="0.25">
      <c r="A23" s="59" t="s">
        <v>147</v>
      </c>
      <c r="G23" s="79"/>
    </row>
    <row r="24" spans="1:7" ht="13.5" thickBot="1" x14ac:dyDescent="0.25">
      <c r="A24" s="120" t="s">
        <v>148</v>
      </c>
      <c r="B24" s="103" t="s">
        <v>149</v>
      </c>
      <c r="C24" s="104" t="s">
        <v>15</v>
      </c>
      <c r="D24" s="135" t="s">
        <v>150</v>
      </c>
      <c r="E24" s="103" t="s">
        <v>151</v>
      </c>
      <c r="F24" s="104" t="s">
        <v>142</v>
      </c>
      <c r="G24" s="79"/>
    </row>
    <row r="25" spans="1:7" ht="15" customHeight="1" x14ac:dyDescent="0.2">
      <c r="A25" s="106"/>
      <c r="B25" s="107"/>
      <c r="C25" s="83"/>
      <c r="D25" s="107"/>
      <c r="E25" s="108"/>
      <c r="F25" s="109"/>
      <c r="G25" s="60"/>
    </row>
    <row r="26" spans="1:7" ht="15" customHeight="1" thickBot="1" x14ac:dyDescent="0.25">
      <c r="A26" s="110"/>
      <c r="B26" s="74"/>
      <c r="C26" s="111"/>
      <c r="D26" s="74"/>
      <c r="E26" s="112"/>
      <c r="F26" s="113"/>
      <c r="G26" s="60"/>
    </row>
    <row r="27" spans="1:7" ht="13.5" thickBot="1" x14ac:dyDescent="0.25">
      <c r="A27" s="56"/>
      <c r="F27" s="129" t="s">
        <v>144</v>
      </c>
      <c r="G27" s="114">
        <f>+SUM(F25:F26)</f>
        <v>0</v>
      </c>
    </row>
    <row r="28" spans="1:7" ht="13.5" thickBot="1" x14ac:dyDescent="0.25">
      <c r="A28" s="59" t="s">
        <v>152</v>
      </c>
      <c r="G28" s="115"/>
    </row>
    <row r="29" spans="1:7" ht="13.5" thickBot="1" x14ac:dyDescent="0.25">
      <c r="A29" s="120" t="s">
        <v>153</v>
      </c>
      <c r="B29" s="103" t="s">
        <v>154</v>
      </c>
      <c r="C29" s="103" t="s">
        <v>155</v>
      </c>
      <c r="D29" s="103" t="s">
        <v>156</v>
      </c>
      <c r="E29" s="103" t="s">
        <v>141</v>
      </c>
      <c r="F29" s="104" t="s">
        <v>142</v>
      </c>
      <c r="G29" s="115"/>
    </row>
    <row r="30" spans="1:7" ht="36.75" customHeight="1" thickBot="1" x14ac:dyDescent="0.25">
      <c r="A30" s="167" t="s">
        <v>184</v>
      </c>
      <c r="B30" s="116">
        <f>110000+70000</f>
        <v>180000</v>
      </c>
      <c r="C30" s="117">
        <v>1.6</v>
      </c>
      <c r="D30" s="118">
        <f>+C30*B30</f>
        <v>288000</v>
      </c>
      <c r="E30" s="119">
        <v>0.13485194280042301</v>
      </c>
      <c r="F30" s="86">
        <f>+D30*E30</f>
        <v>38837.359526521825</v>
      </c>
      <c r="G30" s="115"/>
    </row>
    <row r="31" spans="1:7" ht="13.5" thickBot="1" x14ac:dyDescent="0.25">
      <c r="A31" s="56"/>
      <c r="F31" s="129" t="s">
        <v>144</v>
      </c>
      <c r="G31" s="114">
        <f>+SUM(F30:F30)</f>
        <v>38837.359526521825</v>
      </c>
    </row>
    <row r="32" spans="1:7" ht="13.5" thickBot="1" x14ac:dyDescent="0.25">
      <c r="A32" s="59" t="s">
        <v>157</v>
      </c>
      <c r="G32" s="79"/>
    </row>
    <row r="33" spans="1:9" ht="13.5" thickBot="1" x14ac:dyDescent="0.25">
      <c r="A33" s="218" t="s">
        <v>1</v>
      </c>
      <c r="B33" s="219"/>
      <c r="C33" s="103" t="s">
        <v>15</v>
      </c>
      <c r="D33" s="103" t="s">
        <v>146</v>
      </c>
      <c r="E33" s="103" t="s">
        <v>16</v>
      </c>
      <c r="F33" s="104" t="s">
        <v>142</v>
      </c>
      <c r="G33" s="79"/>
    </row>
    <row r="34" spans="1:9" ht="15" customHeight="1" x14ac:dyDescent="0.2">
      <c r="A34" s="220"/>
      <c r="B34" s="221"/>
      <c r="C34" s="83"/>
      <c r="D34" s="108"/>
      <c r="E34" s="108"/>
      <c r="F34" s="121"/>
      <c r="G34" s="115"/>
    </row>
    <row r="35" spans="1:9" ht="15" customHeight="1" x14ac:dyDescent="0.2">
      <c r="A35" s="222"/>
      <c r="B35" s="223"/>
      <c r="C35" s="64"/>
      <c r="D35" s="122"/>
      <c r="E35" s="122"/>
      <c r="F35" s="123"/>
      <c r="G35" s="115"/>
    </row>
    <row r="36" spans="1:9" ht="15" customHeight="1" thickBot="1" x14ac:dyDescent="0.25">
      <c r="A36" s="224"/>
      <c r="B36" s="225"/>
      <c r="C36" s="72"/>
      <c r="D36" s="112"/>
      <c r="E36" s="112"/>
      <c r="F36" s="124"/>
      <c r="G36" s="115"/>
    </row>
    <row r="37" spans="1:9" ht="13.5" thickBot="1" x14ac:dyDescent="0.25">
      <c r="A37" s="56"/>
      <c r="F37" s="129" t="s">
        <v>144</v>
      </c>
      <c r="G37" s="125">
        <f>SUM(F34:F36)</f>
        <v>0</v>
      </c>
    </row>
    <row r="38" spans="1:9" ht="13.5" thickBot="1" x14ac:dyDescent="0.25">
      <c r="A38" s="56"/>
      <c r="F38" s="126"/>
      <c r="G38" s="127"/>
    </row>
    <row r="39" spans="1:9" ht="13.5" thickBot="1" x14ac:dyDescent="0.25">
      <c r="A39" s="56"/>
      <c r="D39" s="229" t="s">
        <v>158</v>
      </c>
      <c r="E39" s="230"/>
      <c r="F39" s="230"/>
      <c r="G39" s="130">
        <f>+ROUND(SUM(G37+G31+G27+G21+G15),0)</f>
        <v>68737</v>
      </c>
      <c r="H39" s="171"/>
    </row>
    <row r="40" spans="1:9" ht="13.5" thickBot="1" x14ac:dyDescent="0.25">
      <c r="A40" s="59" t="s">
        <v>159</v>
      </c>
      <c r="F40" s="132"/>
      <c r="G40" s="133"/>
      <c r="I40" s="134"/>
    </row>
    <row r="41" spans="1:9" ht="13.5" thickBot="1" x14ac:dyDescent="0.25">
      <c r="A41" s="226" t="s">
        <v>1</v>
      </c>
      <c r="B41" s="227"/>
      <c r="C41" s="228" t="s">
        <v>160</v>
      </c>
      <c r="D41" s="227"/>
      <c r="E41" s="228" t="s">
        <v>161</v>
      </c>
      <c r="F41" s="231"/>
      <c r="G41" s="136"/>
      <c r="I41" s="128"/>
    </row>
    <row r="42" spans="1:9" ht="15" customHeight="1" x14ac:dyDescent="0.2">
      <c r="A42" s="137" t="s">
        <v>5</v>
      </c>
      <c r="B42" s="138"/>
      <c r="C42" s="138"/>
      <c r="D42" s="139">
        <v>0.28999999999999998</v>
      </c>
      <c r="E42" s="140"/>
      <c r="F42" s="141">
        <f>D42*G39</f>
        <v>19933.73</v>
      </c>
      <c r="G42" s="60"/>
    </row>
    <row r="43" spans="1:9" ht="15" customHeight="1" x14ac:dyDescent="0.2">
      <c r="A43" s="142" t="s">
        <v>10</v>
      </c>
      <c r="B43" s="143"/>
      <c r="C43" s="143"/>
      <c r="D43" s="144">
        <v>0.01</v>
      </c>
      <c r="E43" s="145"/>
      <c r="F43" s="146">
        <f>+G39*D43</f>
        <v>687.37</v>
      </c>
      <c r="G43" s="60"/>
    </row>
    <row r="44" spans="1:9" ht="15" customHeight="1" x14ac:dyDescent="0.2">
      <c r="A44" s="142" t="s">
        <v>6</v>
      </c>
      <c r="B44" s="143"/>
      <c r="C44" s="143"/>
      <c r="D44" s="144">
        <v>0.05</v>
      </c>
      <c r="E44" s="145"/>
      <c r="F44" s="146">
        <f>+G39*D44</f>
        <v>3436.8500000000004</v>
      </c>
      <c r="G44" s="60"/>
    </row>
    <row r="45" spans="1:9" ht="15" customHeight="1" thickBot="1" x14ac:dyDescent="0.25">
      <c r="A45" s="142" t="s">
        <v>197</v>
      </c>
      <c r="B45" s="143"/>
      <c r="C45" s="143"/>
      <c r="D45" s="144">
        <v>0.19</v>
      </c>
      <c r="E45" s="145"/>
      <c r="F45" s="146">
        <f>+F44*D45</f>
        <v>653.00150000000008</v>
      </c>
      <c r="G45" s="60"/>
    </row>
    <row r="46" spans="1:9" ht="13.5" thickBot="1" x14ac:dyDescent="0.25">
      <c r="F46" s="147" t="s">
        <v>144</v>
      </c>
      <c r="G46" s="148">
        <f>+F42+F43+F44+F45</f>
        <v>24710.951499999996</v>
      </c>
    </row>
    <row r="47" spans="1:9" x14ac:dyDescent="0.2">
      <c r="I47" s="128"/>
    </row>
    <row r="48" spans="1:9" ht="13.5" thickBot="1" x14ac:dyDescent="0.25">
      <c r="F48" s="149"/>
      <c r="G48" s="149"/>
    </row>
    <row r="49" spans="1:9" ht="13.5" thickBot="1" x14ac:dyDescent="0.25">
      <c r="E49" s="150"/>
      <c r="F49" s="151" t="s">
        <v>162</v>
      </c>
      <c r="G49" s="148">
        <f>ROUND(G46+G39,0)</f>
        <v>93448</v>
      </c>
      <c r="H49" s="152"/>
      <c r="I49" s="134"/>
    </row>
    <row r="51" spans="1:9" x14ac:dyDescent="0.2">
      <c r="I51" s="166"/>
    </row>
    <row r="52" spans="1:9" x14ac:dyDescent="0.2">
      <c r="A52" s="153"/>
      <c r="B52" s="153"/>
      <c r="C52" s="154"/>
      <c r="D52" s="154"/>
    </row>
    <row r="53" spans="1:9" x14ac:dyDescent="0.2">
      <c r="A53" s="215" t="s">
        <v>163</v>
      </c>
      <c r="B53" s="215"/>
      <c r="C53" s="215"/>
      <c r="D53" s="215"/>
    </row>
    <row r="54" spans="1:9" x14ac:dyDescent="0.2">
      <c r="A54" s="215" t="s">
        <v>198</v>
      </c>
      <c r="B54" s="215"/>
      <c r="C54" s="215"/>
    </row>
    <row r="55" spans="1:9" x14ac:dyDescent="0.2">
      <c r="A55" s="215" t="s">
        <v>199</v>
      </c>
      <c r="B55" s="215"/>
      <c r="C55" s="215"/>
    </row>
  </sheetData>
  <mergeCells count="29">
    <mergeCell ref="A53:D53"/>
    <mergeCell ref="A33:B33"/>
    <mergeCell ref="A35:B35"/>
    <mergeCell ref="A36:B36"/>
    <mergeCell ref="D39:F39"/>
    <mergeCell ref="A41:B41"/>
    <mergeCell ref="C41:D41"/>
    <mergeCell ref="E41:F41"/>
    <mergeCell ref="A17:B17"/>
    <mergeCell ref="A18:B18"/>
    <mergeCell ref="A19:B19"/>
    <mergeCell ref="A20:B20"/>
    <mergeCell ref="A21:B21"/>
    <mergeCell ref="A54:C54"/>
    <mergeCell ref="A55:C55"/>
    <mergeCell ref="A1:G1"/>
    <mergeCell ref="B4:G4"/>
    <mergeCell ref="C5:G5"/>
    <mergeCell ref="A8:B9"/>
    <mergeCell ref="C8:C9"/>
    <mergeCell ref="D8:D9"/>
    <mergeCell ref="E8:E9"/>
    <mergeCell ref="F8:F9"/>
    <mergeCell ref="A34:B34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0" xr:uid="{AB57A801-17DB-4E84-986E-1ACCD25214D6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69E29-A772-44C4-AA68-5C00AA1C6BDA}">
  <dimension ref="A1:I55"/>
  <sheetViews>
    <sheetView view="pageBreakPreview" topLeftCell="A40" zoomScale="85" zoomScaleNormal="100" zoomScaleSheetLayoutView="85" workbookViewId="0">
      <selection activeCell="A50" sqref="A50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8.1640625" style="55" customWidth="1"/>
    <col min="9" max="244" width="13.33203125" style="55" customWidth="1"/>
    <col min="245" max="245" width="26.83203125" style="55" customWidth="1"/>
    <col min="246" max="246" width="21" style="55" customWidth="1"/>
    <col min="247" max="247" width="16.83203125" style="55" customWidth="1"/>
    <col min="248" max="248" width="17.1640625" style="55" customWidth="1"/>
    <col min="249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 t="s">
        <v>71</v>
      </c>
      <c r="C5" s="240" t="str">
        <f>+'PRESUPUESTO FINAL '!B38</f>
        <v xml:space="preserve">CONFIGURACION DE TARJETA DE RED CONTRAINCENDIO 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'!C37</f>
        <v>M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4500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4500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4"/>
      <c r="C17" s="179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/>
      <c r="B18" s="221"/>
      <c r="C18" s="83"/>
      <c r="D18" s="84"/>
      <c r="E18" s="169"/>
      <c r="F18" s="86"/>
      <c r="G18" s="60"/>
    </row>
    <row r="19" spans="1:7" x14ac:dyDescent="0.2">
      <c r="A19" s="222"/>
      <c r="B19" s="223"/>
      <c r="C19" s="64"/>
      <c r="D19" s="87"/>
      <c r="E19" s="170"/>
      <c r="F19" s="88"/>
      <c r="G19" s="89"/>
    </row>
    <row r="20" spans="1:7" ht="15.75" customHeight="1" thickBot="1" x14ac:dyDescent="0.25">
      <c r="A20" s="224"/>
      <c r="B20" s="225"/>
      <c r="C20" s="72"/>
      <c r="D20" s="184"/>
      <c r="E20" s="72"/>
      <c r="F20" s="185"/>
      <c r="G20" s="89"/>
    </row>
    <row r="21" spans="1:7" ht="13.5" thickBot="1" x14ac:dyDescent="0.25">
      <c r="A21" s="259"/>
      <c r="B21" s="260"/>
      <c r="C21" s="180"/>
      <c r="D21" s="181"/>
      <c r="E21" s="182"/>
      <c r="F21" s="183" t="s">
        <v>144</v>
      </c>
      <c r="G21" s="96">
        <f>SUM(F18:F20)</f>
        <v>0</v>
      </c>
    </row>
    <row r="22" spans="1:7" x14ac:dyDescent="0.2">
      <c r="A22" s="97"/>
      <c r="B22" s="98"/>
      <c r="C22" s="99"/>
      <c r="D22" s="100"/>
      <c r="E22" s="99"/>
      <c r="F22" s="100"/>
      <c r="G22" s="101"/>
    </row>
    <row r="23" spans="1:7" ht="13.5" thickBot="1" x14ac:dyDescent="0.25">
      <c r="A23" s="59" t="s">
        <v>147</v>
      </c>
      <c r="G23" s="79"/>
    </row>
    <row r="24" spans="1:7" ht="13.5" thickBot="1" x14ac:dyDescent="0.25">
      <c r="A24" s="120" t="s">
        <v>148</v>
      </c>
      <c r="B24" s="103" t="s">
        <v>149</v>
      </c>
      <c r="C24" s="104" t="s">
        <v>15</v>
      </c>
      <c r="D24" s="135" t="s">
        <v>150</v>
      </c>
      <c r="E24" s="103" t="s">
        <v>151</v>
      </c>
      <c r="F24" s="104" t="s">
        <v>142</v>
      </c>
      <c r="G24" s="79"/>
    </row>
    <row r="25" spans="1:7" ht="15" customHeight="1" x14ac:dyDescent="0.2">
      <c r="A25" s="106"/>
      <c r="B25" s="107"/>
      <c r="C25" s="83"/>
      <c r="D25" s="107"/>
      <c r="E25" s="108"/>
      <c r="F25" s="109"/>
      <c r="G25" s="60"/>
    </row>
    <row r="26" spans="1:7" ht="15" customHeight="1" thickBot="1" x14ac:dyDescent="0.25">
      <c r="A26" s="110"/>
      <c r="B26" s="74"/>
      <c r="C26" s="111"/>
      <c r="D26" s="74"/>
      <c r="E26" s="112"/>
      <c r="F26" s="113"/>
      <c r="G26" s="60"/>
    </row>
    <row r="27" spans="1:7" ht="13.5" thickBot="1" x14ac:dyDescent="0.25">
      <c r="A27" s="56"/>
      <c r="F27" s="129" t="s">
        <v>144</v>
      </c>
      <c r="G27" s="114">
        <f>+SUM(F25:F26)</f>
        <v>0</v>
      </c>
    </row>
    <row r="28" spans="1:7" ht="13.5" thickBot="1" x14ac:dyDescent="0.25">
      <c r="A28" s="59" t="s">
        <v>152</v>
      </c>
      <c r="G28" s="115"/>
    </row>
    <row r="29" spans="1:7" ht="13.5" thickBot="1" x14ac:dyDescent="0.25">
      <c r="A29" s="120" t="s">
        <v>153</v>
      </c>
      <c r="B29" s="103" t="s">
        <v>154</v>
      </c>
      <c r="C29" s="103" t="s">
        <v>155</v>
      </c>
      <c r="D29" s="103" t="s">
        <v>156</v>
      </c>
      <c r="E29" s="103" t="s">
        <v>141</v>
      </c>
      <c r="F29" s="104" t="s">
        <v>142</v>
      </c>
      <c r="G29" s="115"/>
    </row>
    <row r="30" spans="1:7" ht="36.75" customHeight="1" thickBot="1" x14ac:dyDescent="0.25">
      <c r="A30" s="167" t="s">
        <v>184</v>
      </c>
      <c r="B30" s="116">
        <f>110000+70000</f>
        <v>180000</v>
      </c>
      <c r="C30" s="117">
        <v>1.6</v>
      </c>
      <c r="D30" s="118">
        <f>+C30*B30</f>
        <v>288000</v>
      </c>
      <c r="E30" s="119">
        <v>1.5468761050455841</v>
      </c>
      <c r="F30" s="86">
        <f>+D30*E30</f>
        <v>445500.31825312821</v>
      </c>
      <c r="G30" s="115"/>
    </row>
    <row r="31" spans="1:7" ht="13.5" thickBot="1" x14ac:dyDescent="0.25">
      <c r="A31" s="56"/>
      <c r="F31" s="129" t="s">
        <v>144</v>
      </c>
      <c r="G31" s="114">
        <f>+SUM(F30:F30)</f>
        <v>445500.31825312821</v>
      </c>
    </row>
    <row r="32" spans="1:7" ht="13.5" thickBot="1" x14ac:dyDescent="0.25">
      <c r="A32" s="59" t="s">
        <v>157</v>
      </c>
      <c r="G32" s="79"/>
    </row>
    <row r="33" spans="1:9" ht="13.5" thickBot="1" x14ac:dyDescent="0.25">
      <c r="A33" s="218" t="s">
        <v>1</v>
      </c>
      <c r="B33" s="219"/>
      <c r="C33" s="103" t="s">
        <v>15</v>
      </c>
      <c r="D33" s="103" t="s">
        <v>146</v>
      </c>
      <c r="E33" s="103" t="s">
        <v>16</v>
      </c>
      <c r="F33" s="104" t="s">
        <v>142</v>
      </c>
      <c r="G33" s="79"/>
    </row>
    <row r="34" spans="1:9" ht="15" customHeight="1" x14ac:dyDescent="0.2">
      <c r="A34" s="220"/>
      <c r="B34" s="221"/>
      <c r="C34" s="83"/>
      <c r="D34" s="108"/>
      <c r="E34" s="108"/>
      <c r="F34" s="121"/>
      <c r="G34" s="115"/>
    </row>
    <row r="35" spans="1:9" ht="15" customHeight="1" x14ac:dyDescent="0.2">
      <c r="A35" s="222"/>
      <c r="B35" s="223"/>
      <c r="C35" s="64"/>
      <c r="D35" s="122"/>
      <c r="E35" s="122"/>
      <c r="F35" s="123"/>
      <c r="G35" s="115"/>
    </row>
    <row r="36" spans="1:9" ht="15" customHeight="1" thickBot="1" x14ac:dyDescent="0.25">
      <c r="A36" s="224"/>
      <c r="B36" s="225"/>
      <c r="C36" s="72"/>
      <c r="D36" s="112"/>
      <c r="E36" s="112"/>
      <c r="F36" s="124"/>
      <c r="G36" s="115"/>
    </row>
    <row r="37" spans="1:9" ht="13.5" thickBot="1" x14ac:dyDescent="0.25">
      <c r="A37" s="56"/>
      <c r="F37" s="129" t="s">
        <v>144</v>
      </c>
      <c r="G37" s="125">
        <f>SUM(F34:F36)</f>
        <v>0</v>
      </c>
    </row>
    <row r="38" spans="1:9" ht="13.5" thickBot="1" x14ac:dyDescent="0.25">
      <c r="A38" s="56"/>
      <c r="F38" s="126"/>
      <c r="G38" s="127"/>
    </row>
    <row r="39" spans="1:9" ht="13.5" thickBot="1" x14ac:dyDescent="0.25">
      <c r="A39" s="56"/>
      <c r="D39" s="229" t="s">
        <v>158</v>
      </c>
      <c r="E39" s="230"/>
      <c r="F39" s="230"/>
      <c r="G39" s="130">
        <f>+ROUND(SUM(G37+G31+G27+G21+G15),0)</f>
        <v>450000</v>
      </c>
      <c r="H39" s="171"/>
    </row>
    <row r="40" spans="1:9" ht="13.5" thickBot="1" x14ac:dyDescent="0.25">
      <c r="A40" s="59" t="s">
        <v>159</v>
      </c>
      <c r="F40" s="132"/>
      <c r="G40" s="133"/>
      <c r="I40" s="134"/>
    </row>
    <row r="41" spans="1:9" ht="13.5" thickBot="1" x14ac:dyDescent="0.25">
      <c r="A41" s="226" t="s">
        <v>1</v>
      </c>
      <c r="B41" s="227"/>
      <c r="C41" s="228" t="s">
        <v>160</v>
      </c>
      <c r="D41" s="227"/>
      <c r="E41" s="228" t="s">
        <v>161</v>
      </c>
      <c r="F41" s="231"/>
      <c r="G41" s="136"/>
      <c r="I41" s="128"/>
    </row>
    <row r="42" spans="1:9" ht="15" customHeight="1" x14ac:dyDescent="0.2">
      <c r="A42" s="137" t="s">
        <v>5</v>
      </c>
      <c r="B42" s="138"/>
      <c r="C42" s="138"/>
      <c r="D42" s="139">
        <v>0.28999999999999998</v>
      </c>
      <c r="E42" s="140"/>
      <c r="F42" s="141">
        <f>D42*G39</f>
        <v>130499.99999999999</v>
      </c>
      <c r="G42" s="60"/>
    </row>
    <row r="43" spans="1:9" ht="15" customHeight="1" x14ac:dyDescent="0.2">
      <c r="A43" s="142" t="s">
        <v>10</v>
      </c>
      <c r="B43" s="143"/>
      <c r="C43" s="143"/>
      <c r="D43" s="144">
        <v>0.01</v>
      </c>
      <c r="E43" s="145"/>
      <c r="F43" s="146">
        <f>+G39*D43</f>
        <v>4500</v>
      </c>
      <c r="G43" s="60"/>
    </row>
    <row r="44" spans="1:9" ht="15" customHeight="1" x14ac:dyDescent="0.2">
      <c r="A44" s="142" t="s">
        <v>6</v>
      </c>
      <c r="B44" s="143"/>
      <c r="C44" s="143"/>
      <c r="D44" s="144">
        <v>0.05</v>
      </c>
      <c r="E44" s="145"/>
      <c r="F44" s="146">
        <f>+G39*D44</f>
        <v>22500</v>
      </c>
      <c r="G44" s="60"/>
    </row>
    <row r="45" spans="1:9" ht="15" customHeight="1" thickBot="1" x14ac:dyDescent="0.25">
      <c r="A45" s="142" t="s">
        <v>197</v>
      </c>
      <c r="B45" s="143"/>
      <c r="C45" s="143"/>
      <c r="D45" s="144">
        <v>0.19</v>
      </c>
      <c r="E45" s="145"/>
      <c r="F45" s="146">
        <f>+F44*D45</f>
        <v>4275</v>
      </c>
      <c r="G45" s="60"/>
    </row>
    <row r="46" spans="1:9" ht="13.5" thickBot="1" x14ac:dyDescent="0.25">
      <c r="F46" s="147" t="s">
        <v>144</v>
      </c>
      <c r="G46" s="148">
        <f>+F42+F43+F44+F45</f>
        <v>161775</v>
      </c>
    </row>
    <row r="47" spans="1:9" x14ac:dyDescent="0.2">
      <c r="I47" s="128"/>
    </row>
    <row r="48" spans="1:9" ht="13.5" thickBot="1" x14ac:dyDescent="0.25">
      <c r="F48" s="149"/>
      <c r="G48" s="149"/>
    </row>
    <row r="49" spans="1:9" ht="13.5" thickBot="1" x14ac:dyDescent="0.25">
      <c r="E49" s="150"/>
      <c r="F49" s="151" t="s">
        <v>162</v>
      </c>
      <c r="G49" s="148">
        <f>ROUND(G46+G39,0)</f>
        <v>611775</v>
      </c>
      <c r="H49" s="152"/>
      <c r="I49" s="134"/>
    </row>
    <row r="51" spans="1:9" x14ac:dyDescent="0.2">
      <c r="I51" s="166"/>
    </row>
    <row r="52" spans="1:9" x14ac:dyDescent="0.2">
      <c r="A52" s="153"/>
      <c r="B52" s="153"/>
      <c r="C52" s="154"/>
      <c r="D52" s="154"/>
    </row>
    <row r="53" spans="1:9" x14ac:dyDescent="0.2">
      <c r="A53" s="215" t="s">
        <v>163</v>
      </c>
      <c r="B53" s="215"/>
      <c r="C53" s="215"/>
      <c r="D53" s="215"/>
    </row>
    <row r="54" spans="1:9" x14ac:dyDescent="0.2">
      <c r="A54" s="215" t="s">
        <v>198</v>
      </c>
      <c r="B54" s="215"/>
      <c r="C54" s="215"/>
    </row>
    <row r="55" spans="1:9" x14ac:dyDescent="0.2">
      <c r="A55" s="215" t="s">
        <v>199</v>
      </c>
      <c r="B55" s="215"/>
      <c r="C55" s="215"/>
    </row>
  </sheetData>
  <mergeCells count="29">
    <mergeCell ref="A53:D53"/>
    <mergeCell ref="A33:B33"/>
    <mergeCell ref="A35:B35"/>
    <mergeCell ref="A36:B36"/>
    <mergeCell ref="D39:F39"/>
    <mergeCell ref="A41:B41"/>
    <mergeCell ref="C41:D41"/>
    <mergeCell ref="E41:F41"/>
    <mergeCell ref="A17:B17"/>
    <mergeCell ref="A18:B18"/>
    <mergeCell ref="A19:B19"/>
    <mergeCell ref="A20:B20"/>
    <mergeCell ref="A21:B21"/>
    <mergeCell ref="A54:C54"/>
    <mergeCell ref="A55:C55"/>
    <mergeCell ref="A1:G1"/>
    <mergeCell ref="B4:G4"/>
    <mergeCell ref="C5:G5"/>
    <mergeCell ref="A8:B9"/>
    <mergeCell ref="C8:C9"/>
    <mergeCell ref="D8:D9"/>
    <mergeCell ref="E8:E9"/>
    <mergeCell ref="F8:F9"/>
    <mergeCell ref="A34:B34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0" xr:uid="{7A630CF8-729A-4F60-9901-B2E480CA5345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44AD2-0092-4729-ACEC-622859D87652}">
  <dimension ref="A1:I55"/>
  <sheetViews>
    <sheetView view="pageBreakPreview" topLeftCell="A40" zoomScale="85" zoomScaleNormal="100" zoomScaleSheetLayoutView="85" workbookViewId="0">
      <selection activeCell="A49" sqref="A49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8.1640625" style="55" customWidth="1"/>
    <col min="9" max="244" width="13.33203125" style="55" customWidth="1"/>
    <col min="245" max="245" width="26.83203125" style="55" customWidth="1"/>
    <col min="246" max="246" width="21" style="55" customWidth="1"/>
    <col min="247" max="247" width="16.83203125" style="55" customWidth="1"/>
    <col min="248" max="248" width="17.1640625" style="55" customWidth="1"/>
    <col min="249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 t="s">
        <v>72</v>
      </c>
      <c r="C5" s="240" t="str">
        <f>+'PRESUPUESTO FINAL '!B39</f>
        <v>SUMINISTRO E INSTLACION DE TUBERIA EMT DE 1/2". INCLUYE, CURVAS, TERMINALES, CHAZOS Y ABRAZARAS Y DEMAS ELEMENTOS NECESARIOS.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'!C37</f>
        <v>M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200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200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4"/>
      <c r="C17" s="179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 t="s">
        <v>189</v>
      </c>
      <c r="B18" s="221"/>
      <c r="C18" s="83" t="s">
        <v>93</v>
      </c>
      <c r="D18" s="84">
        <v>7500</v>
      </c>
      <c r="E18" s="169">
        <v>1</v>
      </c>
      <c r="F18" s="86">
        <f>+E18*D18</f>
        <v>7500</v>
      </c>
      <c r="G18" s="60"/>
    </row>
    <row r="19" spans="1:7" ht="24.75" customHeight="1" x14ac:dyDescent="0.2">
      <c r="A19" s="222" t="s">
        <v>190</v>
      </c>
      <c r="B19" s="223"/>
      <c r="C19" s="64" t="s">
        <v>181</v>
      </c>
      <c r="D19" s="87">
        <v>4800</v>
      </c>
      <c r="E19" s="170">
        <v>1</v>
      </c>
      <c r="F19" s="88">
        <f>+E19*D19</f>
        <v>4800</v>
      </c>
      <c r="G19" s="89"/>
    </row>
    <row r="20" spans="1:7" ht="15.75" customHeight="1" thickBot="1" x14ac:dyDescent="0.25">
      <c r="A20" s="224"/>
      <c r="B20" s="225"/>
      <c r="C20" s="72"/>
      <c r="D20" s="184"/>
      <c r="E20" s="72"/>
      <c r="F20" s="185"/>
      <c r="G20" s="89"/>
    </row>
    <row r="21" spans="1:7" ht="13.5" thickBot="1" x14ac:dyDescent="0.25">
      <c r="A21" s="259"/>
      <c r="B21" s="260"/>
      <c r="C21" s="180"/>
      <c r="D21" s="181"/>
      <c r="E21" s="182"/>
      <c r="F21" s="183" t="s">
        <v>144</v>
      </c>
      <c r="G21" s="96">
        <f>SUM(F18:F20)</f>
        <v>12300</v>
      </c>
    </row>
    <row r="22" spans="1:7" x14ac:dyDescent="0.2">
      <c r="A22" s="97"/>
      <c r="B22" s="98"/>
      <c r="C22" s="99"/>
      <c r="D22" s="100"/>
      <c r="E22" s="99"/>
      <c r="F22" s="100"/>
      <c r="G22" s="101"/>
    </row>
    <row r="23" spans="1:7" ht="13.5" thickBot="1" x14ac:dyDescent="0.25">
      <c r="A23" s="59" t="s">
        <v>147</v>
      </c>
      <c r="G23" s="79"/>
    </row>
    <row r="24" spans="1:7" ht="13.5" thickBot="1" x14ac:dyDescent="0.25">
      <c r="A24" s="120" t="s">
        <v>148</v>
      </c>
      <c r="B24" s="103" t="s">
        <v>149</v>
      </c>
      <c r="C24" s="104" t="s">
        <v>15</v>
      </c>
      <c r="D24" s="135" t="s">
        <v>150</v>
      </c>
      <c r="E24" s="103" t="s">
        <v>151</v>
      </c>
      <c r="F24" s="104" t="s">
        <v>142</v>
      </c>
      <c r="G24" s="79"/>
    </row>
    <row r="25" spans="1:7" ht="15" customHeight="1" x14ac:dyDescent="0.2">
      <c r="A25" s="106"/>
      <c r="B25" s="107"/>
      <c r="C25" s="83"/>
      <c r="D25" s="107"/>
      <c r="E25" s="108"/>
      <c r="F25" s="109"/>
      <c r="G25" s="60"/>
    </row>
    <row r="26" spans="1:7" ht="15" customHeight="1" thickBot="1" x14ac:dyDescent="0.25">
      <c r="A26" s="110"/>
      <c r="B26" s="74"/>
      <c r="C26" s="111"/>
      <c r="D26" s="74"/>
      <c r="E26" s="112"/>
      <c r="F26" s="113"/>
      <c r="G26" s="60"/>
    </row>
    <row r="27" spans="1:7" ht="13.5" thickBot="1" x14ac:dyDescent="0.25">
      <c r="A27" s="56"/>
      <c r="F27" s="129" t="s">
        <v>144</v>
      </c>
      <c r="G27" s="114">
        <f>+SUM(F25:F26)</f>
        <v>0</v>
      </c>
    </row>
    <row r="28" spans="1:7" ht="13.5" thickBot="1" x14ac:dyDescent="0.25">
      <c r="A28" s="59" t="s">
        <v>152</v>
      </c>
      <c r="G28" s="115"/>
    </row>
    <row r="29" spans="1:7" ht="13.5" thickBot="1" x14ac:dyDescent="0.25">
      <c r="A29" s="120" t="s">
        <v>153</v>
      </c>
      <c r="B29" s="103" t="s">
        <v>154</v>
      </c>
      <c r="C29" s="103" t="s">
        <v>155</v>
      </c>
      <c r="D29" s="103" t="s">
        <v>156</v>
      </c>
      <c r="E29" s="103" t="s">
        <v>141</v>
      </c>
      <c r="F29" s="104" t="s">
        <v>142</v>
      </c>
      <c r="G29" s="115"/>
    </row>
    <row r="30" spans="1:7" ht="36.75" customHeight="1" thickBot="1" x14ac:dyDescent="0.25">
      <c r="A30" s="167" t="s">
        <v>184</v>
      </c>
      <c r="B30" s="116">
        <f>110000+70000</f>
        <v>180000</v>
      </c>
      <c r="C30" s="117">
        <v>1.6</v>
      </c>
      <c r="D30" s="118">
        <f>+C30*B30</f>
        <v>288000</v>
      </c>
      <c r="E30" s="119">
        <v>3.9374936133873828E-2</v>
      </c>
      <c r="F30" s="86">
        <f>+D30*E30</f>
        <v>11339.981606555662</v>
      </c>
      <c r="G30" s="115"/>
    </row>
    <row r="31" spans="1:7" ht="13.5" thickBot="1" x14ac:dyDescent="0.25">
      <c r="A31" s="56"/>
      <c r="F31" s="129" t="s">
        <v>144</v>
      </c>
      <c r="G31" s="114">
        <f>+SUM(F30:F30)</f>
        <v>11339.981606555662</v>
      </c>
    </row>
    <row r="32" spans="1:7" ht="13.5" thickBot="1" x14ac:dyDescent="0.25">
      <c r="A32" s="59" t="s">
        <v>157</v>
      </c>
      <c r="G32" s="79"/>
    </row>
    <row r="33" spans="1:9" ht="13.5" thickBot="1" x14ac:dyDescent="0.25">
      <c r="A33" s="218" t="s">
        <v>1</v>
      </c>
      <c r="B33" s="219"/>
      <c r="C33" s="103" t="s">
        <v>15</v>
      </c>
      <c r="D33" s="103" t="s">
        <v>146</v>
      </c>
      <c r="E33" s="103" t="s">
        <v>16</v>
      </c>
      <c r="F33" s="104" t="s">
        <v>142</v>
      </c>
      <c r="G33" s="79"/>
    </row>
    <row r="34" spans="1:9" ht="15" customHeight="1" x14ac:dyDescent="0.2">
      <c r="A34" s="220"/>
      <c r="B34" s="221"/>
      <c r="C34" s="83"/>
      <c r="D34" s="108"/>
      <c r="E34" s="108"/>
      <c r="F34" s="121"/>
      <c r="G34" s="115"/>
    </row>
    <row r="35" spans="1:9" ht="15" customHeight="1" x14ac:dyDescent="0.2">
      <c r="A35" s="222"/>
      <c r="B35" s="223"/>
      <c r="C35" s="64"/>
      <c r="D35" s="122"/>
      <c r="E35" s="122"/>
      <c r="F35" s="123"/>
      <c r="G35" s="115"/>
    </row>
    <row r="36" spans="1:9" ht="15" customHeight="1" thickBot="1" x14ac:dyDescent="0.25">
      <c r="A36" s="224"/>
      <c r="B36" s="225"/>
      <c r="C36" s="72"/>
      <c r="D36" s="112"/>
      <c r="E36" s="112"/>
      <c r="F36" s="124"/>
      <c r="G36" s="115"/>
    </row>
    <row r="37" spans="1:9" ht="13.5" thickBot="1" x14ac:dyDescent="0.25">
      <c r="A37" s="56"/>
      <c r="F37" s="129" t="s">
        <v>144</v>
      </c>
      <c r="G37" s="125">
        <f>SUM(F34:F36)</f>
        <v>0</v>
      </c>
    </row>
    <row r="38" spans="1:9" ht="13.5" thickBot="1" x14ac:dyDescent="0.25">
      <c r="A38" s="56"/>
      <c r="F38" s="126"/>
      <c r="G38" s="127"/>
    </row>
    <row r="39" spans="1:9" ht="13.5" thickBot="1" x14ac:dyDescent="0.25">
      <c r="A39" s="56"/>
      <c r="D39" s="229" t="s">
        <v>158</v>
      </c>
      <c r="E39" s="230"/>
      <c r="F39" s="230"/>
      <c r="G39" s="130">
        <f>+ROUND(SUM(G37+G31+G27+G21+G15),0)</f>
        <v>23840</v>
      </c>
      <c r="H39" s="171"/>
    </row>
    <row r="40" spans="1:9" ht="13.5" thickBot="1" x14ac:dyDescent="0.25">
      <c r="A40" s="59" t="s">
        <v>159</v>
      </c>
      <c r="F40" s="132"/>
      <c r="G40" s="133"/>
      <c r="I40" s="134"/>
    </row>
    <row r="41" spans="1:9" ht="13.5" thickBot="1" x14ac:dyDescent="0.25">
      <c r="A41" s="226" t="s">
        <v>1</v>
      </c>
      <c r="B41" s="227"/>
      <c r="C41" s="228" t="s">
        <v>160</v>
      </c>
      <c r="D41" s="227"/>
      <c r="E41" s="228" t="s">
        <v>161</v>
      </c>
      <c r="F41" s="231"/>
      <c r="G41" s="136"/>
      <c r="I41" s="128"/>
    </row>
    <row r="42" spans="1:9" ht="15" customHeight="1" x14ac:dyDescent="0.2">
      <c r="A42" s="137" t="s">
        <v>5</v>
      </c>
      <c r="B42" s="138"/>
      <c r="C42" s="138"/>
      <c r="D42" s="139">
        <v>0.28999999999999998</v>
      </c>
      <c r="E42" s="140"/>
      <c r="F42" s="141">
        <f>D42*G39</f>
        <v>6913.5999999999995</v>
      </c>
      <c r="G42" s="60"/>
    </row>
    <row r="43" spans="1:9" ht="15" customHeight="1" x14ac:dyDescent="0.2">
      <c r="A43" s="142" t="s">
        <v>10</v>
      </c>
      <c r="B43" s="143"/>
      <c r="C43" s="143"/>
      <c r="D43" s="144">
        <v>0.01</v>
      </c>
      <c r="E43" s="145"/>
      <c r="F43" s="146">
        <f>+G39*D43</f>
        <v>238.4</v>
      </c>
      <c r="G43" s="60"/>
    </row>
    <row r="44" spans="1:9" ht="15" customHeight="1" x14ac:dyDescent="0.2">
      <c r="A44" s="142" t="s">
        <v>6</v>
      </c>
      <c r="B44" s="143"/>
      <c r="C44" s="143"/>
      <c r="D44" s="144">
        <v>0.05</v>
      </c>
      <c r="E44" s="145"/>
      <c r="F44" s="146">
        <f>+G39*D44</f>
        <v>1192</v>
      </c>
      <c r="G44" s="60"/>
    </row>
    <row r="45" spans="1:9" ht="15" customHeight="1" thickBot="1" x14ac:dyDescent="0.25">
      <c r="A45" s="142" t="s">
        <v>197</v>
      </c>
      <c r="B45" s="143"/>
      <c r="C45" s="143"/>
      <c r="D45" s="144">
        <v>0.19</v>
      </c>
      <c r="E45" s="145"/>
      <c r="F45" s="146">
        <f>+F44*D45</f>
        <v>226.48</v>
      </c>
      <c r="G45" s="60"/>
    </row>
    <row r="46" spans="1:9" ht="13.5" thickBot="1" x14ac:dyDescent="0.25">
      <c r="F46" s="147" t="s">
        <v>144</v>
      </c>
      <c r="G46" s="148">
        <f>+F42+F43+F44+F45</f>
        <v>8570.48</v>
      </c>
    </row>
    <row r="47" spans="1:9" x14ac:dyDescent="0.2">
      <c r="I47" s="128"/>
    </row>
    <row r="48" spans="1:9" ht="13.5" thickBot="1" x14ac:dyDescent="0.25">
      <c r="F48" s="149"/>
      <c r="G48" s="149"/>
    </row>
    <row r="49" spans="1:9" ht="13.5" thickBot="1" x14ac:dyDescent="0.25">
      <c r="E49" s="150"/>
      <c r="F49" s="151" t="s">
        <v>162</v>
      </c>
      <c r="G49" s="148">
        <f>ROUND(G46+G39,0)</f>
        <v>32410</v>
      </c>
      <c r="H49" s="152"/>
      <c r="I49" s="134"/>
    </row>
    <row r="51" spans="1:9" x14ac:dyDescent="0.2">
      <c r="I51" s="166"/>
    </row>
    <row r="52" spans="1:9" x14ac:dyDescent="0.2">
      <c r="A52" s="153"/>
      <c r="B52" s="153"/>
      <c r="C52" s="154"/>
      <c r="D52" s="154"/>
    </row>
    <row r="53" spans="1:9" x14ac:dyDescent="0.2">
      <c r="A53" s="215" t="s">
        <v>163</v>
      </c>
      <c r="B53" s="215"/>
      <c r="C53" s="215"/>
      <c r="D53" s="215"/>
    </row>
    <row r="54" spans="1:9" x14ac:dyDescent="0.2">
      <c r="A54" s="215" t="s">
        <v>198</v>
      </c>
      <c r="B54" s="215"/>
      <c r="C54" s="215"/>
    </row>
    <row r="55" spans="1:9" x14ac:dyDescent="0.2">
      <c r="A55" s="215" t="s">
        <v>199</v>
      </c>
      <c r="B55" s="215"/>
      <c r="C55" s="215"/>
    </row>
  </sheetData>
  <mergeCells count="29">
    <mergeCell ref="A53:D53"/>
    <mergeCell ref="A33:B33"/>
    <mergeCell ref="A35:B35"/>
    <mergeCell ref="A36:B36"/>
    <mergeCell ref="D39:F39"/>
    <mergeCell ref="A41:B41"/>
    <mergeCell ref="C41:D41"/>
    <mergeCell ref="E41:F41"/>
    <mergeCell ref="A17:B17"/>
    <mergeCell ref="A18:B18"/>
    <mergeCell ref="A19:B19"/>
    <mergeCell ref="A20:B20"/>
    <mergeCell ref="A21:B21"/>
    <mergeCell ref="A54:C54"/>
    <mergeCell ref="A55:C55"/>
    <mergeCell ref="A1:G1"/>
    <mergeCell ref="B4:G4"/>
    <mergeCell ref="C5:G5"/>
    <mergeCell ref="A8:B9"/>
    <mergeCell ref="C8:C9"/>
    <mergeCell ref="D8:D9"/>
    <mergeCell ref="E8:E9"/>
    <mergeCell ref="F8:F9"/>
    <mergeCell ref="A34:B34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0" xr:uid="{A4A57EA4-C0DD-4ED0-A444-9AC9A3620B7E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370E9-5056-42C7-A8F1-A41F30C5D86F}">
  <dimension ref="A1:I55"/>
  <sheetViews>
    <sheetView view="pageBreakPreview" topLeftCell="A43" zoomScale="85" zoomScaleNormal="100" zoomScaleSheetLayoutView="85" workbookViewId="0">
      <selection activeCell="A49" sqref="A49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8.1640625" style="55" customWidth="1"/>
    <col min="9" max="244" width="13.33203125" style="55" customWidth="1"/>
    <col min="245" max="245" width="26.83203125" style="55" customWidth="1"/>
    <col min="246" max="246" width="21" style="55" customWidth="1"/>
    <col min="247" max="247" width="16.83203125" style="55" customWidth="1"/>
    <col min="248" max="248" width="17.1640625" style="55" customWidth="1"/>
    <col min="249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 t="s">
        <v>80</v>
      </c>
      <c r="C5" s="240" t="str">
        <f>+'PRESUPUESTO FINAL '!B40</f>
        <v xml:space="preserve">REUBICACION DE PUNTOS DE  DETECTOR DE HUMO. INCLUYE DESMONTE DE PARATO, DESMONTE DE CABLEADO, UBICACIÓN FINAL DEL SENSOR Y COLOCACION DE APARATO NUEVAMENTE 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'!C40</f>
        <v>Und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200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200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4"/>
      <c r="C17" s="179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/>
      <c r="B18" s="221"/>
      <c r="C18" s="83"/>
      <c r="D18" s="84"/>
      <c r="E18" s="169"/>
      <c r="F18" s="86"/>
      <c r="G18" s="60"/>
    </row>
    <row r="19" spans="1:7" x14ac:dyDescent="0.2">
      <c r="A19" s="222"/>
      <c r="B19" s="223"/>
      <c r="C19" s="64"/>
      <c r="D19" s="87"/>
      <c r="E19" s="170"/>
      <c r="F19" s="88"/>
      <c r="G19" s="89"/>
    </row>
    <row r="20" spans="1:7" ht="15.75" customHeight="1" thickBot="1" x14ac:dyDescent="0.25">
      <c r="A20" s="224"/>
      <c r="B20" s="225"/>
      <c r="C20" s="72"/>
      <c r="D20" s="184"/>
      <c r="E20" s="72"/>
      <c r="F20" s="185"/>
      <c r="G20" s="89"/>
    </row>
    <row r="21" spans="1:7" ht="13.5" thickBot="1" x14ac:dyDescent="0.25">
      <c r="A21" s="259"/>
      <c r="B21" s="260"/>
      <c r="C21" s="180"/>
      <c r="D21" s="181"/>
      <c r="E21" s="182"/>
      <c r="F21" s="183" t="s">
        <v>144</v>
      </c>
      <c r="G21" s="96">
        <f>SUM(F18:F20)</f>
        <v>0</v>
      </c>
    </row>
    <row r="22" spans="1:7" x14ac:dyDescent="0.2">
      <c r="A22" s="97"/>
      <c r="B22" s="98"/>
      <c r="C22" s="99"/>
      <c r="D22" s="100"/>
      <c r="E22" s="99"/>
      <c r="F22" s="100"/>
      <c r="G22" s="101"/>
    </row>
    <row r="23" spans="1:7" ht="13.5" thickBot="1" x14ac:dyDescent="0.25">
      <c r="A23" s="59" t="s">
        <v>147</v>
      </c>
      <c r="G23" s="79"/>
    </row>
    <row r="24" spans="1:7" ht="13.5" thickBot="1" x14ac:dyDescent="0.25">
      <c r="A24" s="120" t="s">
        <v>148</v>
      </c>
      <c r="B24" s="103" t="s">
        <v>149</v>
      </c>
      <c r="C24" s="104" t="s">
        <v>15</v>
      </c>
      <c r="D24" s="135" t="s">
        <v>150</v>
      </c>
      <c r="E24" s="103" t="s">
        <v>151</v>
      </c>
      <c r="F24" s="104" t="s">
        <v>142</v>
      </c>
      <c r="G24" s="79"/>
    </row>
    <row r="25" spans="1:7" ht="15" customHeight="1" x14ac:dyDescent="0.2">
      <c r="A25" s="106"/>
      <c r="B25" s="107"/>
      <c r="C25" s="83"/>
      <c r="D25" s="107"/>
      <c r="E25" s="108"/>
      <c r="F25" s="109"/>
      <c r="G25" s="60"/>
    </row>
    <row r="26" spans="1:7" ht="15" customHeight="1" thickBot="1" x14ac:dyDescent="0.25">
      <c r="A26" s="110"/>
      <c r="B26" s="74"/>
      <c r="C26" s="111"/>
      <c r="D26" s="74"/>
      <c r="E26" s="112"/>
      <c r="F26" s="113"/>
      <c r="G26" s="60"/>
    </row>
    <row r="27" spans="1:7" ht="13.5" thickBot="1" x14ac:dyDescent="0.25">
      <c r="A27" s="56"/>
      <c r="F27" s="129" t="s">
        <v>144</v>
      </c>
      <c r="G27" s="114">
        <f>+SUM(F25:F26)</f>
        <v>0</v>
      </c>
    </row>
    <row r="28" spans="1:7" ht="13.5" thickBot="1" x14ac:dyDescent="0.25">
      <c r="A28" s="59" t="s">
        <v>152</v>
      </c>
      <c r="G28" s="115"/>
    </row>
    <row r="29" spans="1:7" ht="13.5" thickBot="1" x14ac:dyDescent="0.25">
      <c r="A29" s="120" t="s">
        <v>153</v>
      </c>
      <c r="B29" s="103" t="s">
        <v>154</v>
      </c>
      <c r="C29" s="103" t="s">
        <v>155</v>
      </c>
      <c r="D29" s="103" t="s">
        <v>156</v>
      </c>
      <c r="E29" s="103" t="s">
        <v>141</v>
      </c>
      <c r="F29" s="104" t="s">
        <v>142</v>
      </c>
      <c r="G29" s="115"/>
    </row>
    <row r="30" spans="1:7" ht="36.75" customHeight="1" thickBot="1" x14ac:dyDescent="0.25">
      <c r="A30" s="167" t="s">
        <v>184</v>
      </c>
      <c r="B30" s="116">
        <f>110000+70000</f>
        <v>180000</v>
      </c>
      <c r="C30" s="117">
        <v>1.6</v>
      </c>
      <c r="D30" s="118">
        <f>+C30*B30</f>
        <v>288000</v>
      </c>
      <c r="E30" s="119">
        <v>0.26840373131595241</v>
      </c>
      <c r="F30" s="86">
        <f>+D30*E30</f>
        <v>77300.274618994299</v>
      </c>
      <c r="G30" s="115"/>
    </row>
    <row r="31" spans="1:7" ht="13.5" thickBot="1" x14ac:dyDescent="0.25">
      <c r="A31" s="56"/>
      <c r="F31" s="129" t="s">
        <v>144</v>
      </c>
      <c r="G31" s="114">
        <f>+SUM(F30:F30)</f>
        <v>77300.274618994299</v>
      </c>
    </row>
    <row r="32" spans="1:7" ht="13.5" thickBot="1" x14ac:dyDescent="0.25">
      <c r="A32" s="59" t="s">
        <v>157</v>
      </c>
      <c r="G32" s="79"/>
    </row>
    <row r="33" spans="1:9" ht="13.5" thickBot="1" x14ac:dyDescent="0.25">
      <c r="A33" s="218" t="s">
        <v>1</v>
      </c>
      <c r="B33" s="219"/>
      <c r="C33" s="103" t="s">
        <v>15</v>
      </c>
      <c r="D33" s="103" t="s">
        <v>146</v>
      </c>
      <c r="E33" s="103" t="s">
        <v>16</v>
      </c>
      <c r="F33" s="104" t="s">
        <v>142</v>
      </c>
      <c r="G33" s="79"/>
    </row>
    <row r="34" spans="1:9" ht="15" customHeight="1" x14ac:dyDescent="0.2">
      <c r="A34" s="220"/>
      <c r="B34" s="221"/>
      <c r="C34" s="83"/>
      <c r="D34" s="108"/>
      <c r="E34" s="108"/>
      <c r="F34" s="121"/>
      <c r="G34" s="115"/>
    </row>
    <row r="35" spans="1:9" ht="15" customHeight="1" x14ac:dyDescent="0.2">
      <c r="A35" s="222"/>
      <c r="B35" s="223"/>
      <c r="C35" s="64"/>
      <c r="D35" s="122"/>
      <c r="E35" s="122"/>
      <c r="F35" s="123"/>
      <c r="G35" s="115"/>
    </row>
    <row r="36" spans="1:9" ht="15" customHeight="1" thickBot="1" x14ac:dyDescent="0.25">
      <c r="A36" s="224"/>
      <c r="B36" s="225"/>
      <c r="C36" s="72"/>
      <c r="D36" s="112"/>
      <c r="E36" s="112"/>
      <c r="F36" s="124"/>
      <c r="G36" s="115"/>
    </row>
    <row r="37" spans="1:9" ht="13.5" thickBot="1" x14ac:dyDescent="0.25">
      <c r="A37" s="56"/>
      <c r="F37" s="129" t="s">
        <v>144</v>
      </c>
      <c r="G37" s="125">
        <f>SUM(F34:F36)</f>
        <v>0</v>
      </c>
    </row>
    <row r="38" spans="1:9" ht="13.5" thickBot="1" x14ac:dyDescent="0.25">
      <c r="A38" s="56"/>
      <c r="F38" s="126"/>
      <c r="G38" s="127"/>
    </row>
    <row r="39" spans="1:9" ht="13.5" thickBot="1" x14ac:dyDescent="0.25">
      <c r="A39" s="56"/>
      <c r="D39" s="229" t="s">
        <v>158</v>
      </c>
      <c r="E39" s="230"/>
      <c r="F39" s="230"/>
      <c r="G39" s="130">
        <f>+ROUND(SUM(G37+G31+G27+G21+G15),0)</f>
        <v>77500</v>
      </c>
      <c r="H39" s="171"/>
    </row>
    <row r="40" spans="1:9" ht="13.5" thickBot="1" x14ac:dyDescent="0.25">
      <c r="A40" s="59" t="s">
        <v>159</v>
      </c>
      <c r="F40" s="132"/>
      <c r="G40" s="133"/>
      <c r="I40" s="134"/>
    </row>
    <row r="41" spans="1:9" ht="13.5" thickBot="1" x14ac:dyDescent="0.25">
      <c r="A41" s="226" t="s">
        <v>1</v>
      </c>
      <c r="B41" s="227"/>
      <c r="C41" s="228" t="s">
        <v>160</v>
      </c>
      <c r="D41" s="227"/>
      <c r="E41" s="228" t="s">
        <v>161</v>
      </c>
      <c r="F41" s="231"/>
      <c r="G41" s="136"/>
      <c r="I41" s="128"/>
    </row>
    <row r="42" spans="1:9" ht="15" customHeight="1" x14ac:dyDescent="0.2">
      <c r="A42" s="137" t="s">
        <v>5</v>
      </c>
      <c r="B42" s="138"/>
      <c r="C42" s="138"/>
      <c r="D42" s="139">
        <v>0.28999999999999998</v>
      </c>
      <c r="E42" s="140"/>
      <c r="F42" s="141">
        <f>D42*G39</f>
        <v>22475</v>
      </c>
      <c r="G42" s="60"/>
    </row>
    <row r="43" spans="1:9" ht="15" customHeight="1" x14ac:dyDescent="0.2">
      <c r="A43" s="142" t="s">
        <v>10</v>
      </c>
      <c r="B43" s="143"/>
      <c r="C43" s="143"/>
      <c r="D43" s="144">
        <v>0.01</v>
      </c>
      <c r="E43" s="145"/>
      <c r="F43" s="146">
        <f>+G39*D43</f>
        <v>775</v>
      </c>
      <c r="G43" s="60"/>
    </row>
    <row r="44" spans="1:9" ht="15" customHeight="1" x14ac:dyDescent="0.2">
      <c r="A44" s="142" t="s">
        <v>6</v>
      </c>
      <c r="B44" s="143"/>
      <c r="C44" s="143"/>
      <c r="D44" s="144">
        <v>0.05</v>
      </c>
      <c r="E44" s="145"/>
      <c r="F44" s="146">
        <f>+G39*D44</f>
        <v>3875</v>
      </c>
      <c r="G44" s="60"/>
    </row>
    <row r="45" spans="1:9" ht="15" customHeight="1" thickBot="1" x14ac:dyDescent="0.25">
      <c r="A45" s="142" t="s">
        <v>197</v>
      </c>
      <c r="B45" s="143"/>
      <c r="C45" s="143"/>
      <c r="D45" s="144">
        <v>0.19</v>
      </c>
      <c r="E45" s="145"/>
      <c r="F45" s="146">
        <f>+F44*D45</f>
        <v>736.25</v>
      </c>
      <c r="G45" s="60"/>
    </row>
    <row r="46" spans="1:9" ht="13.5" thickBot="1" x14ac:dyDescent="0.25">
      <c r="F46" s="147" t="s">
        <v>144</v>
      </c>
      <c r="G46" s="148">
        <f>+F42+F43+F44+F45</f>
        <v>27861.25</v>
      </c>
    </row>
    <row r="47" spans="1:9" x14ac:dyDescent="0.2">
      <c r="I47" s="128"/>
    </row>
    <row r="48" spans="1:9" ht="13.5" thickBot="1" x14ac:dyDescent="0.25">
      <c r="F48" s="149"/>
      <c r="G48" s="149"/>
    </row>
    <row r="49" spans="1:9" ht="13.5" thickBot="1" x14ac:dyDescent="0.25">
      <c r="E49" s="150"/>
      <c r="F49" s="151" t="s">
        <v>162</v>
      </c>
      <c r="G49" s="148">
        <f>ROUND(G46+G39,0)</f>
        <v>105361</v>
      </c>
      <c r="H49" s="152"/>
      <c r="I49" s="134"/>
    </row>
    <row r="51" spans="1:9" x14ac:dyDescent="0.2">
      <c r="I51" s="166"/>
    </row>
    <row r="52" spans="1:9" x14ac:dyDescent="0.2">
      <c r="A52" s="153"/>
      <c r="B52" s="153"/>
      <c r="C52" s="154"/>
      <c r="D52" s="154"/>
    </row>
    <row r="53" spans="1:9" x14ac:dyDescent="0.2">
      <c r="A53" s="215" t="s">
        <v>163</v>
      </c>
      <c r="B53" s="215"/>
      <c r="C53" s="215"/>
      <c r="D53" s="215"/>
    </row>
    <row r="54" spans="1:9" x14ac:dyDescent="0.2">
      <c r="A54" s="215" t="s">
        <v>198</v>
      </c>
      <c r="B54" s="215"/>
      <c r="C54" s="215"/>
    </row>
    <row r="55" spans="1:9" x14ac:dyDescent="0.2">
      <c r="A55" s="215" t="s">
        <v>199</v>
      </c>
      <c r="B55" s="215"/>
      <c r="C55" s="215"/>
    </row>
  </sheetData>
  <mergeCells count="29">
    <mergeCell ref="A53:D53"/>
    <mergeCell ref="A33:B33"/>
    <mergeCell ref="A35:B35"/>
    <mergeCell ref="A36:B36"/>
    <mergeCell ref="D39:F39"/>
    <mergeCell ref="A41:B41"/>
    <mergeCell ref="C41:D41"/>
    <mergeCell ref="E41:F41"/>
    <mergeCell ref="A17:B17"/>
    <mergeCell ref="A18:B18"/>
    <mergeCell ref="A19:B19"/>
    <mergeCell ref="A20:B20"/>
    <mergeCell ref="A21:B21"/>
    <mergeCell ref="A54:C54"/>
    <mergeCell ref="A55:C55"/>
    <mergeCell ref="A1:G1"/>
    <mergeCell ref="B4:G4"/>
    <mergeCell ref="C5:G5"/>
    <mergeCell ref="A8:B9"/>
    <mergeCell ref="C8:C9"/>
    <mergeCell ref="D8:D9"/>
    <mergeCell ref="E8:E9"/>
    <mergeCell ref="F8:F9"/>
    <mergeCell ref="A34:B34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0" xr:uid="{0138C1B9-A471-4EC2-B8B5-C7CE5BE364A7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41B1F-CF02-400D-B2B5-806B32421D1E}">
  <dimension ref="A1:I55"/>
  <sheetViews>
    <sheetView view="pageBreakPreview" topLeftCell="A37" zoomScale="85" zoomScaleNormal="100" zoomScaleSheetLayoutView="85" workbookViewId="0">
      <selection activeCell="B52" sqref="B52"/>
    </sheetView>
  </sheetViews>
  <sheetFormatPr baseColWidth="10" defaultColWidth="16.5" defaultRowHeight="12.75" x14ac:dyDescent="0.2"/>
  <cols>
    <col min="1" max="1" width="34.5" style="55" customWidth="1"/>
    <col min="2" max="2" width="21" style="55" customWidth="1"/>
    <col min="3" max="3" width="15.33203125" style="55" customWidth="1"/>
    <col min="4" max="6" width="23" style="55" customWidth="1"/>
    <col min="7" max="7" width="21.6640625" style="55" customWidth="1"/>
    <col min="8" max="8" width="18.1640625" style="55" customWidth="1"/>
    <col min="9" max="244" width="13.33203125" style="55" customWidth="1"/>
    <col min="245" max="245" width="26.83203125" style="55" customWidth="1"/>
    <col min="246" max="246" width="21" style="55" customWidth="1"/>
    <col min="247" max="247" width="16.83203125" style="55" customWidth="1"/>
    <col min="248" max="248" width="17.1640625" style="55" customWidth="1"/>
    <col min="249" max="16384" width="16.5" style="55"/>
  </cols>
  <sheetData>
    <row r="1" spans="1:7" ht="120" customHeight="1" x14ac:dyDescent="0.25">
      <c r="A1" s="232" t="s">
        <v>135</v>
      </c>
      <c r="B1" s="233"/>
      <c r="C1" s="233"/>
      <c r="D1" s="233"/>
      <c r="E1" s="233"/>
      <c r="F1" s="233"/>
      <c r="G1" s="234"/>
    </row>
    <row r="2" spans="1:7" x14ac:dyDescent="0.2">
      <c r="A2" s="56"/>
      <c r="F2" s="57"/>
      <c r="G2" s="58"/>
    </row>
    <row r="3" spans="1:7" x14ac:dyDescent="0.2">
      <c r="A3" s="59"/>
      <c r="F3" s="57" t="s">
        <v>136</v>
      </c>
      <c r="G3" s="159">
        <f ca="1">+TODAY()</f>
        <v>45621</v>
      </c>
    </row>
    <row r="4" spans="1:7" ht="45.75" customHeight="1" x14ac:dyDescent="0.2">
      <c r="A4" s="161" t="s">
        <v>137</v>
      </c>
      <c r="B4" s="235" t="s">
        <v>164</v>
      </c>
      <c r="C4" s="235"/>
      <c r="D4" s="235"/>
      <c r="E4" s="235"/>
      <c r="F4" s="235"/>
      <c r="G4" s="235"/>
    </row>
    <row r="5" spans="1:7" ht="55.5" customHeight="1" x14ac:dyDescent="0.2">
      <c r="A5" s="161" t="s">
        <v>138</v>
      </c>
      <c r="B5" s="160" t="s">
        <v>81</v>
      </c>
      <c r="C5" s="240" t="str">
        <f>+'PRESUPUESTO FINAL '!B40</f>
        <v xml:space="preserve">REUBICACION DE PUNTOS DE  DETECTOR DE HUMO. INCLUYE DESMONTE DE PARATO, DESMONTE DE CABLEADO, UBICACIÓN FINAL DEL SENSOR Y COLOCACION DE APARATO NUEVAMENTE </v>
      </c>
      <c r="D5" s="241"/>
      <c r="E5" s="241"/>
      <c r="F5" s="241"/>
      <c r="G5" s="242"/>
    </row>
    <row r="6" spans="1:7" ht="16.5" customHeight="1" x14ac:dyDescent="0.2">
      <c r="A6" s="56"/>
      <c r="F6" s="57"/>
      <c r="G6" s="58"/>
    </row>
    <row r="7" spans="1:7" ht="13.5" thickBot="1" x14ac:dyDescent="0.25">
      <c r="A7" s="59" t="s">
        <v>139</v>
      </c>
      <c r="G7" s="60"/>
    </row>
    <row r="8" spans="1:7" ht="13.5" thickBot="1" x14ac:dyDescent="0.25">
      <c r="A8" s="243" t="s">
        <v>1</v>
      </c>
      <c r="B8" s="236"/>
      <c r="C8" s="236" t="s">
        <v>15</v>
      </c>
      <c r="D8" s="236" t="s">
        <v>140</v>
      </c>
      <c r="E8" s="236" t="s">
        <v>141</v>
      </c>
      <c r="F8" s="238" t="s">
        <v>142</v>
      </c>
      <c r="G8" s="61" t="s">
        <v>15</v>
      </c>
    </row>
    <row r="9" spans="1:7" ht="13.5" thickBot="1" x14ac:dyDescent="0.25">
      <c r="A9" s="244"/>
      <c r="B9" s="245"/>
      <c r="C9" s="237"/>
      <c r="D9" s="237"/>
      <c r="E9" s="237"/>
      <c r="F9" s="239"/>
      <c r="G9" s="62" t="str">
        <f>+'PRESUPUESTO FINAL '!C41</f>
        <v>M2</v>
      </c>
    </row>
    <row r="10" spans="1:7" ht="15" customHeight="1" x14ac:dyDescent="0.2">
      <c r="A10" s="246" t="s">
        <v>143</v>
      </c>
      <c r="B10" s="247"/>
      <c r="C10" s="163"/>
      <c r="D10" s="164"/>
      <c r="E10" s="165"/>
      <c r="F10" s="86">
        <v>150</v>
      </c>
      <c r="G10" s="63"/>
    </row>
    <row r="11" spans="1:7" x14ac:dyDescent="0.2">
      <c r="A11" s="248"/>
      <c r="B11" s="249"/>
      <c r="C11" s="64"/>
      <c r="D11" s="65"/>
      <c r="E11" s="66"/>
      <c r="F11" s="67"/>
      <c r="G11" s="68"/>
    </row>
    <row r="12" spans="1:7" x14ac:dyDescent="0.2">
      <c r="A12" s="248"/>
      <c r="B12" s="249"/>
      <c r="C12" s="64"/>
      <c r="D12" s="69"/>
      <c r="E12" s="70"/>
      <c r="F12" s="71"/>
      <c r="G12" s="68"/>
    </row>
    <row r="13" spans="1:7" ht="15" customHeight="1" x14ac:dyDescent="0.2">
      <c r="A13" s="248"/>
      <c r="B13" s="249"/>
      <c r="C13" s="64"/>
      <c r="D13" s="69"/>
      <c r="E13" s="70"/>
      <c r="F13" s="71"/>
      <c r="G13" s="68"/>
    </row>
    <row r="14" spans="1:7" ht="15" customHeight="1" thickBot="1" x14ac:dyDescent="0.25">
      <c r="A14" s="250"/>
      <c r="B14" s="251"/>
      <c r="C14" s="72"/>
      <c r="D14" s="73"/>
      <c r="E14" s="74"/>
      <c r="F14" s="75"/>
      <c r="G14" s="76"/>
    </row>
    <row r="15" spans="1:7" ht="13.5" thickBot="1" x14ac:dyDescent="0.25">
      <c r="A15" s="56"/>
      <c r="F15" s="147" t="s">
        <v>144</v>
      </c>
      <c r="G15" s="162">
        <f>SUM(F10:F14)</f>
        <v>150</v>
      </c>
    </row>
    <row r="16" spans="1:7" ht="13.5" thickBot="1" x14ac:dyDescent="0.25">
      <c r="A16" s="59" t="s">
        <v>145</v>
      </c>
      <c r="C16" s="78"/>
      <c r="F16" s="57"/>
      <c r="G16" s="79"/>
    </row>
    <row r="17" spans="1:7" ht="13.5" thickBot="1" x14ac:dyDescent="0.25">
      <c r="A17" s="252" t="s">
        <v>1</v>
      </c>
      <c r="B17" s="254"/>
      <c r="C17" s="179" t="s">
        <v>15</v>
      </c>
      <c r="D17" s="81" t="s">
        <v>146</v>
      </c>
      <c r="E17" s="81" t="s">
        <v>16</v>
      </c>
      <c r="F17" s="82" t="s">
        <v>142</v>
      </c>
      <c r="G17" s="60"/>
    </row>
    <row r="18" spans="1:7" x14ac:dyDescent="0.2">
      <c r="A18" s="220" t="s">
        <v>191</v>
      </c>
      <c r="B18" s="221"/>
      <c r="C18" s="83" t="s">
        <v>192</v>
      </c>
      <c r="D18" s="84">
        <v>95000</v>
      </c>
      <c r="E18" s="169">
        <v>0.14000000000000001</v>
      </c>
      <c r="F18" s="86">
        <f>+D18*E18</f>
        <v>13300.000000000002</v>
      </c>
      <c r="G18" s="60"/>
    </row>
    <row r="19" spans="1:7" x14ac:dyDescent="0.2">
      <c r="A19" s="265" t="s">
        <v>193</v>
      </c>
      <c r="B19" s="264"/>
      <c r="C19" s="64" t="s">
        <v>94</v>
      </c>
      <c r="D19" s="87">
        <v>9800</v>
      </c>
      <c r="E19" s="170">
        <v>0.05</v>
      </c>
      <c r="F19" s="88">
        <f>+D19*E19</f>
        <v>490</v>
      </c>
      <c r="G19" s="89"/>
    </row>
    <row r="20" spans="1:7" ht="15.75" customHeight="1" thickBot="1" x14ac:dyDescent="0.25">
      <c r="A20" s="266" t="s">
        <v>194</v>
      </c>
      <c r="B20" s="267"/>
      <c r="C20" s="72" t="s">
        <v>94</v>
      </c>
      <c r="D20" s="184">
        <v>16500</v>
      </c>
      <c r="E20" s="187">
        <v>0.05</v>
      </c>
      <c r="F20" s="185">
        <f>+D20*E20</f>
        <v>825</v>
      </c>
      <c r="G20" s="89"/>
    </row>
    <row r="21" spans="1:7" ht="13.5" thickBot="1" x14ac:dyDescent="0.25">
      <c r="A21" s="259"/>
      <c r="B21" s="260"/>
      <c r="C21" s="180"/>
      <c r="D21" s="181"/>
      <c r="E21" s="182"/>
      <c r="F21" s="183" t="s">
        <v>144</v>
      </c>
      <c r="G21" s="96">
        <f>SUM(F18:F20)</f>
        <v>14615.000000000002</v>
      </c>
    </row>
    <row r="22" spans="1:7" x14ac:dyDescent="0.2">
      <c r="A22" s="97"/>
      <c r="B22" s="98"/>
      <c r="C22" s="99"/>
      <c r="D22" s="100"/>
      <c r="E22" s="99"/>
      <c r="F22" s="100"/>
      <c r="G22" s="101"/>
    </row>
    <row r="23" spans="1:7" ht="13.5" thickBot="1" x14ac:dyDescent="0.25">
      <c r="A23" s="59" t="s">
        <v>147</v>
      </c>
      <c r="G23" s="79"/>
    </row>
    <row r="24" spans="1:7" ht="13.5" thickBot="1" x14ac:dyDescent="0.25">
      <c r="A24" s="120" t="s">
        <v>148</v>
      </c>
      <c r="B24" s="103" t="s">
        <v>149</v>
      </c>
      <c r="C24" s="104" t="s">
        <v>15</v>
      </c>
      <c r="D24" s="135" t="s">
        <v>150</v>
      </c>
      <c r="E24" s="103" t="s">
        <v>151</v>
      </c>
      <c r="F24" s="104" t="s">
        <v>142</v>
      </c>
      <c r="G24" s="79"/>
    </row>
    <row r="25" spans="1:7" ht="15" customHeight="1" x14ac:dyDescent="0.2">
      <c r="A25" s="106"/>
      <c r="B25" s="107"/>
      <c r="C25" s="83"/>
      <c r="D25" s="107"/>
      <c r="E25" s="108"/>
      <c r="F25" s="109"/>
      <c r="G25" s="60"/>
    </row>
    <row r="26" spans="1:7" ht="15" customHeight="1" thickBot="1" x14ac:dyDescent="0.25">
      <c r="A26" s="110"/>
      <c r="B26" s="74"/>
      <c r="C26" s="111"/>
      <c r="D26" s="74"/>
      <c r="E26" s="112"/>
      <c r="F26" s="113"/>
      <c r="G26" s="60"/>
    </row>
    <row r="27" spans="1:7" ht="13.5" thickBot="1" x14ac:dyDescent="0.25">
      <c r="A27" s="56"/>
      <c r="F27" s="129" t="s">
        <v>144</v>
      </c>
      <c r="G27" s="114">
        <f>+SUM(F25:F26)</f>
        <v>0</v>
      </c>
    </row>
    <row r="28" spans="1:7" ht="13.5" thickBot="1" x14ac:dyDescent="0.25">
      <c r="A28" s="59" t="s">
        <v>152</v>
      </c>
      <c r="G28" s="115"/>
    </row>
    <row r="29" spans="1:7" ht="13.5" thickBot="1" x14ac:dyDescent="0.25">
      <c r="A29" s="120" t="s">
        <v>153</v>
      </c>
      <c r="B29" s="103" t="s">
        <v>154</v>
      </c>
      <c r="C29" s="103" t="s">
        <v>155</v>
      </c>
      <c r="D29" s="103" t="s">
        <v>156</v>
      </c>
      <c r="E29" s="103" t="s">
        <v>141</v>
      </c>
      <c r="F29" s="104" t="s">
        <v>142</v>
      </c>
      <c r="G29" s="115"/>
    </row>
    <row r="30" spans="1:7" ht="36.75" customHeight="1" thickBot="1" x14ac:dyDescent="0.25">
      <c r="A30" s="167" t="s">
        <v>186</v>
      </c>
      <c r="B30" s="116">
        <f>95000+60000</f>
        <v>155000</v>
      </c>
      <c r="C30" s="117">
        <v>1.6</v>
      </c>
      <c r="D30" s="118">
        <f>+C30*B30</f>
        <v>248000</v>
      </c>
      <c r="E30" s="119">
        <v>2.3123387096774192E-2</v>
      </c>
      <c r="F30" s="86">
        <f>+D30*E30</f>
        <v>5734.5999999999995</v>
      </c>
      <c r="G30" s="115"/>
    </row>
    <row r="31" spans="1:7" ht="13.5" thickBot="1" x14ac:dyDescent="0.25">
      <c r="A31" s="56"/>
      <c r="F31" s="129" t="s">
        <v>144</v>
      </c>
      <c r="G31" s="114">
        <f>+SUM(F30:F30)</f>
        <v>5734.5999999999995</v>
      </c>
    </row>
    <row r="32" spans="1:7" ht="13.5" thickBot="1" x14ac:dyDescent="0.25">
      <c r="A32" s="59" t="s">
        <v>157</v>
      </c>
      <c r="G32" s="79"/>
    </row>
    <row r="33" spans="1:9" ht="13.5" thickBot="1" x14ac:dyDescent="0.25">
      <c r="A33" s="218" t="s">
        <v>1</v>
      </c>
      <c r="B33" s="219"/>
      <c r="C33" s="103" t="s">
        <v>15</v>
      </c>
      <c r="D33" s="103" t="s">
        <v>146</v>
      </c>
      <c r="E33" s="103" t="s">
        <v>16</v>
      </c>
      <c r="F33" s="104" t="s">
        <v>142</v>
      </c>
      <c r="G33" s="79"/>
    </row>
    <row r="34" spans="1:9" ht="15" customHeight="1" x14ac:dyDescent="0.2">
      <c r="A34" s="220"/>
      <c r="B34" s="221"/>
      <c r="C34" s="83"/>
      <c r="D34" s="108"/>
      <c r="E34" s="108"/>
      <c r="F34" s="121"/>
      <c r="G34" s="115"/>
    </row>
    <row r="35" spans="1:9" ht="15" customHeight="1" x14ac:dyDescent="0.2">
      <c r="A35" s="222"/>
      <c r="B35" s="223"/>
      <c r="C35" s="64"/>
      <c r="D35" s="122"/>
      <c r="E35" s="122"/>
      <c r="F35" s="123"/>
      <c r="G35" s="115"/>
    </row>
    <row r="36" spans="1:9" ht="15" customHeight="1" thickBot="1" x14ac:dyDescent="0.25">
      <c r="A36" s="224"/>
      <c r="B36" s="225"/>
      <c r="C36" s="72"/>
      <c r="D36" s="112"/>
      <c r="E36" s="112"/>
      <c r="F36" s="124"/>
      <c r="G36" s="115"/>
    </row>
    <row r="37" spans="1:9" ht="13.5" thickBot="1" x14ac:dyDescent="0.25">
      <c r="A37" s="56"/>
      <c r="F37" s="129" t="s">
        <v>144</v>
      </c>
      <c r="G37" s="125">
        <f>SUM(F34:F36)</f>
        <v>0</v>
      </c>
    </row>
    <row r="38" spans="1:9" ht="13.5" thickBot="1" x14ac:dyDescent="0.25">
      <c r="A38" s="56"/>
      <c r="F38" s="126"/>
      <c r="G38" s="127"/>
    </row>
    <row r="39" spans="1:9" ht="13.5" thickBot="1" x14ac:dyDescent="0.25">
      <c r="A39" s="56"/>
      <c r="D39" s="229" t="s">
        <v>158</v>
      </c>
      <c r="E39" s="230"/>
      <c r="F39" s="230"/>
      <c r="G39" s="130">
        <f>+ROUND(SUM(G37+G31+G27+G21+G15),0)</f>
        <v>20500</v>
      </c>
      <c r="H39" s="171"/>
    </row>
    <row r="40" spans="1:9" ht="13.5" thickBot="1" x14ac:dyDescent="0.25">
      <c r="A40" s="59" t="s">
        <v>159</v>
      </c>
      <c r="F40" s="132"/>
      <c r="G40" s="133"/>
      <c r="I40" s="134"/>
    </row>
    <row r="41" spans="1:9" ht="13.5" thickBot="1" x14ac:dyDescent="0.25">
      <c r="A41" s="226" t="s">
        <v>1</v>
      </c>
      <c r="B41" s="227"/>
      <c r="C41" s="228" t="s">
        <v>160</v>
      </c>
      <c r="D41" s="227"/>
      <c r="E41" s="228" t="s">
        <v>161</v>
      </c>
      <c r="F41" s="231"/>
      <c r="G41" s="136"/>
      <c r="I41" s="128"/>
    </row>
    <row r="42" spans="1:9" ht="15" customHeight="1" x14ac:dyDescent="0.2">
      <c r="A42" s="137" t="s">
        <v>5</v>
      </c>
      <c r="B42" s="138"/>
      <c r="C42" s="138"/>
      <c r="D42" s="139">
        <v>0.28999999999999998</v>
      </c>
      <c r="E42" s="140"/>
      <c r="F42" s="141">
        <f>D42*G39</f>
        <v>5945</v>
      </c>
      <c r="G42" s="60"/>
    </row>
    <row r="43" spans="1:9" ht="15" customHeight="1" x14ac:dyDescent="0.2">
      <c r="A43" s="142" t="s">
        <v>10</v>
      </c>
      <c r="B43" s="143"/>
      <c r="C43" s="143"/>
      <c r="D43" s="144">
        <v>0.01</v>
      </c>
      <c r="E43" s="145"/>
      <c r="F43" s="146">
        <f>+G39*D43</f>
        <v>205</v>
      </c>
      <c r="G43" s="60"/>
    </row>
    <row r="44" spans="1:9" ht="15" customHeight="1" x14ac:dyDescent="0.2">
      <c r="A44" s="142" t="s">
        <v>6</v>
      </c>
      <c r="B44" s="143"/>
      <c r="C44" s="143"/>
      <c r="D44" s="144">
        <v>0.05</v>
      </c>
      <c r="E44" s="145"/>
      <c r="F44" s="146">
        <f>+G39*D44</f>
        <v>1025</v>
      </c>
      <c r="G44" s="60"/>
    </row>
    <row r="45" spans="1:9" ht="15" customHeight="1" thickBot="1" x14ac:dyDescent="0.25">
      <c r="A45" s="142" t="s">
        <v>197</v>
      </c>
      <c r="B45" s="143"/>
      <c r="C45" s="143"/>
      <c r="D45" s="144">
        <v>0.19</v>
      </c>
      <c r="E45" s="145"/>
      <c r="F45" s="146">
        <f>+F44*D45</f>
        <v>194.75</v>
      </c>
      <c r="G45" s="60"/>
    </row>
    <row r="46" spans="1:9" ht="13.5" thickBot="1" x14ac:dyDescent="0.25">
      <c r="F46" s="147" t="s">
        <v>144</v>
      </c>
      <c r="G46" s="148">
        <f>+F42+F43+F44+F45</f>
        <v>7369.75</v>
      </c>
    </row>
    <row r="47" spans="1:9" x14ac:dyDescent="0.2">
      <c r="I47" s="128"/>
    </row>
    <row r="48" spans="1:9" ht="13.5" thickBot="1" x14ac:dyDescent="0.25">
      <c r="F48" s="149"/>
      <c r="G48" s="149"/>
    </row>
    <row r="49" spans="1:9" ht="13.5" thickBot="1" x14ac:dyDescent="0.25">
      <c r="E49" s="150"/>
      <c r="F49" s="151" t="s">
        <v>162</v>
      </c>
      <c r="G49" s="148">
        <f>ROUND(G46+G39,0)</f>
        <v>27870</v>
      </c>
      <c r="H49" s="152"/>
      <c r="I49" s="134"/>
    </row>
    <row r="51" spans="1:9" x14ac:dyDescent="0.2">
      <c r="I51" s="166"/>
    </row>
    <row r="52" spans="1:9" x14ac:dyDescent="0.2">
      <c r="A52" s="153"/>
      <c r="B52" s="153"/>
      <c r="C52" s="154"/>
      <c r="D52" s="154"/>
    </row>
    <row r="53" spans="1:9" x14ac:dyDescent="0.2">
      <c r="A53" s="215" t="s">
        <v>163</v>
      </c>
      <c r="B53" s="215"/>
      <c r="C53" s="215"/>
      <c r="D53" s="215"/>
    </row>
    <row r="54" spans="1:9" x14ac:dyDescent="0.2">
      <c r="A54" s="215" t="s">
        <v>198</v>
      </c>
      <c r="B54" s="215"/>
      <c r="C54" s="215"/>
    </row>
    <row r="55" spans="1:9" x14ac:dyDescent="0.2">
      <c r="A55" s="215" t="s">
        <v>199</v>
      </c>
      <c r="B55" s="215"/>
      <c r="C55" s="215"/>
    </row>
  </sheetData>
  <mergeCells count="29">
    <mergeCell ref="A53:D53"/>
    <mergeCell ref="A33:B33"/>
    <mergeCell ref="A35:B35"/>
    <mergeCell ref="A36:B36"/>
    <mergeCell ref="D39:F39"/>
    <mergeCell ref="A41:B41"/>
    <mergeCell ref="C41:D41"/>
    <mergeCell ref="E41:F41"/>
    <mergeCell ref="A17:B17"/>
    <mergeCell ref="A18:B18"/>
    <mergeCell ref="A19:B19"/>
    <mergeCell ref="A20:B20"/>
    <mergeCell ref="A21:B21"/>
    <mergeCell ref="A54:C54"/>
    <mergeCell ref="A55:C55"/>
    <mergeCell ref="A1:G1"/>
    <mergeCell ref="B4:G4"/>
    <mergeCell ref="C5:G5"/>
    <mergeCell ref="A8:B9"/>
    <mergeCell ref="C8:C9"/>
    <mergeCell ref="D8:D9"/>
    <mergeCell ref="E8:E9"/>
    <mergeCell ref="F8:F9"/>
    <mergeCell ref="A34:B34"/>
    <mergeCell ref="A10:B10"/>
    <mergeCell ref="A11:B11"/>
    <mergeCell ref="A12:B12"/>
    <mergeCell ref="A13:B13"/>
    <mergeCell ref="A14:B14"/>
  </mergeCells>
  <dataValidations count="1">
    <dataValidation type="list" allowBlank="1" showInputMessage="1" showErrorMessage="1" sqref="A19:A20" xr:uid="{C0794E59-2585-44B0-8286-BDB44C55567C}">
      <formula1>#REF!</formula1>
    </dataValidation>
  </dataValidations>
  <pageMargins left="0.7" right="0.7" top="0.75" bottom="0.75" header="0.3" footer="0.3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34</vt:i4>
      </vt:variant>
      <vt:variant>
        <vt:lpstr>Rangos con nombre</vt:lpstr>
      </vt:variant>
      <vt:variant>
        <vt:i4>33</vt:i4>
      </vt:variant>
    </vt:vector>
  </HeadingPairs>
  <TitlesOfParts>
    <vt:vector size="67" baseType="lpstr">
      <vt:lpstr>PRESUPUESTO </vt:lpstr>
      <vt:lpstr>PRESUPUESTO FINAL </vt:lpstr>
      <vt:lpstr>MATERIALES</vt:lpstr>
      <vt:lpstr>MAYORES</vt:lpstr>
      <vt:lpstr>ITEM 1.1.1</vt:lpstr>
      <vt:lpstr>ITEM 1.1.2</vt:lpstr>
      <vt:lpstr>ITEM 1.1.3</vt:lpstr>
      <vt:lpstr>ITEM 1.1.4</vt:lpstr>
      <vt:lpstr>ITEM 2.01</vt:lpstr>
      <vt:lpstr>ITEM 2.02</vt:lpstr>
      <vt:lpstr>ITEM 2.03</vt:lpstr>
      <vt:lpstr>ITEM 2.04</vt:lpstr>
      <vt:lpstr>ITEM 2.05</vt:lpstr>
      <vt:lpstr>ITEM 2.06</vt:lpstr>
      <vt:lpstr>ITEM 2.07</vt:lpstr>
      <vt:lpstr>ITEM 2.08</vt:lpstr>
      <vt:lpstr>ITEM 2.09</vt:lpstr>
      <vt:lpstr>ITEM 2.10</vt:lpstr>
      <vt:lpstr>ITEM 2.11</vt:lpstr>
      <vt:lpstr>ITEM 2.12</vt:lpstr>
      <vt:lpstr>ITEM 3.01</vt:lpstr>
      <vt:lpstr>ITEM 3.02</vt:lpstr>
      <vt:lpstr>ITEM 3.03</vt:lpstr>
      <vt:lpstr>ITEM 3.04</vt:lpstr>
      <vt:lpstr>ITEM 3.05</vt:lpstr>
      <vt:lpstr>NP-01</vt:lpstr>
      <vt:lpstr>NP-02</vt:lpstr>
      <vt:lpstr>NP-03</vt:lpstr>
      <vt:lpstr>NP-04</vt:lpstr>
      <vt:lpstr>NP-05</vt:lpstr>
      <vt:lpstr>NP-06</vt:lpstr>
      <vt:lpstr>NP-07</vt:lpstr>
      <vt:lpstr>NP-08</vt:lpstr>
      <vt:lpstr>NP-09</vt:lpstr>
      <vt:lpstr>'ITEM 1.1.1'!Área_de_impresión</vt:lpstr>
      <vt:lpstr>'ITEM 1.1.2'!Área_de_impresión</vt:lpstr>
      <vt:lpstr>'ITEM 1.1.3'!Área_de_impresión</vt:lpstr>
      <vt:lpstr>'ITEM 1.1.4'!Área_de_impresión</vt:lpstr>
      <vt:lpstr>'ITEM 2.01'!Área_de_impresión</vt:lpstr>
      <vt:lpstr>'ITEM 2.02'!Área_de_impresión</vt:lpstr>
      <vt:lpstr>'ITEM 2.03'!Área_de_impresión</vt:lpstr>
      <vt:lpstr>'ITEM 2.04'!Área_de_impresión</vt:lpstr>
      <vt:lpstr>'ITEM 2.05'!Área_de_impresión</vt:lpstr>
      <vt:lpstr>'ITEM 2.06'!Área_de_impresión</vt:lpstr>
      <vt:lpstr>'ITEM 2.07'!Área_de_impresión</vt:lpstr>
      <vt:lpstr>'ITEM 2.08'!Área_de_impresión</vt:lpstr>
      <vt:lpstr>'ITEM 2.09'!Área_de_impresión</vt:lpstr>
      <vt:lpstr>'ITEM 2.10'!Área_de_impresión</vt:lpstr>
      <vt:lpstr>'ITEM 2.11'!Área_de_impresión</vt:lpstr>
      <vt:lpstr>'ITEM 2.12'!Área_de_impresión</vt:lpstr>
      <vt:lpstr>'ITEM 3.01'!Área_de_impresión</vt:lpstr>
      <vt:lpstr>'ITEM 3.02'!Área_de_impresión</vt:lpstr>
      <vt:lpstr>'ITEM 3.03'!Área_de_impresión</vt:lpstr>
      <vt:lpstr>'ITEM 3.04'!Área_de_impresión</vt:lpstr>
      <vt:lpstr>'ITEM 3.05'!Área_de_impresión</vt:lpstr>
      <vt:lpstr>'NP-01'!Área_de_impresión</vt:lpstr>
      <vt:lpstr>'NP-02'!Área_de_impresión</vt:lpstr>
      <vt:lpstr>'NP-03'!Área_de_impresión</vt:lpstr>
      <vt:lpstr>'NP-04'!Área_de_impresión</vt:lpstr>
      <vt:lpstr>'NP-05'!Área_de_impresión</vt:lpstr>
      <vt:lpstr>'NP-06'!Área_de_impresión</vt:lpstr>
      <vt:lpstr>'NP-07'!Área_de_impresión</vt:lpstr>
      <vt:lpstr>'NP-08'!Área_de_impresión</vt:lpstr>
      <vt:lpstr>'NP-09'!Área_de_impresión</vt:lpstr>
      <vt:lpstr>MAYORES!Títulos_a_imprimir</vt:lpstr>
      <vt:lpstr>'PRESUPUESTO '!Títulos_a_imprimir</vt:lpstr>
      <vt:lpstr>'PRESUPUESTO FINAL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OFERTA DIAN.xlsx</dc:title>
  <dc:creator>Usuario</dc:creator>
  <cp:lastModifiedBy>HP</cp:lastModifiedBy>
  <cp:lastPrinted>2024-11-21T14:47:30Z</cp:lastPrinted>
  <dcterms:created xsi:type="dcterms:W3CDTF">2024-11-06T23:54:00Z</dcterms:created>
  <dcterms:modified xsi:type="dcterms:W3CDTF">2024-11-26T01:39:59Z</dcterms:modified>
</cp:coreProperties>
</file>